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2685" yWindow="300" windowWidth="18135" windowHeight="10890" tabRatio="903"/>
  </bookViews>
  <sheets>
    <sheet name="InputsResults" sheetId="33" r:id="rId1"/>
    <sheet name="AidLevy" sheetId="1" r:id="rId2"/>
    <sheet name="Proposed" sheetId="2" r:id="rId3"/>
    <sheet name="Adopted" sheetId="3" r:id="rId4"/>
    <sheet name="TaxCert" sheetId="4" r:id="rId5"/>
    <sheet name="FY18WK1" sheetId="5" r:id="rId6"/>
    <sheet name="FY18WK2" sheetId="6" r:id="rId7"/>
    <sheet name="FY17Wk1" sheetId="14" r:id="rId8"/>
    <sheet name="FY17Wk2" sheetId="15" r:id="rId9"/>
    <sheet name="Form703" sheetId="7" r:id="rId10"/>
    <sheet name="Publication" sheetId="9" r:id="rId11"/>
    <sheet name="C I Est" sheetId="29" r:id="rId12"/>
    <sheet name="UAB Wksht" sheetId="27" r:id="rId13"/>
    <sheet name="FY16Wk1" sheetId="12" r:id="rId14"/>
    <sheet name="FY16Wk2" sheetId="13" r:id="rId15"/>
    <sheet name="Form703A" sheetId="16" r:id="rId16"/>
    <sheet name="703A(2)" sheetId="17" r:id="rId17"/>
    <sheet name="703A(3)" sheetId="18" r:id="rId18"/>
    <sheet name="Amend Publ" sheetId="24" r:id="rId19"/>
    <sheet name="Amend Adopt" sheetId="19" r:id="rId20"/>
    <sheet name="Constants" sheetId="35" state="hidden" r:id="rId21"/>
    <sheet name="3.7" sheetId="39" state="hidden" r:id="rId22"/>
    <sheet name="DoM" sheetId="32" state="hidden" r:id="rId23"/>
    <sheet name="AEA_CPP" sheetId="34" state="hidden" r:id="rId24"/>
    <sheet name="SNAME" sheetId="36" state="hidden" r:id="rId25"/>
    <sheet name="SNAMEB" sheetId="21" state="hidden" r:id="rId26"/>
    <sheet name="SNAMEC" sheetId="37" state="hidden" r:id="rId27"/>
    <sheet name="Categorical" sheetId="40" state="hidden" r:id="rId28"/>
    <sheet name="schldata" sheetId="42" state="hidden" r:id="rId29"/>
  </sheets>
  <definedNames>
    <definedName name="AEA267ADJ">AidLevy!#REF!</definedName>
    <definedName name="DistrictName">SNAME!$C$3:$C$335</definedName>
    <definedName name="_xlnm.Print_Area" localSheetId="3">Adopted!$A$1:$F$50</definedName>
    <definedName name="_xlnm.Print_Area" localSheetId="1">AidLevy!$A$1:$E$428</definedName>
    <definedName name="_xlnm.Print_Area" localSheetId="19">'Amend Adopt'!$A$1:$D$24</definedName>
    <definedName name="_xlnm.Print_Area" localSheetId="18">'Amend Publ'!$A$1:$D$29</definedName>
    <definedName name="_xlnm.Print_Area" localSheetId="11">'C I Est'!$A$1:$D$51</definedName>
    <definedName name="_xlnm.Print_Area" localSheetId="9">Form703!$A$1:$K$33</definedName>
    <definedName name="_xlnm.Print_Area" localSheetId="5">FY18WK1!$A$1:$K$44</definedName>
    <definedName name="_xlnm.Print_Area" localSheetId="6">FY18WK2!$A$1:$K$44</definedName>
    <definedName name="_xlnm.Print_Area" localSheetId="0">InputsResults!$A$1:$K$107</definedName>
    <definedName name="_xlnm.Print_Area" localSheetId="2">Proposed!$A$1:$G$62</definedName>
    <definedName name="_xlnm.Print_Area" localSheetId="10">Publication!$A$1:$F$64</definedName>
    <definedName name="_xlnm.Print_Area" localSheetId="4">TaxCert!$A$2:$F$70</definedName>
    <definedName name="_xlnm.Print_Area">Proposed!$A$1:$G$61</definedName>
    <definedName name="_xlnm.Print_Titles" localSheetId="21">'3.7'!$1:$4</definedName>
    <definedName name="_xlnm.Print_Titles" localSheetId="25">SNAMEB!$A:$B,SNAMEB!$1:$2</definedName>
    <definedName name="_xlnm.Print_Titles">#N/A</definedName>
    <definedName name="PrintTitles" localSheetId="24">#N/A</definedName>
    <definedName name="PrtTitles" localSheetId="25">#N/A</definedName>
    <definedName name="Z_53CC1FF8_69F4_40AB_9E52_A9F35D642996_.wvu.PrintArea" localSheetId="3" hidden="1">Adopted!$A$1:$F$50</definedName>
    <definedName name="Z_53CC1FF8_69F4_40AB_9E52_A9F35D642996_.wvu.PrintArea" localSheetId="1" hidden="1">AidLevy!$A$1:$E$428</definedName>
    <definedName name="Z_53CC1FF8_69F4_40AB_9E52_A9F35D642996_.wvu.PrintArea" localSheetId="19" hidden="1">'Amend Adopt'!$A$1:$D$24</definedName>
    <definedName name="Z_53CC1FF8_69F4_40AB_9E52_A9F35D642996_.wvu.PrintArea" localSheetId="18" hidden="1">'Amend Publ'!$A$1:$D$29</definedName>
    <definedName name="Z_53CC1FF8_69F4_40AB_9E52_A9F35D642996_.wvu.PrintArea" localSheetId="9" hidden="1">Form703!$A$1:$K$33</definedName>
    <definedName name="Z_53CC1FF8_69F4_40AB_9E52_A9F35D642996_.wvu.PrintArea" localSheetId="5" hidden="1">FY18WK1!$A$1:$K$44</definedName>
    <definedName name="Z_53CC1FF8_69F4_40AB_9E52_A9F35D642996_.wvu.PrintArea" localSheetId="6" hidden="1">FY18WK2!$A$1:$K$44</definedName>
    <definedName name="Z_53CC1FF8_69F4_40AB_9E52_A9F35D642996_.wvu.PrintArea" localSheetId="2" hidden="1">Proposed!$A$1:$G$62</definedName>
    <definedName name="Z_53CC1FF8_69F4_40AB_9E52_A9F35D642996_.wvu.PrintArea" localSheetId="10" hidden="1">Publication!$A$1:$F$64</definedName>
    <definedName name="Z_53CC1FF8_69F4_40AB_9E52_A9F35D642996_.wvu.PrintArea" localSheetId="4" hidden="1">TaxCert!$A$2:$F$70</definedName>
    <definedName name="Z_53CC1FF8_69F4_40AB_9E52_A9F35D642996_.wvu.PrintTitles" localSheetId="25" hidden="1">SNAMEB!$A:$B,SNAMEB!$1:$2</definedName>
  </definedNames>
  <calcPr calcId="145621"/>
  <customWorkbookViews>
    <customWorkbookView name="All Sheets" guid="{53CC1FF8-69F4-40AB-9E52-A9F35D642996}" maximized="1" windowWidth="1280" windowHeight="735" tabRatio="903" activeSheetId="2"/>
  </customWorkbookViews>
</workbook>
</file>

<file path=xl/calcChain.xml><?xml version="1.0" encoding="utf-8"?>
<calcChain xmlns="http://schemas.openxmlformats.org/spreadsheetml/2006/main">
  <c r="B1" i="42" l="1"/>
  <c r="A2" i="42"/>
  <c r="H2" i="42"/>
  <c r="A3" i="42"/>
  <c r="H3" i="42"/>
  <c r="A4" i="42"/>
  <c r="E4" i="42"/>
  <c r="I4" i="42" s="1"/>
  <c r="H4" i="42"/>
  <c r="A5" i="42"/>
  <c r="E5" i="42"/>
  <c r="I5" i="42" s="1"/>
  <c r="H5" i="42"/>
  <c r="A6" i="42"/>
  <c r="E6" i="42"/>
  <c r="I6" i="42" s="1"/>
  <c r="H6" i="42"/>
  <c r="A7" i="42"/>
  <c r="E7" i="42"/>
  <c r="I7" i="42" s="1"/>
  <c r="H7" i="42"/>
  <c r="A8" i="42"/>
  <c r="E8" i="42"/>
  <c r="I8" i="42" s="1"/>
  <c r="H8" i="42"/>
  <c r="A9" i="42"/>
  <c r="E9" i="42"/>
  <c r="I9" i="42" s="1"/>
  <c r="H9" i="42"/>
  <c r="A10" i="42"/>
  <c r="E10" i="42"/>
  <c r="I10" i="42" s="1"/>
  <c r="H10" i="42"/>
  <c r="A11" i="42"/>
  <c r="H11" i="42"/>
  <c r="A12" i="42"/>
  <c r="H12" i="42"/>
  <c r="A13" i="42"/>
  <c r="E13" i="42"/>
  <c r="I13" i="42" s="1"/>
  <c r="H13" i="42"/>
  <c r="A14" i="42"/>
  <c r="H14" i="42"/>
  <c r="A15" i="42"/>
  <c r="E15" i="42"/>
  <c r="I15" i="42" s="1"/>
  <c r="H15" i="42"/>
  <c r="A16" i="42"/>
  <c r="E16" i="42"/>
  <c r="I16" i="42" s="1"/>
  <c r="H16" i="42"/>
  <c r="A17" i="42"/>
  <c r="H17" i="42"/>
  <c r="A18" i="42"/>
  <c r="E18" i="42"/>
  <c r="I18" i="42" s="1"/>
  <c r="H18" i="42"/>
  <c r="A19" i="42"/>
  <c r="E19" i="42"/>
  <c r="I19" i="42" s="1"/>
  <c r="H19" i="42"/>
  <c r="A20" i="42"/>
  <c r="E20" i="42"/>
  <c r="I20" i="42" s="1"/>
  <c r="H20" i="42"/>
  <c r="A21" i="42"/>
  <c r="H21" i="42"/>
  <c r="A22" i="42"/>
  <c r="H22" i="42"/>
  <c r="A23" i="42"/>
  <c r="H23" i="42"/>
  <c r="A24" i="42"/>
  <c r="E24" i="42"/>
  <c r="I24" i="42" s="1"/>
  <c r="H24" i="42"/>
  <c r="A25" i="42"/>
  <c r="E25" i="42"/>
  <c r="I25" i="42" s="1"/>
  <c r="H25" i="42"/>
  <c r="A26" i="42"/>
  <c r="E26" i="42"/>
  <c r="I26" i="42" s="1"/>
  <c r="H26" i="42"/>
  <c r="A27" i="42"/>
  <c r="E27" i="42"/>
  <c r="I27" i="42" s="1"/>
  <c r="H27" i="42"/>
  <c r="A28" i="42"/>
  <c r="E28" i="42"/>
  <c r="I28" i="42" s="1"/>
  <c r="H28" i="42"/>
  <c r="A29" i="42"/>
  <c r="E29" i="42"/>
  <c r="I29" i="42" s="1"/>
  <c r="H29" i="42"/>
  <c r="A30" i="42"/>
  <c r="E30" i="42"/>
  <c r="I30" i="42" s="1"/>
  <c r="H30" i="42"/>
  <c r="A31" i="42"/>
  <c r="E31" i="42"/>
  <c r="H31" i="42"/>
  <c r="I31" i="42"/>
  <c r="A32" i="42"/>
  <c r="E32" i="42"/>
  <c r="I32" i="42" s="1"/>
  <c r="H32" i="42"/>
  <c r="A33" i="42"/>
  <c r="E33" i="42"/>
  <c r="H33" i="42"/>
  <c r="I33" i="42"/>
  <c r="A34" i="42"/>
  <c r="E34" i="42"/>
  <c r="I34" i="42" s="1"/>
  <c r="H34" i="42"/>
  <c r="A35" i="42"/>
  <c r="E35" i="42"/>
  <c r="H35" i="42"/>
  <c r="I35" i="42"/>
  <c r="A36" i="42"/>
  <c r="E36" i="42"/>
  <c r="I36" i="42" s="1"/>
  <c r="H36" i="42"/>
  <c r="A37" i="42"/>
  <c r="H37" i="42"/>
  <c r="A38" i="42"/>
  <c r="H38" i="42"/>
  <c r="A39" i="42"/>
  <c r="H39" i="42"/>
  <c r="A40" i="42"/>
  <c r="E40" i="42"/>
  <c r="I40" i="42" s="1"/>
  <c r="H40" i="42"/>
  <c r="A41" i="42"/>
  <c r="H41" i="42"/>
  <c r="A42" i="42"/>
  <c r="H42" i="42"/>
  <c r="A43" i="42"/>
  <c r="H43" i="42"/>
  <c r="A44" i="42"/>
  <c r="H44" i="42"/>
  <c r="A45" i="42"/>
  <c r="H45" i="42"/>
  <c r="A46" i="42"/>
  <c r="H46" i="42"/>
  <c r="A47" i="42"/>
  <c r="E47" i="42"/>
  <c r="I47" i="42" s="1"/>
  <c r="H47" i="42"/>
  <c r="A48" i="42"/>
  <c r="E48" i="42"/>
  <c r="I48" i="42" s="1"/>
  <c r="H48" i="42"/>
  <c r="A49" i="42"/>
  <c r="E49" i="42"/>
  <c r="I49" i="42" s="1"/>
  <c r="H49" i="42"/>
  <c r="A50" i="42"/>
  <c r="H50" i="42"/>
  <c r="A51" i="42"/>
  <c r="H51" i="42"/>
  <c r="A52" i="42"/>
  <c r="E52" i="42"/>
  <c r="I52" i="42" s="1"/>
  <c r="H52" i="42"/>
  <c r="A53" i="42"/>
  <c r="E53" i="42"/>
  <c r="I53" i="42" s="1"/>
  <c r="H53" i="42"/>
  <c r="A54" i="42"/>
  <c r="E54" i="42"/>
  <c r="I54" i="42" s="1"/>
  <c r="H54" i="42"/>
  <c r="A55" i="42"/>
  <c r="H55" i="42"/>
  <c r="A56" i="42"/>
  <c r="H56" i="42"/>
  <c r="A57" i="42"/>
  <c r="H57" i="42"/>
  <c r="A58" i="42"/>
  <c r="E58" i="42"/>
  <c r="I58" i="42" s="1"/>
  <c r="H58" i="42"/>
  <c r="A59" i="42"/>
  <c r="E59" i="42"/>
  <c r="I59" i="42" s="1"/>
  <c r="H59" i="42"/>
  <c r="A60" i="42"/>
  <c r="E60" i="42"/>
  <c r="I60" i="42" s="1"/>
  <c r="H60" i="42"/>
  <c r="A61" i="42"/>
  <c r="H61" i="42"/>
  <c r="A62" i="42"/>
  <c r="H62" i="42"/>
  <c r="A63" i="42"/>
  <c r="H63" i="42"/>
  <c r="A64" i="42"/>
  <c r="H64" i="42"/>
  <c r="A65" i="42"/>
  <c r="E65" i="42"/>
  <c r="I65" i="42" s="1"/>
  <c r="H65" i="42"/>
  <c r="A66" i="42"/>
  <c r="E66" i="42"/>
  <c r="I66" i="42" s="1"/>
  <c r="H66" i="42"/>
  <c r="A67" i="42"/>
  <c r="E67" i="42"/>
  <c r="I67" i="42" s="1"/>
  <c r="H67" i="42"/>
  <c r="A68" i="42"/>
  <c r="E68" i="42"/>
  <c r="I68" i="42" s="1"/>
  <c r="H68" i="42"/>
  <c r="A69" i="42"/>
  <c r="E69" i="42"/>
  <c r="I69" i="42" s="1"/>
  <c r="H69" i="42"/>
  <c r="A70" i="42"/>
  <c r="H70" i="42"/>
  <c r="A71" i="42"/>
  <c r="H71" i="42"/>
  <c r="A72" i="42"/>
  <c r="H72" i="42"/>
  <c r="A73" i="42"/>
  <c r="H73" i="42"/>
  <c r="A74" i="42"/>
  <c r="H74" i="42"/>
  <c r="A75" i="42"/>
  <c r="H75" i="42"/>
  <c r="A76" i="42"/>
  <c r="H76" i="42"/>
  <c r="A77" i="42"/>
  <c r="H77" i="42"/>
  <c r="A78" i="42"/>
  <c r="E78" i="42"/>
  <c r="I78" i="42" s="1"/>
  <c r="H78" i="42"/>
  <c r="A79" i="42"/>
  <c r="H79" i="42"/>
  <c r="A80" i="42"/>
  <c r="H80" i="42"/>
  <c r="A81" i="42"/>
  <c r="H81" i="42"/>
  <c r="A82" i="42"/>
  <c r="H82" i="42"/>
  <c r="A83" i="42"/>
  <c r="H83" i="42"/>
  <c r="A84" i="42"/>
  <c r="H84" i="42"/>
  <c r="A85" i="42"/>
  <c r="H85" i="42"/>
  <c r="A86" i="42"/>
  <c r="H86" i="42"/>
  <c r="A87" i="42"/>
  <c r="H87" i="42"/>
  <c r="A88" i="42"/>
  <c r="H88" i="42"/>
  <c r="A89" i="42"/>
  <c r="H89" i="42"/>
  <c r="A90" i="42"/>
  <c r="H90" i="42"/>
  <c r="A91" i="42"/>
  <c r="E91" i="42"/>
  <c r="I91" i="42" s="1"/>
  <c r="H91" i="42"/>
  <c r="A92" i="42"/>
  <c r="H92" i="42"/>
  <c r="A93" i="42"/>
  <c r="H93" i="42"/>
  <c r="A94" i="42"/>
  <c r="H94" i="42"/>
  <c r="A95" i="42"/>
  <c r="H95" i="42"/>
  <c r="A96" i="42"/>
  <c r="H96" i="42"/>
  <c r="A97" i="42"/>
  <c r="H97" i="42"/>
  <c r="A98" i="42"/>
  <c r="H98" i="42"/>
  <c r="A99" i="42"/>
  <c r="E99" i="42"/>
  <c r="H99" i="42"/>
  <c r="I99" i="42"/>
  <c r="A100" i="42"/>
  <c r="E100" i="42"/>
  <c r="I100" i="42" s="1"/>
  <c r="H100" i="42"/>
  <c r="A101" i="42"/>
  <c r="E101" i="42"/>
  <c r="H101" i="42"/>
  <c r="I101" i="42"/>
  <c r="A102" i="42"/>
  <c r="E102" i="42"/>
  <c r="H102" i="42"/>
  <c r="I102" i="42"/>
  <c r="A103" i="42"/>
  <c r="E103" i="42"/>
  <c r="I103" i="42" s="1"/>
  <c r="H103" i="42"/>
  <c r="A104" i="42"/>
  <c r="E104" i="42"/>
  <c r="I104" i="42" s="1"/>
  <c r="H104" i="42"/>
  <c r="A105" i="42"/>
  <c r="E105" i="42"/>
  <c r="H105" i="42"/>
  <c r="I105" i="42"/>
  <c r="A106" i="42"/>
  <c r="H106" i="42"/>
  <c r="A107" i="42"/>
  <c r="H107" i="42"/>
  <c r="A108" i="42"/>
  <c r="E108" i="42"/>
  <c r="I108" i="42" s="1"/>
  <c r="H108" i="42"/>
  <c r="A109" i="42"/>
  <c r="H109" i="42"/>
  <c r="A110" i="42"/>
  <c r="E110" i="42"/>
  <c r="H110" i="42"/>
  <c r="I110" i="42"/>
  <c r="A111" i="42"/>
  <c r="E111" i="42"/>
  <c r="I111" i="42" s="1"/>
  <c r="H111" i="42"/>
  <c r="A112" i="42"/>
  <c r="H112" i="42"/>
  <c r="A113" i="42"/>
  <c r="E113" i="42"/>
  <c r="H113" i="42"/>
  <c r="I113" i="42"/>
  <c r="A114" i="42"/>
  <c r="E114" i="42"/>
  <c r="I114" i="42" s="1"/>
  <c r="H114" i="42"/>
  <c r="A115" i="42"/>
  <c r="E115" i="42"/>
  <c r="I115" i="42" s="1"/>
  <c r="H115" i="42"/>
  <c r="A116" i="42"/>
  <c r="H116" i="42"/>
  <c r="A117" i="42"/>
  <c r="H117" i="42"/>
  <c r="A118" i="42"/>
  <c r="H118" i="42"/>
  <c r="B424" i="1"/>
  <c r="B38" i="29"/>
  <c r="B37" i="29"/>
  <c r="G37" i="29"/>
  <c r="BE337" i="36"/>
  <c r="BB337" i="36"/>
  <c r="I7" i="7" l="1"/>
  <c r="H7" i="7"/>
  <c r="G7" i="7"/>
  <c r="F7" i="7"/>
  <c r="A10" i="9"/>
  <c r="A55" i="2"/>
  <c r="G53" i="33"/>
  <c r="I40" i="27" l="1"/>
  <c r="E360" i="1"/>
  <c r="AI1672" i="37" l="1"/>
  <c r="AI1699" i="37" s="1"/>
  <c r="V1671" i="37" l="1"/>
  <c r="V1698" i="37" s="1"/>
  <c r="M1007" i="40" l="1"/>
  <c r="M1042" i="40" s="1"/>
  <c r="I1007" i="40"/>
  <c r="O1007" i="40"/>
  <c r="O1042" i="40" s="1"/>
  <c r="L1007" i="40"/>
  <c r="L1042" i="40" s="1"/>
  <c r="H1007" i="40"/>
  <c r="H1042" i="40" s="1"/>
  <c r="J1007" i="40"/>
  <c r="J1042" i="40" s="1"/>
  <c r="K1007" i="40"/>
  <c r="K1042" i="40" s="1"/>
  <c r="S1007" i="40"/>
  <c r="S1042" i="40" s="1"/>
  <c r="R1007" i="40"/>
  <c r="R1042" i="40" s="1"/>
  <c r="Q1007" i="40"/>
  <c r="Q1042" i="40" s="1"/>
  <c r="N1007" i="40"/>
  <c r="N1042" i="40" s="1"/>
  <c r="P1007" i="40" l="1"/>
  <c r="P1042" i="40" s="1"/>
  <c r="I1042" i="40"/>
  <c r="I1005" i="40"/>
  <c r="I1038" i="40" s="1"/>
  <c r="J1005" i="40"/>
  <c r="J1038" i="40" s="1"/>
  <c r="K1005" i="40"/>
  <c r="K1038" i="40" s="1"/>
  <c r="L1005" i="40"/>
  <c r="L1038" i="40" s="1"/>
  <c r="M1005" i="40"/>
  <c r="M1038" i="40" s="1"/>
  <c r="N1005" i="40"/>
  <c r="N1038" i="40" s="1"/>
  <c r="O1005" i="40"/>
  <c r="O1038" i="40" s="1"/>
  <c r="P1005" i="40"/>
  <c r="P1038" i="40" s="1"/>
  <c r="Q1005" i="40"/>
  <c r="Q1038" i="40" s="1"/>
  <c r="R1005" i="40"/>
  <c r="R1038" i="40" s="1"/>
  <c r="S1005" i="40"/>
  <c r="S1038" i="40" s="1"/>
  <c r="H1005" i="40"/>
  <c r="H1038" i="40" s="1"/>
  <c r="Q1006" i="40" l="1"/>
  <c r="Q1040" i="40" s="1"/>
  <c r="M1006" i="40"/>
  <c r="M1040" i="40" s="1"/>
  <c r="I1006" i="40"/>
  <c r="I1040" i="40" s="1"/>
  <c r="S1006" i="40"/>
  <c r="S1040" i="40" s="1"/>
  <c r="O1006" i="40"/>
  <c r="O1040" i="40" s="1"/>
  <c r="K1006" i="40"/>
  <c r="K1040" i="40" s="1"/>
  <c r="H1006" i="40"/>
  <c r="H1040" i="40" s="1"/>
  <c r="P1006" i="40"/>
  <c r="P1040" i="40" s="1"/>
  <c r="L1006" i="40"/>
  <c r="L1040" i="40" s="1"/>
  <c r="J1006" i="40"/>
  <c r="J1040" i="40" s="1"/>
  <c r="R1006" i="40"/>
  <c r="R1040" i="40" s="1"/>
  <c r="N1006" i="40"/>
  <c r="N1040" i="40" s="1"/>
  <c r="E152" i="1" l="1"/>
  <c r="G68" i="33" l="1"/>
  <c r="E69" i="33"/>
  <c r="D337" i="36" l="1"/>
  <c r="E337" i="36"/>
  <c r="F337" i="36"/>
  <c r="G337" i="36"/>
  <c r="H337" i="36"/>
  <c r="I337" i="36"/>
  <c r="J337" i="36"/>
  <c r="K337" i="36"/>
  <c r="L337" i="36"/>
  <c r="AM1674" i="37" l="1"/>
  <c r="AM1701" i="37" s="1"/>
  <c r="AM1673" i="37"/>
  <c r="AM1700" i="37" s="1"/>
  <c r="AM1672" i="37"/>
  <c r="AM1699" i="37" s="1"/>
  <c r="AM1671" i="37"/>
  <c r="AM1698" i="37" s="1"/>
  <c r="AM1670" i="37"/>
  <c r="AM1697" i="37" s="1"/>
  <c r="AL1674" i="37"/>
  <c r="AL1701" i="37" s="1"/>
  <c r="AL1673" i="37"/>
  <c r="AL1700" i="37" s="1"/>
  <c r="AL1672" i="37"/>
  <c r="AL1699" i="37" s="1"/>
  <c r="AL1671" i="37"/>
  <c r="AL1698" i="37" s="1"/>
  <c r="AL1670" i="37"/>
  <c r="AL1697" i="37" s="1"/>
  <c r="AK1674" i="37"/>
  <c r="AK1701" i="37" s="1"/>
  <c r="AK1673" i="37"/>
  <c r="AK1700" i="37" s="1"/>
  <c r="AK1672" i="37"/>
  <c r="AK1699" i="37" s="1"/>
  <c r="AK1671" i="37"/>
  <c r="AK1698" i="37" s="1"/>
  <c r="AK1670" i="37"/>
  <c r="AK1697" i="37" s="1"/>
  <c r="AJ1674" i="37"/>
  <c r="AJ1701" i="37" s="1"/>
  <c r="AJ1673" i="37"/>
  <c r="AJ1700" i="37" s="1"/>
  <c r="AJ1672" i="37"/>
  <c r="AJ1699" i="37" s="1"/>
  <c r="AJ1671" i="37"/>
  <c r="AJ1698" i="37" s="1"/>
  <c r="AJ1670" i="37"/>
  <c r="AJ1697" i="37" s="1"/>
  <c r="AI1674" i="37"/>
  <c r="AI1701" i="37" s="1"/>
  <c r="AI1673" i="37"/>
  <c r="AI1700" i="37" s="1"/>
  <c r="AI1671" i="37"/>
  <c r="AI1698" i="37" s="1"/>
  <c r="AI1670" i="37"/>
  <c r="AI1697" i="37" s="1"/>
  <c r="AH1674" i="37"/>
  <c r="AH1701" i="37" s="1"/>
  <c r="AH1673" i="37"/>
  <c r="AH1700" i="37" s="1"/>
  <c r="AH1672" i="37"/>
  <c r="AH1699" i="37" s="1"/>
  <c r="AH1671" i="37"/>
  <c r="AH1698" i="37" s="1"/>
  <c r="AH1670" i="37"/>
  <c r="AH1697" i="37" s="1"/>
  <c r="AG1674" i="37"/>
  <c r="AG1701" i="37" s="1"/>
  <c r="AG1673" i="37"/>
  <c r="AG1700" i="37" s="1"/>
  <c r="AG1672" i="37"/>
  <c r="AG1699" i="37" s="1"/>
  <c r="AG1671" i="37"/>
  <c r="AG1698" i="37" s="1"/>
  <c r="AG1670" i="37"/>
  <c r="AG1697" i="37" s="1"/>
  <c r="AF1674" i="37"/>
  <c r="AF1701" i="37" s="1"/>
  <c r="AF1673" i="37"/>
  <c r="AF1700" i="37" s="1"/>
  <c r="AF1672" i="37"/>
  <c r="AF1699" i="37" s="1"/>
  <c r="AF1671" i="37"/>
  <c r="AF1698" i="37" s="1"/>
  <c r="AF1670" i="37"/>
  <c r="AF1697" i="37" s="1"/>
  <c r="AE1674" i="37"/>
  <c r="AE1701" i="37" s="1"/>
  <c r="AE1673" i="37"/>
  <c r="AE1700" i="37" s="1"/>
  <c r="AE1672" i="37"/>
  <c r="AE1699" i="37" s="1"/>
  <c r="AE1671" i="37"/>
  <c r="AE1698" i="37" s="1"/>
  <c r="AE1670" i="37"/>
  <c r="AE1697" i="37" s="1"/>
  <c r="AD1674" i="37"/>
  <c r="AD1701" i="37" s="1"/>
  <c r="AD1673" i="37"/>
  <c r="AD1700" i="37" s="1"/>
  <c r="AD1672" i="37"/>
  <c r="AD1699" i="37" s="1"/>
  <c r="AD1671" i="37"/>
  <c r="AD1698" i="37" s="1"/>
  <c r="AD1670" i="37"/>
  <c r="AD1697" i="37" s="1"/>
  <c r="AC1674" i="37"/>
  <c r="AC1701" i="37" s="1"/>
  <c r="AC1673" i="37"/>
  <c r="AC1700" i="37" s="1"/>
  <c r="AC1672" i="37"/>
  <c r="AC1699" i="37" s="1"/>
  <c r="AC1671" i="37"/>
  <c r="AC1698" i="37" s="1"/>
  <c r="AC1670" i="37"/>
  <c r="AC1697" i="37" s="1"/>
  <c r="AB1674" i="37"/>
  <c r="AB1701" i="37" s="1"/>
  <c r="AB1673" i="37"/>
  <c r="AB1700" i="37" s="1"/>
  <c r="AB1672" i="37"/>
  <c r="AB1699" i="37" s="1"/>
  <c r="AB1671" i="37"/>
  <c r="AB1698" i="37" s="1"/>
  <c r="AB1670" i="37"/>
  <c r="AB1697" i="37" s="1"/>
  <c r="AA1674" i="37"/>
  <c r="AA1701" i="37" s="1"/>
  <c r="AA1673" i="37"/>
  <c r="AA1700" i="37" s="1"/>
  <c r="AA1672" i="37"/>
  <c r="AA1699" i="37" s="1"/>
  <c r="AA1671" i="37"/>
  <c r="AA1698" i="37" s="1"/>
  <c r="AA1670" i="37"/>
  <c r="AA1697" i="37" s="1"/>
  <c r="Z1674" i="37"/>
  <c r="Z1701" i="37" s="1"/>
  <c r="Z1673" i="37"/>
  <c r="Z1700" i="37" s="1"/>
  <c r="Z1672" i="37"/>
  <c r="Z1699" i="37" s="1"/>
  <c r="Z1671" i="37"/>
  <c r="Z1698" i="37" s="1"/>
  <c r="Z1670" i="37"/>
  <c r="Z1697" i="37" s="1"/>
  <c r="Y1674" i="37"/>
  <c r="Y1701" i="37" s="1"/>
  <c r="Y1673" i="37"/>
  <c r="Y1700" i="37" s="1"/>
  <c r="Y1672" i="37"/>
  <c r="Y1699" i="37" s="1"/>
  <c r="Y1671" i="37"/>
  <c r="Y1698" i="37" s="1"/>
  <c r="Y1670" i="37"/>
  <c r="Y1697" i="37" s="1"/>
  <c r="X1674" i="37"/>
  <c r="X1701" i="37" s="1"/>
  <c r="X1673" i="37"/>
  <c r="X1700" i="37" s="1"/>
  <c r="X1672" i="37"/>
  <c r="X1699" i="37" s="1"/>
  <c r="X1671" i="37"/>
  <c r="X1698" i="37" s="1"/>
  <c r="X1670" i="37"/>
  <c r="X1697" i="37" s="1"/>
  <c r="W1674" i="37"/>
  <c r="W1701" i="37" s="1"/>
  <c r="W1673" i="37"/>
  <c r="W1700" i="37" s="1"/>
  <c r="W1672" i="37"/>
  <c r="W1699" i="37" s="1"/>
  <c r="W1671" i="37"/>
  <c r="W1698" i="37" s="1"/>
  <c r="W1670" i="37"/>
  <c r="W1697" i="37" s="1"/>
  <c r="V1674" i="37"/>
  <c r="V1701" i="37" s="1"/>
  <c r="V1673" i="37"/>
  <c r="V1700" i="37" s="1"/>
  <c r="V1672" i="37"/>
  <c r="V1699" i="37" s="1"/>
  <c r="V1670" i="37"/>
  <c r="V1697" i="37" s="1"/>
  <c r="U1674" i="37"/>
  <c r="U1701" i="37" s="1"/>
  <c r="U1673" i="37"/>
  <c r="U1700" i="37" s="1"/>
  <c r="U1672" i="37"/>
  <c r="U1699" i="37" s="1"/>
  <c r="U1671" i="37"/>
  <c r="U1698" i="37" s="1"/>
  <c r="U1670" i="37"/>
  <c r="U1697" i="37" s="1"/>
  <c r="T1674" i="37"/>
  <c r="T1701" i="37" s="1"/>
  <c r="T1673" i="37"/>
  <c r="T1700" i="37" s="1"/>
  <c r="T1672" i="37"/>
  <c r="T1699" i="37" s="1"/>
  <c r="T1671" i="37"/>
  <c r="T1698" i="37" s="1"/>
  <c r="T1670" i="37"/>
  <c r="T1697" i="37" s="1"/>
  <c r="S1674" i="37"/>
  <c r="S1701" i="37" s="1"/>
  <c r="S1673" i="37"/>
  <c r="S1700" i="37" s="1"/>
  <c r="S1672" i="37"/>
  <c r="S1699" i="37" s="1"/>
  <c r="S1671" i="37"/>
  <c r="S1698" i="37" s="1"/>
  <c r="S1670" i="37"/>
  <c r="S1697" i="37" s="1"/>
  <c r="R1674" i="37"/>
  <c r="R1701" i="37" s="1"/>
  <c r="R1673" i="37"/>
  <c r="R1700" i="37" s="1"/>
  <c r="R1672" i="37"/>
  <c r="R1699" i="37" s="1"/>
  <c r="R1671" i="37"/>
  <c r="R1698" i="37" s="1"/>
  <c r="R1670" i="37"/>
  <c r="R1697" i="37" s="1"/>
  <c r="Q1674" i="37"/>
  <c r="Q1701" i="37" s="1"/>
  <c r="Q1673" i="37"/>
  <c r="Q1700" i="37" s="1"/>
  <c r="Q1672" i="37"/>
  <c r="Q1699" i="37" s="1"/>
  <c r="Q1671" i="37"/>
  <c r="Q1698" i="37" s="1"/>
  <c r="Q1670" i="37"/>
  <c r="Q1697" i="37" s="1"/>
  <c r="P1674" i="37"/>
  <c r="P1701" i="37" s="1"/>
  <c r="P1673" i="37"/>
  <c r="P1700" i="37" s="1"/>
  <c r="P1672" i="37"/>
  <c r="P1699" i="37" s="1"/>
  <c r="P1671" i="37"/>
  <c r="P1698" i="37" s="1"/>
  <c r="P1670" i="37"/>
  <c r="P1697" i="37" s="1"/>
  <c r="O1674" i="37"/>
  <c r="O1701" i="37" s="1"/>
  <c r="O1673" i="37"/>
  <c r="O1700" i="37" s="1"/>
  <c r="O1672" i="37"/>
  <c r="O1699" i="37" s="1"/>
  <c r="O1671" i="37"/>
  <c r="O1698" i="37" s="1"/>
  <c r="O1670" i="37"/>
  <c r="O1697" i="37" s="1"/>
  <c r="N1674" i="37"/>
  <c r="N1701" i="37" s="1"/>
  <c r="N1673" i="37"/>
  <c r="N1700" i="37" s="1"/>
  <c r="N1672" i="37"/>
  <c r="N1699" i="37" s="1"/>
  <c r="N1671" i="37"/>
  <c r="N1698" i="37" s="1"/>
  <c r="N1670" i="37"/>
  <c r="N1697" i="37" s="1"/>
  <c r="M1674" i="37"/>
  <c r="M1701" i="37" s="1"/>
  <c r="M1673" i="37"/>
  <c r="M1700" i="37" s="1"/>
  <c r="M1672" i="37"/>
  <c r="M1699" i="37" s="1"/>
  <c r="M1671" i="37"/>
  <c r="M1698" i="37" s="1"/>
  <c r="M1670" i="37"/>
  <c r="M1697" i="37" s="1"/>
  <c r="L1674" i="37"/>
  <c r="L1701" i="37" s="1"/>
  <c r="L1673" i="37"/>
  <c r="L1700" i="37" s="1"/>
  <c r="L1672" i="37"/>
  <c r="L1699" i="37" s="1"/>
  <c r="L1671" i="37"/>
  <c r="L1698" i="37" s="1"/>
  <c r="L1670" i="37"/>
  <c r="L1697" i="37" s="1"/>
  <c r="K1674" i="37"/>
  <c r="K1701" i="37" s="1"/>
  <c r="K1673" i="37"/>
  <c r="K1700" i="37" s="1"/>
  <c r="K1672" i="37"/>
  <c r="K1699" i="37" s="1"/>
  <c r="K1671" i="37"/>
  <c r="K1698" i="37" s="1"/>
  <c r="K1670" i="37"/>
  <c r="K1697" i="37" s="1"/>
  <c r="J1674" i="37"/>
  <c r="J1701" i="37" s="1"/>
  <c r="J1673" i="37"/>
  <c r="J1700" i="37" s="1"/>
  <c r="J1672" i="37"/>
  <c r="J1699" i="37" s="1"/>
  <c r="J1671" i="37"/>
  <c r="J1698" i="37" s="1"/>
  <c r="J1670" i="37"/>
  <c r="J1697" i="37" s="1"/>
  <c r="I1674" i="37"/>
  <c r="I1701" i="37" s="1"/>
  <c r="I1673" i="37"/>
  <c r="I1700" i="37" s="1"/>
  <c r="I1672" i="37"/>
  <c r="I1699" i="37" s="1"/>
  <c r="I1671" i="37"/>
  <c r="I1698" i="37" s="1"/>
  <c r="I1670" i="37"/>
  <c r="I1697" i="37" s="1"/>
  <c r="H1674" i="37"/>
  <c r="H1701" i="37" s="1"/>
  <c r="H1673" i="37"/>
  <c r="H1700" i="37" s="1"/>
  <c r="H1672" i="37"/>
  <c r="H1699" i="37" s="1"/>
  <c r="H1671" i="37"/>
  <c r="H1698" i="37" s="1"/>
  <c r="H1670" i="37"/>
  <c r="H1697" i="37" s="1"/>
  <c r="G1674" i="37"/>
  <c r="G1701" i="37" s="1"/>
  <c r="G1673" i="37"/>
  <c r="G1700" i="37" s="1"/>
  <c r="G1672" i="37"/>
  <c r="G1699" i="37" s="1"/>
  <c r="G1671" i="37"/>
  <c r="G1698" i="37" s="1"/>
  <c r="G1670" i="37"/>
  <c r="G1697" i="37" s="1"/>
  <c r="F1671" i="37"/>
  <c r="F1698" i="37" s="1"/>
  <c r="F1672" i="37"/>
  <c r="F1699" i="37" s="1"/>
  <c r="F1673" i="37"/>
  <c r="F1700" i="37" s="1"/>
  <c r="F1674" i="37"/>
  <c r="F1701" i="37" s="1"/>
  <c r="F1670" i="37"/>
  <c r="F1697" i="37" s="1"/>
  <c r="D5" i="39" l="1"/>
  <c r="L5" i="39"/>
  <c r="M5" i="39"/>
  <c r="M16" i="39" s="1"/>
  <c r="N5" i="39"/>
  <c r="N15" i="39" s="1"/>
  <c r="D15" i="39"/>
  <c r="L15" i="39"/>
  <c r="M15" i="39"/>
  <c r="D16" i="39"/>
  <c r="L16" i="39"/>
  <c r="N16" i="39"/>
  <c r="D17" i="39"/>
  <c r="L17" i="39"/>
  <c r="M17" i="39"/>
  <c r="N17" i="39"/>
  <c r="D18" i="39"/>
  <c r="L18" i="39"/>
  <c r="M18" i="39"/>
  <c r="N18" i="39"/>
  <c r="D19" i="39"/>
  <c r="L19" i="39"/>
  <c r="M19" i="39"/>
  <c r="N19" i="39"/>
  <c r="D20" i="39"/>
  <c r="L20" i="39"/>
  <c r="M20" i="39"/>
  <c r="N20" i="39"/>
  <c r="D21" i="39"/>
  <c r="L21" i="39"/>
  <c r="M21" i="39"/>
  <c r="N21" i="39"/>
  <c r="D22" i="39"/>
  <c r="L22" i="39"/>
  <c r="M22" i="39"/>
  <c r="N22" i="39"/>
  <c r="D23" i="39"/>
  <c r="L23" i="39"/>
  <c r="M23" i="39"/>
  <c r="N23" i="39"/>
  <c r="D24" i="39"/>
  <c r="L24" i="39"/>
  <c r="M24" i="39"/>
  <c r="N24" i="39"/>
  <c r="D25" i="39"/>
  <c r="L25" i="39"/>
  <c r="M25" i="39"/>
  <c r="N25" i="39"/>
  <c r="D26" i="39"/>
  <c r="L26" i="39"/>
  <c r="M26" i="39"/>
  <c r="N26" i="39"/>
  <c r="D27" i="39"/>
  <c r="L27" i="39"/>
  <c r="M27" i="39"/>
  <c r="N27" i="39"/>
  <c r="D28" i="39"/>
  <c r="L28" i="39"/>
  <c r="M28" i="39"/>
  <c r="N28" i="39"/>
  <c r="D29" i="39"/>
  <c r="L29" i="39"/>
  <c r="M29" i="39"/>
  <c r="N29" i="39"/>
  <c r="D30" i="39"/>
  <c r="L30" i="39"/>
  <c r="M30" i="39"/>
  <c r="N30" i="39"/>
  <c r="D31" i="39"/>
  <c r="L31" i="39"/>
  <c r="M31" i="39"/>
  <c r="N31" i="39"/>
  <c r="D32" i="39"/>
  <c r="L32" i="39"/>
  <c r="M32" i="39"/>
  <c r="N32" i="39"/>
  <c r="D33" i="39"/>
  <c r="L33" i="39"/>
  <c r="M33" i="39"/>
  <c r="N33" i="39"/>
  <c r="D34" i="39"/>
  <c r="L34" i="39"/>
  <c r="M34" i="39"/>
  <c r="N34" i="39"/>
  <c r="D35" i="39"/>
  <c r="L35" i="39"/>
  <c r="M35" i="39"/>
  <c r="N35" i="39"/>
  <c r="D36" i="39"/>
  <c r="L36" i="39"/>
  <c r="M36" i="39"/>
  <c r="N36" i="39"/>
  <c r="D37" i="39"/>
  <c r="L37" i="39"/>
  <c r="M37" i="39"/>
  <c r="N37" i="39"/>
  <c r="D38" i="39"/>
  <c r="L38" i="39"/>
  <c r="M38" i="39"/>
  <c r="N38" i="39"/>
  <c r="D39" i="39"/>
  <c r="L39" i="39"/>
  <c r="M39" i="39"/>
  <c r="N39" i="39"/>
  <c r="D40" i="39"/>
  <c r="L40" i="39"/>
  <c r="M40" i="39"/>
  <c r="N40" i="39"/>
  <c r="D41" i="39"/>
  <c r="L41" i="39"/>
  <c r="M41" i="39"/>
  <c r="N41" i="39"/>
  <c r="D42" i="39"/>
  <c r="L42" i="39"/>
  <c r="M42" i="39"/>
  <c r="N42" i="39"/>
  <c r="D43" i="39"/>
  <c r="L43" i="39"/>
  <c r="M43" i="39"/>
  <c r="N43" i="39"/>
  <c r="D44" i="39"/>
  <c r="L44" i="39"/>
  <c r="M44" i="39"/>
  <c r="N44" i="39"/>
  <c r="D45" i="39"/>
  <c r="L45" i="39"/>
  <c r="M45" i="39"/>
  <c r="N45" i="39"/>
  <c r="D46" i="39"/>
  <c r="L46" i="39"/>
  <c r="M46" i="39"/>
  <c r="N46" i="39"/>
  <c r="D47" i="39"/>
  <c r="L47" i="39"/>
  <c r="M47" i="39"/>
  <c r="N47" i="39"/>
  <c r="D48" i="39"/>
  <c r="L48" i="39"/>
  <c r="M48" i="39"/>
  <c r="N48" i="39"/>
  <c r="D49" i="39"/>
  <c r="L49" i="39"/>
  <c r="M49" i="39"/>
  <c r="N49" i="39"/>
  <c r="D50" i="39"/>
  <c r="L50" i="39"/>
  <c r="M50" i="39"/>
  <c r="N50" i="39"/>
  <c r="D51" i="39"/>
  <c r="L51" i="39"/>
  <c r="M51" i="39"/>
  <c r="N51" i="39"/>
  <c r="D52" i="39"/>
  <c r="L52" i="39"/>
  <c r="M52" i="39"/>
  <c r="N52" i="39"/>
  <c r="D53" i="39"/>
  <c r="L53" i="39"/>
  <c r="M53" i="39"/>
  <c r="N53" i="39"/>
  <c r="D54" i="39"/>
  <c r="L54" i="39"/>
  <c r="M54" i="39"/>
  <c r="N54" i="39"/>
  <c r="G57" i="39"/>
  <c r="E25" i="39" l="1"/>
  <c r="E24" i="39"/>
  <c r="F24" i="39" s="1"/>
  <c r="E23" i="39"/>
  <c r="F23" i="39" s="1"/>
  <c r="E22" i="39"/>
  <c r="F22" i="39" s="1"/>
  <c r="E21" i="39"/>
  <c r="F21" i="39" s="1"/>
  <c r="E53" i="39"/>
  <c r="F53" i="39" s="1"/>
  <c r="E33" i="39"/>
  <c r="F33" i="39" s="1"/>
  <c r="E29" i="39"/>
  <c r="F29" i="39" s="1"/>
  <c r="E49" i="39"/>
  <c r="F49" i="39" s="1"/>
  <c r="E45" i="39"/>
  <c r="F45" i="39" s="1"/>
  <c r="E41" i="39"/>
  <c r="F41" i="39" s="1"/>
  <c r="E37" i="39"/>
  <c r="F37" i="39" s="1"/>
  <c r="F25" i="39"/>
  <c r="E20" i="39"/>
  <c r="F20" i="39" s="1"/>
  <c r="E19" i="39"/>
  <c r="F19" i="39" s="1"/>
  <c r="E18" i="39"/>
  <c r="F18" i="39" s="1"/>
  <c r="E52" i="39"/>
  <c r="F52" i="39" s="1"/>
  <c r="E51" i="39"/>
  <c r="F51" i="39" s="1"/>
  <c r="E50" i="39"/>
  <c r="F50" i="39" s="1"/>
  <c r="E48" i="39"/>
  <c r="F48" i="39" s="1"/>
  <c r="E47" i="39"/>
  <c r="F47" i="39" s="1"/>
  <c r="E46" i="39"/>
  <c r="F46" i="39" s="1"/>
  <c r="E44" i="39"/>
  <c r="F44" i="39" s="1"/>
  <c r="E43" i="39"/>
  <c r="F43" i="39" s="1"/>
  <c r="E42" i="39"/>
  <c r="F42" i="39" s="1"/>
  <c r="E40" i="39"/>
  <c r="F40" i="39" s="1"/>
  <c r="E39" i="39"/>
  <c r="F39" i="39" s="1"/>
  <c r="E38" i="39"/>
  <c r="F38" i="39" s="1"/>
  <c r="E36" i="39"/>
  <c r="F36" i="39" s="1"/>
  <c r="E35" i="39"/>
  <c r="F35" i="39" s="1"/>
  <c r="E34" i="39"/>
  <c r="F34" i="39" s="1"/>
  <c r="E32" i="39"/>
  <c r="F32" i="39" s="1"/>
  <c r="E31" i="39"/>
  <c r="F31" i="39" s="1"/>
  <c r="E30" i="39"/>
  <c r="F30" i="39" s="1"/>
  <c r="E54" i="39"/>
  <c r="F54" i="39" s="1"/>
  <c r="E28" i="39"/>
  <c r="F28" i="39" s="1"/>
  <c r="E27" i="39"/>
  <c r="F27" i="39" s="1"/>
  <c r="E26" i="39"/>
  <c r="F26" i="39" s="1"/>
  <c r="E15" i="39"/>
  <c r="F15" i="39" s="1"/>
  <c r="E17" i="39"/>
  <c r="F17" i="39" s="1"/>
  <c r="E16" i="39"/>
  <c r="F16" i="39" s="1"/>
  <c r="D55" i="39"/>
  <c r="E55" i="39" l="1"/>
  <c r="F55" i="39"/>
  <c r="H46" i="39" s="1"/>
  <c r="I46" i="39" s="1"/>
  <c r="J46" i="39" s="1"/>
  <c r="G284" i="1"/>
  <c r="G298" i="1"/>
  <c r="H47" i="39" l="1"/>
  <c r="I47" i="39" s="1"/>
  <c r="J47" i="39" s="1"/>
  <c r="H39" i="39"/>
  <c r="I39" i="39" s="1"/>
  <c r="J39" i="39" s="1"/>
  <c r="H31" i="39"/>
  <c r="I31" i="39" s="1"/>
  <c r="J31" i="39" s="1"/>
  <c r="H23" i="39"/>
  <c r="I23" i="39" s="1"/>
  <c r="J23" i="39" s="1"/>
  <c r="H20" i="39"/>
  <c r="I20" i="39" s="1"/>
  <c r="J20" i="39" s="1"/>
  <c r="H52" i="39"/>
  <c r="I52" i="39" s="1"/>
  <c r="J52" i="39" s="1"/>
  <c r="H44" i="39"/>
  <c r="I44" i="39" s="1"/>
  <c r="J44" i="39" s="1"/>
  <c r="H36" i="39"/>
  <c r="I36" i="39" s="1"/>
  <c r="J36" i="39" s="1"/>
  <c r="H21" i="39"/>
  <c r="I21" i="39" s="1"/>
  <c r="J21" i="39" s="1"/>
  <c r="H53" i="39"/>
  <c r="I53" i="39" s="1"/>
  <c r="J53" i="39" s="1"/>
  <c r="H45" i="39"/>
  <c r="I45" i="39" s="1"/>
  <c r="J45" i="39" s="1"/>
  <c r="H37" i="39"/>
  <c r="I37" i="39" s="1"/>
  <c r="J37" i="39" s="1"/>
  <c r="H28" i="39"/>
  <c r="I28" i="39" s="1"/>
  <c r="J28" i="39" s="1"/>
  <c r="H29" i="39"/>
  <c r="I29" i="39" s="1"/>
  <c r="J29" i="39" s="1"/>
  <c r="H19" i="39"/>
  <c r="I19" i="39" s="1"/>
  <c r="J19" i="39" s="1"/>
  <c r="H51" i="39"/>
  <c r="I51" i="39" s="1"/>
  <c r="J51" i="39" s="1"/>
  <c r="H43" i="39"/>
  <c r="I43" i="39" s="1"/>
  <c r="J43" i="39" s="1"/>
  <c r="H35" i="39"/>
  <c r="I35" i="39" s="1"/>
  <c r="J35" i="39" s="1"/>
  <c r="H18" i="39"/>
  <c r="I18" i="39" s="1"/>
  <c r="J18" i="39" s="1"/>
  <c r="H27" i="39"/>
  <c r="I27" i="39" s="1"/>
  <c r="J27" i="39" s="1"/>
  <c r="H25" i="39"/>
  <c r="I25" i="39" s="1"/>
  <c r="J25" i="39" s="1"/>
  <c r="H48" i="39"/>
  <c r="I48" i="39" s="1"/>
  <c r="J48" i="39" s="1"/>
  <c r="H40" i="39"/>
  <c r="I40" i="39" s="1"/>
  <c r="J40" i="39" s="1"/>
  <c r="H32" i="39"/>
  <c r="I32" i="39" s="1"/>
  <c r="J32" i="39" s="1"/>
  <c r="H17" i="39"/>
  <c r="I17" i="39" s="1"/>
  <c r="J17" i="39" s="1"/>
  <c r="H49" i="39"/>
  <c r="I49" i="39" s="1"/>
  <c r="J49" i="39" s="1"/>
  <c r="H41" i="39"/>
  <c r="I41" i="39" s="1"/>
  <c r="J41" i="39" s="1"/>
  <c r="H33" i="39"/>
  <c r="I33" i="39" s="1"/>
  <c r="J33" i="39" s="1"/>
  <c r="H24" i="39"/>
  <c r="I24" i="39" s="1"/>
  <c r="J24" i="39" s="1"/>
  <c r="H34" i="39"/>
  <c r="I34" i="39" s="1"/>
  <c r="J34" i="39" s="1"/>
  <c r="H38" i="39"/>
  <c r="I38" i="39" s="1"/>
  <c r="J38" i="39" s="1"/>
  <c r="H16" i="39"/>
  <c r="I16" i="39" s="1"/>
  <c r="J16" i="39" s="1"/>
  <c r="H26" i="39"/>
  <c r="I26" i="39" s="1"/>
  <c r="J26" i="39" s="1"/>
  <c r="H30" i="39"/>
  <c r="I30" i="39" s="1"/>
  <c r="J30" i="39" s="1"/>
  <c r="H50" i="39"/>
  <c r="I50" i="39" s="1"/>
  <c r="J50" i="39" s="1"/>
  <c r="H22" i="39"/>
  <c r="I22" i="39" s="1"/>
  <c r="J22" i="39" s="1"/>
  <c r="H54" i="39"/>
  <c r="I54" i="39" s="1"/>
  <c r="J54" i="39" s="1"/>
  <c r="H15" i="39"/>
  <c r="H42" i="39"/>
  <c r="I42" i="39" s="1"/>
  <c r="J42" i="39" s="1"/>
  <c r="G331" i="1"/>
  <c r="G330" i="1"/>
  <c r="I15" i="39" l="1"/>
  <c r="H55" i="39"/>
  <c r="I55" i="39" l="1"/>
  <c r="J15" i="39"/>
  <c r="J55" i="39" s="1"/>
  <c r="J7" i="39" s="1"/>
  <c r="G316" i="1"/>
  <c r="G315" i="1"/>
  <c r="AG337" i="36"/>
  <c r="AH337" i="36"/>
  <c r="AL337" i="36"/>
  <c r="AM337" i="36"/>
  <c r="AN337" i="36"/>
  <c r="AO337" i="36"/>
  <c r="AP337" i="36"/>
  <c r="AQ337" i="36"/>
  <c r="AR337" i="36"/>
  <c r="AS337" i="36"/>
  <c r="AT337" i="36"/>
  <c r="AU337" i="36"/>
  <c r="AV337" i="36"/>
  <c r="AW337" i="36"/>
  <c r="AX337" i="36"/>
  <c r="AY337" i="36"/>
  <c r="BA337" i="36"/>
  <c r="I7" i="39" l="1"/>
  <c r="J56" i="39"/>
  <c r="O11" i="7"/>
  <c r="O12" i="7"/>
  <c r="O13" i="7"/>
  <c r="O14" i="7"/>
  <c r="O15" i="7"/>
  <c r="O16" i="7"/>
  <c r="O17" i="7"/>
  <c r="O18" i="7"/>
  <c r="O19" i="7"/>
  <c r="O20" i="7"/>
  <c r="O21" i="7"/>
  <c r="O22" i="7"/>
  <c r="O23" i="7"/>
  <c r="O24" i="7"/>
  <c r="O25" i="7"/>
  <c r="O26" i="7"/>
  <c r="O27" i="7"/>
  <c r="O28" i="7"/>
  <c r="O29" i="7"/>
  <c r="O30" i="7"/>
  <c r="O31" i="7"/>
  <c r="O32" i="7"/>
  <c r="O10" i="7"/>
  <c r="O33" i="7" l="1"/>
  <c r="D34" i="7" s="1"/>
  <c r="J8" i="39"/>
  <c r="J57" i="39"/>
  <c r="J9" i="39" s="1"/>
  <c r="F59" i="35"/>
  <c r="F57" i="35"/>
  <c r="F56" i="35"/>
  <c r="F55" i="35"/>
  <c r="E57" i="35"/>
  <c r="E56" i="35"/>
  <c r="AF337" i="36" l="1"/>
  <c r="AE337" i="36"/>
  <c r="AC337" i="36"/>
  <c r="AB337" i="36"/>
  <c r="AA337" i="36"/>
  <c r="Z337" i="36"/>
  <c r="Y337" i="36"/>
  <c r="V337" i="36" l="1"/>
  <c r="U337" i="36"/>
  <c r="T337" i="36"/>
  <c r="S337" i="36"/>
  <c r="R337" i="36"/>
  <c r="M337" i="36"/>
  <c r="E41" i="33" l="1"/>
  <c r="B380" i="1"/>
  <c r="I34" i="27"/>
  <c r="G272" i="1"/>
  <c r="C52" i="4" l="1"/>
  <c r="E99" i="33"/>
  <c r="E100" i="33"/>
  <c r="E101" i="33"/>
  <c r="G70" i="33"/>
  <c r="G3" i="33"/>
  <c r="J3" i="33" s="1"/>
  <c r="G36" i="29" s="1"/>
  <c r="C37" i="29" s="1"/>
  <c r="J4" i="27" l="1"/>
  <c r="I4" i="27" s="1"/>
  <c r="H4" i="27" s="1"/>
  <c r="G4" i="27" s="1"/>
  <c r="F4" i="27" l="1"/>
  <c r="J3" i="6" l="1"/>
  <c r="I3" i="6"/>
  <c r="N44" i="6"/>
  <c r="N43" i="6"/>
  <c r="M24" i="6" l="1"/>
  <c r="M41" i="6" l="1"/>
  <c r="M39" i="6"/>
  <c r="M38" i="6"/>
  <c r="M37" i="6"/>
  <c r="M36" i="6"/>
  <c r="M34" i="6"/>
  <c r="M33" i="6"/>
  <c r="M32" i="6"/>
  <c r="M31" i="6"/>
  <c r="M30" i="6"/>
  <c r="M29" i="6"/>
  <c r="M28" i="6"/>
  <c r="M27" i="6"/>
  <c r="M21" i="6"/>
  <c r="M22" i="6"/>
  <c r="M20" i="6"/>
  <c r="M18" i="6"/>
  <c r="M17" i="6"/>
  <c r="M16" i="6"/>
  <c r="M15" i="6"/>
  <c r="M14" i="6"/>
  <c r="M13" i="6"/>
  <c r="M12" i="6"/>
  <c r="M11" i="6"/>
  <c r="M10" i="6"/>
  <c r="M9" i="6"/>
  <c r="M8" i="6"/>
  <c r="M7" i="6"/>
  <c r="M6" i="6"/>
  <c r="M5" i="6"/>
  <c r="M4" i="6"/>
  <c r="H52" i="13"/>
  <c r="G52" i="13"/>
  <c r="F52" i="13"/>
  <c r="E52" i="13"/>
  <c r="D52" i="13"/>
  <c r="C52" i="13"/>
  <c r="I52" i="12"/>
  <c r="H52" i="12"/>
  <c r="G52" i="12"/>
  <c r="F52" i="12"/>
  <c r="E52" i="12"/>
  <c r="D52" i="12"/>
  <c r="E337" i="21" l="1"/>
  <c r="E341" i="21" s="1"/>
  <c r="BA332" i="21"/>
  <c r="BA328" i="21"/>
  <c r="BA324" i="21"/>
  <c r="BA320" i="21"/>
  <c r="BA316" i="21"/>
  <c r="BA312" i="21"/>
  <c r="BA308" i="21"/>
  <c r="BA304" i="21"/>
  <c r="BA300" i="21"/>
  <c r="BA296" i="21"/>
  <c r="BA292" i="21"/>
  <c r="BA288" i="21"/>
  <c r="BA284" i="21"/>
  <c r="BA280" i="21"/>
  <c r="BA276" i="21"/>
  <c r="BA272" i="21"/>
  <c r="BA268" i="21"/>
  <c r="BA264" i="21"/>
  <c r="BA260" i="21"/>
  <c r="BA256" i="21"/>
  <c r="BA252" i="21"/>
  <c r="BA248" i="21"/>
  <c r="BA244" i="21"/>
  <c r="BA240" i="21"/>
  <c r="BA236" i="21"/>
  <c r="BA232" i="21"/>
  <c r="BA228" i="21"/>
  <c r="BA224" i="21"/>
  <c r="BA220" i="21"/>
  <c r="BA216" i="21"/>
  <c r="BA212" i="21"/>
  <c r="BA208" i="21"/>
  <c r="BA204" i="21"/>
  <c r="BA200" i="21"/>
  <c r="BA196" i="21"/>
  <c r="BA192" i="21"/>
  <c r="BA188" i="21"/>
  <c r="BA184" i="21"/>
  <c r="BA180" i="21"/>
  <c r="BA176" i="21"/>
  <c r="BA172" i="21"/>
  <c r="BA168" i="21"/>
  <c r="BA164" i="21"/>
  <c r="BA160" i="21"/>
  <c r="BA156" i="21"/>
  <c r="BA152" i="21"/>
  <c r="BA148" i="21"/>
  <c r="BA144" i="21"/>
  <c r="BA140" i="21"/>
  <c r="BA136" i="21"/>
  <c r="BA132" i="21"/>
  <c r="BA128" i="21"/>
  <c r="BA124" i="21"/>
  <c r="BA120" i="21"/>
  <c r="BA116" i="21"/>
  <c r="BA112" i="21"/>
  <c r="BA108" i="21"/>
  <c r="BA104" i="21"/>
  <c r="BA100" i="21"/>
  <c r="BA96" i="21"/>
  <c r="BA92" i="21"/>
  <c r="BA88" i="21"/>
  <c r="BA84" i="21"/>
  <c r="BA79" i="21"/>
  <c r="BA75" i="21"/>
  <c r="BA71" i="21"/>
  <c r="BA67" i="21"/>
  <c r="BA63" i="21"/>
  <c r="BA59" i="21"/>
  <c r="BA55" i="21"/>
  <c r="BA51" i="21"/>
  <c r="BA47" i="21"/>
  <c r="BA43" i="21"/>
  <c r="BA39" i="21"/>
  <c r="BA35" i="21"/>
  <c r="BA31" i="21"/>
  <c r="BA27" i="21"/>
  <c r="BA23" i="21"/>
  <c r="BA19" i="21"/>
  <c r="BA15" i="21"/>
  <c r="BA11" i="21"/>
  <c r="BA7" i="21"/>
  <c r="BA335" i="21"/>
  <c r="BA331" i="21"/>
  <c r="BA327" i="21"/>
  <c r="BA323" i="21"/>
  <c r="BA319" i="21"/>
  <c r="BA315" i="21"/>
  <c r="BA311" i="21"/>
  <c r="BA307" i="21"/>
  <c r="BA3" i="21"/>
  <c r="BA334" i="21"/>
  <c r="BA330" i="21"/>
  <c r="BA326" i="21"/>
  <c r="BA322" i="21"/>
  <c r="BA318" i="21"/>
  <c r="BA314" i="21"/>
  <c r="BA310" i="21"/>
  <c r="BA306" i="21"/>
  <c r="BA302" i="21"/>
  <c r="BA298" i="21"/>
  <c r="BA294" i="21"/>
  <c r="BA290" i="21"/>
  <c r="BB3" i="21"/>
  <c r="BA333" i="21"/>
  <c r="BA329" i="21"/>
  <c r="BA325" i="21"/>
  <c r="BA321" i="21"/>
  <c r="BA317" i="21"/>
  <c r="BA313" i="21"/>
  <c r="BA309" i="21"/>
  <c r="BB334" i="21"/>
  <c r="BB330" i="21"/>
  <c r="BB326" i="21"/>
  <c r="BB322" i="21"/>
  <c r="BB318" i="21"/>
  <c r="BB314" i="21"/>
  <c r="BB310" i="21"/>
  <c r="BB306" i="21"/>
  <c r="BB302" i="21"/>
  <c r="BB298" i="21"/>
  <c r="BB294" i="21"/>
  <c r="BB290" i="21"/>
  <c r="BB286" i="21"/>
  <c r="BB282" i="21"/>
  <c r="BB278" i="21"/>
  <c r="BB274" i="21"/>
  <c r="BB270" i="21"/>
  <c r="BB266" i="21"/>
  <c r="BB262" i="21"/>
  <c r="BB258" i="21"/>
  <c r="BB254" i="21"/>
  <c r="BB250" i="21"/>
  <c r="BB246" i="21"/>
  <c r="BB242" i="21"/>
  <c r="BB238" i="21"/>
  <c r="BB234" i="21"/>
  <c r="BB230" i="21"/>
  <c r="BB226" i="21"/>
  <c r="BB222" i="21"/>
  <c r="BB218" i="21"/>
  <c r="BB214" i="21"/>
  <c r="BB210" i="21"/>
  <c r="BB206" i="21"/>
  <c r="BB202" i="21"/>
  <c r="BB198" i="21"/>
  <c r="BB194" i="21"/>
  <c r="BB190" i="21"/>
  <c r="BB186" i="21"/>
  <c r="BB182" i="21"/>
  <c r="BB178" i="21"/>
  <c r="BB174" i="21"/>
  <c r="BB170" i="21"/>
  <c r="BB166" i="21"/>
  <c r="BB162" i="21"/>
  <c r="BB158" i="21"/>
  <c r="BB154" i="21"/>
  <c r="BB150" i="21"/>
  <c r="BB146" i="21"/>
  <c r="BB142" i="21"/>
  <c r="BB138" i="21"/>
  <c r="BB134" i="21"/>
  <c r="BB130" i="21"/>
  <c r="BB126" i="21"/>
  <c r="BB122" i="21"/>
  <c r="BB118" i="21"/>
  <c r="BB114" i="21"/>
  <c r="BB110" i="21"/>
  <c r="BB106" i="21"/>
  <c r="BB102" i="21"/>
  <c r="BB98" i="21"/>
  <c r="BB94" i="21"/>
  <c r="BB90" i="21"/>
  <c r="BB86" i="21"/>
  <c r="BB82" i="21"/>
  <c r="BB77" i="21"/>
  <c r="BB73" i="21"/>
  <c r="BB69" i="21"/>
  <c r="BB65" i="21"/>
  <c r="BB61" i="21"/>
  <c r="BB57" i="21"/>
  <c r="BB53" i="21"/>
  <c r="BB49" i="21"/>
  <c r="BB45" i="21"/>
  <c r="BB41" i="21"/>
  <c r="BB37" i="21"/>
  <c r="BB33" i="21"/>
  <c r="BB29" i="21"/>
  <c r="BB25" i="21"/>
  <c r="BB21" i="21"/>
  <c r="BB17" i="21"/>
  <c r="BB13" i="21"/>
  <c r="BB9" i="21"/>
  <c r="BB4" i="21"/>
  <c r="BA303" i="21"/>
  <c r="BA299" i="21"/>
  <c r="BA295" i="21"/>
  <c r="BA291" i="21"/>
  <c r="BA287" i="21"/>
  <c r="BA283" i="21"/>
  <c r="BA279" i="21"/>
  <c r="BA275" i="21"/>
  <c r="BA271" i="21"/>
  <c r="BA267" i="21"/>
  <c r="BA263" i="21"/>
  <c r="BA259" i="21"/>
  <c r="BA255" i="21"/>
  <c r="BA251" i="21"/>
  <c r="BA247" i="21"/>
  <c r="BA243" i="21"/>
  <c r="BA239" i="21"/>
  <c r="BA235" i="21"/>
  <c r="BA231" i="21"/>
  <c r="BA227" i="21"/>
  <c r="BA223" i="21"/>
  <c r="BA219" i="21"/>
  <c r="BA215" i="21"/>
  <c r="BA211" i="21"/>
  <c r="BA207" i="21"/>
  <c r="BA203" i="21"/>
  <c r="BA199" i="21"/>
  <c r="BA195" i="21"/>
  <c r="BA191" i="21"/>
  <c r="BA187" i="21"/>
  <c r="BA183" i="21"/>
  <c r="BA179" i="21"/>
  <c r="BA175" i="21"/>
  <c r="BA171" i="21"/>
  <c r="BA167" i="21"/>
  <c r="BA163" i="21"/>
  <c r="BA159" i="21"/>
  <c r="BA155" i="21"/>
  <c r="BA151" i="21"/>
  <c r="BA147" i="21"/>
  <c r="BA143" i="21"/>
  <c r="BA139" i="21"/>
  <c r="BA135" i="21"/>
  <c r="BA131" i="21"/>
  <c r="BA127" i="21"/>
  <c r="BA123" i="21"/>
  <c r="BA119" i="21"/>
  <c r="BA115" i="21"/>
  <c r="BA111" i="21"/>
  <c r="BA107" i="21"/>
  <c r="BA103" i="21"/>
  <c r="BA99" i="21"/>
  <c r="BA95" i="21"/>
  <c r="BA91" i="21"/>
  <c r="BA87" i="21"/>
  <c r="BA83" i="21"/>
  <c r="BA78" i="21"/>
  <c r="BA74" i="21"/>
  <c r="BA70" i="21"/>
  <c r="BA66" i="21"/>
  <c r="BA62" i="21"/>
  <c r="BA58" i="21"/>
  <c r="BA54" i="21"/>
  <c r="BA50" i="21"/>
  <c r="BA46" i="21"/>
  <c r="BA42" i="21"/>
  <c r="BA38" i="21"/>
  <c r="BA34" i="21"/>
  <c r="BA30" i="21"/>
  <c r="BA26" i="21"/>
  <c r="BA22" i="21"/>
  <c r="BA18" i="21"/>
  <c r="BA14" i="21"/>
  <c r="BA10" i="21"/>
  <c r="BA5" i="21"/>
  <c r="BB333" i="21"/>
  <c r="BB329" i="21"/>
  <c r="BB325" i="21"/>
  <c r="BB321" i="21"/>
  <c r="BB317" i="21"/>
  <c r="BB313" i="21"/>
  <c r="BB309" i="21"/>
  <c r="BB305" i="21"/>
  <c r="BB301" i="21"/>
  <c r="BB297" i="21"/>
  <c r="BB293" i="21"/>
  <c r="BB289" i="21"/>
  <c r="BB285" i="21"/>
  <c r="BB281" i="21"/>
  <c r="BA286" i="21"/>
  <c r="BA282" i="21"/>
  <c r="BA278" i="21"/>
  <c r="BA274" i="21"/>
  <c r="BA270" i="21"/>
  <c r="BA266" i="21"/>
  <c r="BA262" i="21"/>
  <c r="BA258" i="21"/>
  <c r="BA254" i="21"/>
  <c r="BA250" i="21"/>
  <c r="BA246" i="21"/>
  <c r="BA242" i="21"/>
  <c r="BA238" i="21"/>
  <c r="BA234" i="21"/>
  <c r="BA230" i="21"/>
  <c r="BA226" i="21"/>
  <c r="BA222" i="21"/>
  <c r="BA218" i="21"/>
  <c r="BA214" i="21"/>
  <c r="BA210" i="21"/>
  <c r="BA206" i="21"/>
  <c r="BA202" i="21"/>
  <c r="BA198" i="21"/>
  <c r="BA194" i="21"/>
  <c r="BA190" i="21"/>
  <c r="BA186" i="21"/>
  <c r="BA182" i="21"/>
  <c r="BA178" i="21"/>
  <c r="BA174" i="21"/>
  <c r="BA170" i="21"/>
  <c r="BA166" i="21"/>
  <c r="BA162" i="21"/>
  <c r="BA158" i="21"/>
  <c r="BA154" i="21"/>
  <c r="BA150" i="21"/>
  <c r="BA146" i="21"/>
  <c r="BA142" i="21"/>
  <c r="BA138" i="21"/>
  <c r="BA134" i="21"/>
  <c r="BA130" i="21"/>
  <c r="BA126" i="21"/>
  <c r="BA122" i="21"/>
  <c r="BA118" i="21"/>
  <c r="BA114" i="21"/>
  <c r="BA110" i="21"/>
  <c r="BA106" i="21"/>
  <c r="BA102" i="21"/>
  <c r="BA98" i="21"/>
  <c r="BA94" i="21"/>
  <c r="BA90" i="21"/>
  <c r="BA86" i="21"/>
  <c r="BA82" i="21"/>
  <c r="BA77" i="21"/>
  <c r="BA73" i="21"/>
  <c r="BA69" i="21"/>
  <c r="BA65" i="21"/>
  <c r="BA61" i="21"/>
  <c r="BA57" i="21"/>
  <c r="BA53" i="21"/>
  <c r="BA49" i="21"/>
  <c r="BA45" i="21"/>
  <c r="BA41" i="21"/>
  <c r="BA37" i="21"/>
  <c r="BA33" i="21"/>
  <c r="BA29" i="21"/>
  <c r="BA25" i="21"/>
  <c r="BA21" i="21"/>
  <c r="BA17" i="21"/>
  <c r="BA13" i="21"/>
  <c r="BA9" i="21"/>
  <c r="BA4" i="21"/>
  <c r="BB332" i="21"/>
  <c r="BB328" i="21"/>
  <c r="BB324" i="21"/>
  <c r="BB320" i="21"/>
  <c r="BB316" i="21"/>
  <c r="BB312" i="21"/>
  <c r="BB308" i="21"/>
  <c r="BB304" i="21"/>
  <c r="BB300" i="21"/>
  <c r="BB296" i="21"/>
  <c r="BB292" i="21"/>
  <c r="BB288" i="21"/>
  <c r="BB284" i="21"/>
  <c r="BB280" i="21"/>
  <c r="BA305" i="21"/>
  <c r="BA301" i="21"/>
  <c r="BA297" i="21"/>
  <c r="BA293" i="21"/>
  <c r="BA289" i="21"/>
  <c r="BA285" i="21"/>
  <c r="BA281" i="21"/>
  <c r="BA277" i="21"/>
  <c r="BA273" i="21"/>
  <c r="BA269" i="21"/>
  <c r="BA265" i="21"/>
  <c r="BA261" i="21"/>
  <c r="BA257" i="21"/>
  <c r="BA253" i="21"/>
  <c r="BA249" i="21"/>
  <c r="BA245" i="21"/>
  <c r="BA241" i="21"/>
  <c r="BA237" i="21"/>
  <c r="BA233" i="21"/>
  <c r="BA229" i="21"/>
  <c r="BA225" i="21"/>
  <c r="BA221" i="21"/>
  <c r="BA217" i="21"/>
  <c r="BA213" i="21"/>
  <c r="BA209" i="21"/>
  <c r="BA205" i="21"/>
  <c r="BA201" i="21"/>
  <c r="BA197" i="21"/>
  <c r="BA193" i="21"/>
  <c r="BA189" i="21"/>
  <c r="BA185" i="21"/>
  <c r="BA181" i="21"/>
  <c r="BA177" i="21"/>
  <c r="BA173" i="21"/>
  <c r="BA169" i="21"/>
  <c r="BA165" i="21"/>
  <c r="BA161" i="21"/>
  <c r="BA157" i="21"/>
  <c r="BA153" i="21"/>
  <c r="BA149" i="21"/>
  <c r="BA145" i="21"/>
  <c r="BA141" i="21"/>
  <c r="BA137" i="21"/>
  <c r="BA133" i="21"/>
  <c r="BA129" i="21"/>
  <c r="BA125" i="21"/>
  <c r="BA121" i="21"/>
  <c r="BA117" i="21"/>
  <c r="BA113" i="21"/>
  <c r="BA109" i="21"/>
  <c r="BA105" i="21"/>
  <c r="BA101" i="21"/>
  <c r="BA97" i="21"/>
  <c r="BA93" i="21"/>
  <c r="BA89" i="21"/>
  <c r="BA85" i="21"/>
  <c r="BA81" i="21"/>
  <c r="BA76" i="21"/>
  <c r="BA72" i="21"/>
  <c r="BA68" i="21"/>
  <c r="BA64" i="21"/>
  <c r="BA60" i="21"/>
  <c r="BA56" i="21"/>
  <c r="BA52" i="21"/>
  <c r="BA48" i="21"/>
  <c r="BA44" i="21"/>
  <c r="BA40" i="21"/>
  <c r="BA36" i="21"/>
  <c r="BA32" i="21"/>
  <c r="BA28" i="21"/>
  <c r="BA24" i="21"/>
  <c r="BA20" i="21"/>
  <c r="BA16" i="21"/>
  <c r="BA12" i="21"/>
  <c r="BA8" i="21"/>
  <c r="BB277" i="21"/>
  <c r="BB273" i="21"/>
  <c r="BB269" i="21"/>
  <c r="BB265" i="21"/>
  <c r="BB261" i="21"/>
  <c r="BB257" i="21"/>
  <c r="BB253" i="21"/>
  <c r="BB249" i="21"/>
  <c r="BB245" i="21"/>
  <c r="BB241" i="21"/>
  <c r="BB237" i="21"/>
  <c r="BB233" i="21"/>
  <c r="BB229" i="21"/>
  <c r="BB225" i="21"/>
  <c r="BB221" i="21"/>
  <c r="BB217" i="21"/>
  <c r="BB213" i="21"/>
  <c r="BB209" i="21"/>
  <c r="BB205" i="21"/>
  <c r="BB201" i="21"/>
  <c r="BB197" i="21"/>
  <c r="BB193" i="21"/>
  <c r="BB189" i="21"/>
  <c r="BB185" i="21"/>
  <c r="BB181" i="21"/>
  <c r="BB177" i="21"/>
  <c r="BB173" i="21"/>
  <c r="BB169" i="21"/>
  <c r="BB165" i="21"/>
  <c r="BB161" i="21"/>
  <c r="BB157" i="21"/>
  <c r="BB153" i="21"/>
  <c r="BB149" i="21"/>
  <c r="BB145" i="21"/>
  <c r="BB141" i="21"/>
  <c r="BB137" i="21"/>
  <c r="BB133" i="21"/>
  <c r="BB129" i="21"/>
  <c r="BB125" i="21"/>
  <c r="BB121" i="21"/>
  <c r="BB117" i="21"/>
  <c r="BB113" i="21"/>
  <c r="BB109" i="21"/>
  <c r="BB105" i="21"/>
  <c r="BB101" i="21"/>
  <c r="BB97" i="21"/>
  <c r="BB93" i="21"/>
  <c r="BB89" i="21"/>
  <c r="BB85" i="21"/>
  <c r="BB81" i="21"/>
  <c r="BB76" i="21"/>
  <c r="BB72" i="21"/>
  <c r="BB68" i="21"/>
  <c r="BB64" i="21"/>
  <c r="BB60" i="21"/>
  <c r="BB56" i="21"/>
  <c r="BB52" i="21"/>
  <c r="BB48" i="21"/>
  <c r="BB44" i="21"/>
  <c r="BB40" i="21"/>
  <c r="BB36" i="21"/>
  <c r="BB32" i="21"/>
  <c r="BB28" i="21"/>
  <c r="BB24" i="21"/>
  <c r="BB20" i="21"/>
  <c r="BB16" i="21"/>
  <c r="BB12" i="21"/>
  <c r="BB8" i="21"/>
  <c r="BB276" i="21"/>
  <c r="BB272" i="21"/>
  <c r="BB268" i="21"/>
  <c r="BB264" i="21"/>
  <c r="BB260" i="21"/>
  <c r="BB256" i="21"/>
  <c r="BB252" i="21"/>
  <c r="BB248" i="21"/>
  <c r="BB244" i="21"/>
  <c r="BB240" i="21"/>
  <c r="BB236" i="21"/>
  <c r="BB232" i="21"/>
  <c r="BB228" i="21"/>
  <c r="BB224" i="21"/>
  <c r="BB220" i="21"/>
  <c r="BB216" i="21"/>
  <c r="BB212" i="21"/>
  <c r="BB208" i="21"/>
  <c r="BB204" i="21"/>
  <c r="BB200" i="21"/>
  <c r="BB196" i="21"/>
  <c r="BB192" i="21"/>
  <c r="BB188" i="21"/>
  <c r="BB184" i="21"/>
  <c r="BB180" i="21"/>
  <c r="BB176" i="21"/>
  <c r="BB172" i="21"/>
  <c r="BB168" i="21"/>
  <c r="BB164" i="21"/>
  <c r="BB160" i="21"/>
  <c r="BB156" i="21"/>
  <c r="BB152" i="21"/>
  <c r="BB148" i="21"/>
  <c r="BB144" i="21"/>
  <c r="BB140" i="21"/>
  <c r="BB136" i="21"/>
  <c r="BB132" i="21"/>
  <c r="BB128" i="21"/>
  <c r="BB124" i="21"/>
  <c r="BB120" i="21"/>
  <c r="BB116" i="21"/>
  <c r="BB112" i="21"/>
  <c r="BB108" i="21"/>
  <c r="BB104" i="21"/>
  <c r="BB100" i="21"/>
  <c r="BB96" i="21"/>
  <c r="BB92" i="21"/>
  <c r="BB88" i="21"/>
  <c r="BB84" i="21"/>
  <c r="BB79" i="21"/>
  <c r="BB75" i="21"/>
  <c r="BB71" i="21"/>
  <c r="BB67" i="21"/>
  <c r="BB63" i="21"/>
  <c r="BB59" i="21"/>
  <c r="BB55" i="21"/>
  <c r="BB51" i="21"/>
  <c r="BB47" i="21"/>
  <c r="BB43" i="21"/>
  <c r="BB39" i="21"/>
  <c r="BB35" i="21"/>
  <c r="BB31" i="21"/>
  <c r="BB27" i="21"/>
  <c r="BB23" i="21"/>
  <c r="BB19" i="21"/>
  <c r="BB15" i="21"/>
  <c r="BB11" i="21"/>
  <c r="BB7" i="21"/>
  <c r="BB80" i="21"/>
  <c r="BB6" i="21"/>
  <c r="BB335" i="21"/>
  <c r="BB331" i="21"/>
  <c r="BB327" i="21"/>
  <c r="BB323" i="21"/>
  <c r="BB319" i="21"/>
  <c r="BB315" i="21"/>
  <c r="BB311" i="21"/>
  <c r="BB307" i="21"/>
  <c r="BB303" i="21"/>
  <c r="BB299" i="21"/>
  <c r="BB295" i="21"/>
  <c r="BB291" i="21"/>
  <c r="BB287" i="21"/>
  <c r="BB283" i="21"/>
  <c r="BB279" i="21"/>
  <c r="BB275" i="21"/>
  <c r="BB271" i="21"/>
  <c r="BB267" i="21"/>
  <c r="BB263" i="21"/>
  <c r="BB259" i="21"/>
  <c r="BB255" i="21"/>
  <c r="BB251" i="21"/>
  <c r="BB247" i="21"/>
  <c r="BB243" i="21"/>
  <c r="BB239" i="21"/>
  <c r="BB235" i="21"/>
  <c r="BB231" i="21"/>
  <c r="BB227" i="21"/>
  <c r="BB223" i="21"/>
  <c r="BB219" i="21"/>
  <c r="BB215" i="21"/>
  <c r="BB211" i="21"/>
  <c r="BB207" i="21"/>
  <c r="BB203" i="21"/>
  <c r="BB199" i="21"/>
  <c r="BB195" i="21"/>
  <c r="BB191" i="21"/>
  <c r="BB187" i="21"/>
  <c r="BB183" i="21"/>
  <c r="BB179" i="21"/>
  <c r="BB175" i="21"/>
  <c r="BB171" i="21"/>
  <c r="BB167" i="21"/>
  <c r="BB163" i="21"/>
  <c r="BB159" i="21"/>
  <c r="BB155" i="21"/>
  <c r="BB151" i="21"/>
  <c r="BB147" i="21"/>
  <c r="BB143" i="21"/>
  <c r="BB139" i="21"/>
  <c r="BB135" i="21"/>
  <c r="BB131" i="21"/>
  <c r="BB127" i="21"/>
  <c r="BB123" i="21"/>
  <c r="BB119" i="21"/>
  <c r="BB115" i="21"/>
  <c r="BB111" i="21"/>
  <c r="BB107" i="21"/>
  <c r="BB103" i="21"/>
  <c r="BB99" i="21"/>
  <c r="BB95" i="21"/>
  <c r="BB91" i="21"/>
  <c r="BB87" i="21"/>
  <c r="BB83" i="21"/>
  <c r="BB78" i="21"/>
  <c r="BB74" i="21"/>
  <c r="BB70" i="21"/>
  <c r="BB66" i="21"/>
  <c r="BB62" i="21"/>
  <c r="BB58" i="21"/>
  <c r="BB54" i="21"/>
  <c r="BB50" i="21"/>
  <c r="BB46" i="21"/>
  <c r="BB42" i="21"/>
  <c r="BB38" i="21"/>
  <c r="BB34" i="21"/>
  <c r="BB30" i="21"/>
  <c r="BB26" i="21"/>
  <c r="BB22" i="21"/>
  <c r="BB18" i="21"/>
  <c r="BB14" i="21"/>
  <c r="BB10" i="21"/>
  <c r="BB5" i="21"/>
  <c r="BA80" i="21"/>
  <c r="BA6" i="21"/>
  <c r="AY337" i="21"/>
  <c r="AY341" i="21" s="1"/>
  <c r="AZ337" i="21"/>
  <c r="AZ341" i="21" s="1"/>
  <c r="I25" i="33"/>
  <c r="AZ1" i="36" s="1"/>
  <c r="I23" i="33"/>
  <c r="AX1" i="36" s="1"/>
  <c r="M11" i="33"/>
  <c r="AU1" i="36"/>
  <c r="AV1" i="36"/>
  <c r="E43" i="33"/>
  <c r="M18" i="33"/>
  <c r="M17" i="33"/>
  <c r="L18" i="33"/>
  <c r="L17" i="33"/>
  <c r="M16" i="33"/>
  <c r="N14" i="33"/>
  <c r="M15" i="33"/>
  <c r="L15" i="33"/>
  <c r="M14" i="33"/>
  <c r="M13" i="33"/>
  <c r="G25" i="33"/>
  <c r="G24" i="33"/>
  <c r="G23" i="33"/>
  <c r="G22" i="33"/>
  <c r="I22" i="33"/>
  <c r="AW1" i="36" s="1"/>
  <c r="AZ337" i="36" l="1"/>
  <c r="I24" i="33"/>
  <c r="AY1" i="36" s="1"/>
  <c r="G204" i="1" l="1"/>
  <c r="E53" i="4" l="1"/>
  <c r="E52" i="4"/>
  <c r="A6" i="33"/>
  <c r="E9" i="33"/>
  <c r="C53" i="4"/>
  <c r="E96" i="33" s="1"/>
  <c r="E95" i="33"/>
  <c r="E5" i="33"/>
  <c r="A2" i="33"/>
  <c r="E23" i="33"/>
  <c r="B162" i="1" s="1"/>
  <c r="E24" i="33"/>
  <c r="C10" i="29" s="1"/>
  <c r="A21" i="33"/>
  <c r="A13" i="33"/>
  <c r="E16" i="33"/>
  <c r="E15" i="33"/>
  <c r="C25" i="33"/>
  <c r="B25" i="33"/>
  <c r="C17" i="33"/>
  <c r="B17" i="33"/>
  <c r="I10" i="7"/>
  <c r="K10" i="7" s="1"/>
  <c r="G181" i="1"/>
  <c r="AH5" i="35"/>
  <c r="AH6" i="35"/>
  <c r="AH7" i="35"/>
  <c r="AH8" i="35"/>
  <c r="AH9" i="35"/>
  <c r="AH10" i="35"/>
  <c r="AH11" i="35"/>
  <c r="AH12" i="35"/>
  <c r="AH13" i="35"/>
  <c r="AH14" i="35"/>
  <c r="AH15" i="35"/>
  <c r="AH16" i="35"/>
  <c r="AH17" i="35"/>
  <c r="AH18" i="35"/>
  <c r="AH19" i="35"/>
  <c r="AH20" i="35"/>
  <c r="AH21" i="35"/>
  <c r="AH22" i="35"/>
  <c r="AH23" i="35"/>
  <c r="AH24" i="35"/>
  <c r="AH25" i="35"/>
  <c r="AH26" i="35"/>
  <c r="AH27" i="35"/>
  <c r="AH28" i="35"/>
  <c r="AH29" i="35"/>
  <c r="AH30" i="35"/>
  <c r="AH31" i="35"/>
  <c r="AH32" i="35"/>
  <c r="AH33" i="35"/>
  <c r="AH34" i="35"/>
  <c r="AH35" i="35"/>
  <c r="AH36" i="35"/>
  <c r="AH37" i="35"/>
  <c r="AH38" i="35"/>
  <c r="AH39" i="35"/>
  <c r="AH40" i="35"/>
  <c r="AH41" i="35"/>
  <c r="AH43" i="35"/>
  <c r="AH44" i="35"/>
  <c r="AH45" i="35"/>
  <c r="AH42" i="35"/>
  <c r="AH46" i="35"/>
  <c r="G178" i="1"/>
  <c r="AF2" i="35"/>
  <c r="AF3" i="35"/>
  <c r="AF4" i="35"/>
  <c r="AF5" i="35"/>
  <c r="AF6" i="35"/>
  <c r="AF7" i="35"/>
  <c r="AF8" i="35"/>
  <c r="AF9" i="35"/>
  <c r="AF10" i="35"/>
  <c r="AF11" i="35"/>
  <c r="AF12" i="35"/>
  <c r="AF13" i="35"/>
  <c r="AF14" i="35"/>
  <c r="AF15" i="35"/>
  <c r="AF16" i="35"/>
  <c r="AF17" i="35"/>
  <c r="AF18" i="35"/>
  <c r="AF19" i="35"/>
  <c r="AF20" i="35"/>
  <c r="AF21" i="35"/>
  <c r="AF22" i="35"/>
  <c r="AF23" i="35"/>
  <c r="AF24" i="35"/>
  <c r="AF25" i="35"/>
  <c r="AF26" i="35"/>
  <c r="AF27" i="35"/>
  <c r="AF28" i="35"/>
  <c r="AF29" i="35"/>
  <c r="AF30" i="35"/>
  <c r="AF31" i="35"/>
  <c r="AF32" i="35"/>
  <c r="AF33" i="35"/>
  <c r="AF34" i="35"/>
  <c r="AF35" i="35"/>
  <c r="AF36" i="35"/>
  <c r="AF37" i="35"/>
  <c r="AF38" i="35"/>
  <c r="AF39" i="35"/>
  <c r="AF40" i="35"/>
  <c r="AF41" i="35"/>
  <c r="AF42" i="35"/>
  <c r="AF43" i="35"/>
  <c r="AF44" i="35"/>
  <c r="AF45" i="35"/>
  <c r="AF46" i="35"/>
  <c r="C9" i="29" l="1"/>
  <c r="E25" i="33"/>
  <c r="C54" i="4"/>
  <c r="B71" i="33" s="1"/>
  <c r="E17" i="33"/>
  <c r="C1" i="15"/>
  <c r="C2" i="15"/>
  <c r="D2" i="14"/>
  <c r="D1" i="14"/>
  <c r="C2" i="13"/>
  <c r="C1" i="13"/>
  <c r="D2" i="12"/>
  <c r="D1" i="12"/>
  <c r="A1" i="29"/>
  <c r="E97" i="33" l="1"/>
  <c r="F3" i="27"/>
  <c r="G3" i="27"/>
  <c r="H3" i="27"/>
  <c r="I3" i="27"/>
  <c r="J3" i="27"/>
  <c r="A1" i="27"/>
  <c r="A2" i="29"/>
  <c r="E6" i="2"/>
  <c r="E4" i="3" s="1"/>
  <c r="K15" i="7"/>
  <c r="K16" i="7"/>
  <c r="K17" i="7"/>
  <c r="K18" i="7"/>
  <c r="K19" i="7"/>
  <c r="K20" i="7"/>
  <c r="K21" i="7"/>
  <c r="K22" i="7"/>
  <c r="K23" i="7"/>
  <c r="K24" i="7"/>
  <c r="K25" i="7"/>
  <c r="K26" i="7"/>
  <c r="K27" i="7"/>
  <c r="K28" i="7"/>
  <c r="K29" i="7"/>
  <c r="K30" i="7"/>
  <c r="K31" i="7"/>
  <c r="K32" i="7"/>
  <c r="A2" i="6"/>
  <c r="C1" i="6"/>
  <c r="D1" i="5"/>
  <c r="A2" i="5"/>
  <c r="A3" i="4"/>
  <c r="A54" i="4"/>
  <c r="A52" i="4"/>
  <c r="A53" i="4"/>
  <c r="A6" i="4"/>
  <c r="A1" i="3"/>
  <c r="F6" i="2"/>
  <c r="G6" i="2" s="1"/>
  <c r="F15" i="9" s="1"/>
  <c r="D6" i="2"/>
  <c r="D4" i="3" s="1"/>
  <c r="A3" i="2"/>
  <c r="A4" i="9" s="1"/>
  <c r="A2" i="2"/>
  <c r="A3" i="9" s="1"/>
  <c r="P337" i="36"/>
  <c r="C15" i="9" l="1"/>
  <c r="D15" i="9"/>
  <c r="E15" i="9"/>
  <c r="N337" i="36"/>
  <c r="O337" i="36"/>
  <c r="F4" i="3"/>
  <c r="B427" i="1" l="1"/>
  <c r="B426" i="1"/>
  <c r="B425" i="1"/>
  <c r="B423" i="1"/>
  <c r="B422" i="1"/>
  <c r="B403" i="1"/>
  <c r="B401" i="1"/>
  <c r="B353" i="1"/>
  <c r="H51" i="33" s="1"/>
  <c r="B352" i="1"/>
  <c r="H50" i="33" s="1"/>
  <c r="B351" i="1"/>
  <c r="B307" i="1"/>
  <c r="B305" i="1"/>
  <c r="B291" i="1"/>
  <c r="B290" i="1"/>
  <c r="B279" i="1"/>
  <c r="H49" i="33" l="1"/>
  <c r="A5" i="19"/>
  <c r="A23" i="24"/>
  <c r="A6" i="24"/>
  <c r="E47" i="33" l="1"/>
  <c r="K40" i="33"/>
  <c r="K32" i="33"/>
  <c r="E331" i="1"/>
  <c r="E291" i="1"/>
  <c r="E404" i="1"/>
  <c r="E400" i="1"/>
  <c r="E397" i="1"/>
  <c r="E388" i="1"/>
  <c r="E385" i="1"/>
  <c r="E379" i="1"/>
  <c r="E328" i="1"/>
  <c r="E357" i="1"/>
  <c r="E326" i="1"/>
  <c r="E316" i="1"/>
  <c r="E315" i="1"/>
  <c r="E304" i="1"/>
  <c r="E276" i="1"/>
  <c r="E281" i="1"/>
  <c r="E247" i="1"/>
  <c r="E267" i="1"/>
  <c r="E266" i="1"/>
  <c r="E255" i="1"/>
  <c r="G25" i="1"/>
  <c r="G255" i="1"/>
  <c r="E256" i="1"/>
  <c r="E224" i="1"/>
  <c r="B47" i="35"/>
  <c r="C47" i="35" s="1"/>
  <c r="G247" i="1"/>
  <c r="E245" i="1"/>
  <c r="E235" i="1"/>
  <c r="E244" i="1"/>
  <c r="E240" i="1"/>
  <c r="G235" i="1"/>
  <c r="G207" i="1"/>
  <c r="AD70" i="35"/>
  <c r="AD66" i="35"/>
  <c r="AD64" i="35"/>
  <c r="AD67" i="35"/>
  <c r="AD62" i="35"/>
  <c r="AD59" i="35"/>
  <c r="AD61" i="35"/>
  <c r="E226" i="1"/>
  <c r="G222" i="1"/>
  <c r="E222" i="1"/>
  <c r="E207" i="1"/>
  <c r="E220" i="1"/>
  <c r="E218" i="1"/>
  <c r="E217" i="1"/>
  <c r="B207" i="1"/>
  <c r="E204" i="1"/>
  <c r="E148" i="1"/>
  <c r="G218" i="1"/>
  <c r="B206" i="1"/>
  <c r="G203" i="1"/>
  <c r="E168" i="1"/>
  <c r="E118" i="1"/>
  <c r="E164" i="1"/>
  <c r="E163" i="1"/>
  <c r="E162" i="1"/>
  <c r="G168" i="1"/>
  <c r="G167" i="1"/>
  <c r="E157" i="1"/>
  <c r="E156" i="1"/>
  <c r="E123" i="1"/>
  <c r="G157" i="1"/>
  <c r="G156" i="1"/>
  <c r="G153" i="1"/>
  <c r="B148" i="1"/>
  <c r="J20" i="27" s="1"/>
  <c r="G147" i="1"/>
  <c r="G126" i="1"/>
  <c r="G123" i="1"/>
  <c r="G118" i="1"/>
  <c r="E126" i="1"/>
  <c r="E99" i="1"/>
  <c r="G110" i="1"/>
  <c r="G115" i="1"/>
  <c r="G107" i="1"/>
  <c r="E115" i="1"/>
  <c r="E110" i="1"/>
  <c r="E107" i="1"/>
  <c r="E86" i="1"/>
  <c r="G105" i="1"/>
  <c r="G104" i="1"/>
  <c r="E98" i="1"/>
  <c r="E89" i="1"/>
  <c r="E100" i="1"/>
  <c r="E81" i="1"/>
  <c r="G99" i="1"/>
  <c r="G98" i="1"/>
  <c r="G95" i="1"/>
  <c r="G89" i="1"/>
  <c r="G81" i="1"/>
  <c r="G73" i="1"/>
  <c r="G65" i="1"/>
  <c r="E73" i="1"/>
  <c r="E65" i="1"/>
  <c r="E78" i="1"/>
  <c r="E70" i="1"/>
  <c r="E62" i="1"/>
  <c r="E47" i="1"/>
  <c r="E59" i="1"/>
  <c r="E56" i="1"/>
  <c r="K41" i="33"/>
  <c r="G50" i="1"/>
  <c r="E54" i="1"/>
  <c r="E53" i="1"/>
  <c r="E50" i="1"/>
  <c r="E49" i="1"/>
  <c r="G40" i="1"/>
  <c r="G39" i="1"/>
  <c r="G38" i="1"/>
  <c r="G37" i="1"/>
  <c r="G35" i="1"/>
  <c r="G31" i="1"/>
  <c r="G30" i="1"/>
  <c r="G5" i="1"/>
  <c r="G16" i="1"/>
  <c r="G19" i="1"/>
  <c r="G22" i="1"/>
  <c r="G29" i="1"/>
  <c r="C8" i="32"/>
  <c r="C9" i="32"/>
  <c r="C10" i="32"/>
  <c r="B7" i="32"/>
  <c r="B8" i="32"/>
  <c r="B9" i="32"/>
  <c r="B10" i="32"/>
  <c r="C7" i="32"/>
  <c r="A98" i="34"/>
  <c r="A99" i="34"/>
  <c r="A100" i="34"/>
  <c r="A101" i="34"/>
  <c r="A102" i="34"/>
  <c r="A103" i="34"/>
  <c r="A104" i="34"/>
  <c r="A113" i="34"/>
  <c r="A105" i="34"/>
  <c r="A106" i="34"/>
  <c r="A107" i="34"/>
  <c r="A108" i="34"/>
  <c r="A110" i="34"/>
  <c r="A111" i="34"/>
  <c r="A114" i="34"/>
  <c r="A116" i="34"/>
  <c r="A119" i="34"/>
  <c r="A97" i="34"/>
  <c r="G26" i="1"/>
  <c r="G23" i="1"/>
  <c r="G20" i="1"/>
  <c r="G17" i="1"/>
  <c r="G47" i="35"/>
  <c r="H47" i="35" s="1"/>
  <c r="J47" i="35"/>
  <c r="K47" i="35" s="1"/>
  <c r="M47" i="35"/>
  <c r="N47" i="35" s="1"/>
  <c r="P47" i="35"/>
  <c r="Q47" i="35" s="1"/>
  <c r="R47" i="35" s="1"/>
  <c r="Q48" i="35" s="1"/>
  <c r="R48" i="35" s="1"/>
  <c r="Q49" i="35" s="1"/>
  <c r="R49" i="35" s="1"/>
  <c r="Q50" i="35" s="1"/>
  <c r="R50" i="35" s="1"/>
  <c r="Q51" i="35" s="1"/>
  <c r="R51" i="35" s="1"/>
  <c r="G14" i="1"/>
  <c r="G175" i="1"/>
  <c r="G9" i="1"/>
  <c r="AM51" i="35"/>
  <c r="AM50" i="35"/>
  <c r="AM49" i="35"/>
  <c r="AM48" i="35"/>
  <c r="AM47" i="35"/>
  <c r="AM46" i="35"/>
  <c r="AI46" i="35"/>
  <c r="AI47" i="35"/>
  <c r="AI48" i="35"/>
  <c r="AI49" i="35"/>
  <c r="AI50" i="35"/>
  <c r="AI51" i="35"/>
  <c r="AM45" i="35"/>
  <c r="Q45" i="35"/>
  <c r="R45" i="35"/>
  <c r="Q46" i="35"/>
  <c r="R46" i="35"/>
  <c r="AM44" i="35"/>
  <c r="AM43" i="35"/>
  <c r="AM42" i="35"/>
  <c r="AM41" i="35"/>
  <c r="AM40" i="35"/>
  <c r="AA40" i="35"/>
  <c r="AB40" i="35"/>
  <c r="AA41" i="35"/>
  <c r="AB41" i="35"/>
  <c r="AA42" i="35"/>
  <c r="AB42" i="35"/>
  <c r="AA43" i="35"/>
  <c r="AB43" i="35"/>
  <c r="AA44" i="35"/>
  <c r="AB44" i="35"/>
  <c r="AA45" i="35"/>
  <c r="AB45" i="35"/>
  <c r="AA46" i="35"/>
  <c r="Y40" i="35"/>
  <c r="Z40" i="35"/>
  <c r="Y41" i="35"/>
  <c r="Z41" i="35"/>
  <c r="Y42" i="35"/>
  <c r="Z42" i="35"/>
  <c r="Y43" i="35"/>
  <c r="Z43" i="35"/>
  <c r="Y44" i="35"/>
  <c r="Z44" i="35"/>
  <c r="Y45" i="35"/>
  <c r="Z45" i="35"/>
  <c r="Y46" i="35"/>
  <c r="N40" i="35"/>
  <c r="O40" i="35"/>
  <c r="N41" i="35"/>
  <c r="O41" i="35"/>
  <c r="N42" i="35"/>
  <c r="O42" i="35"/>
  <c r="N43" i="35"/>
  <c r="O43" i="35"/>
  <c r="N44" i="35"/>
  <c r="O44" i="35"/>
  <c r="N45" i="35"/>
  <c r="O45" i="35"/>
  <c r="N46" i="35"/>
  <c r="O46" i="35"/>
  <c r="L40" i="35"/>
  <c r="K41" i="35"/>
  <c r="L41" i="35"/>
  <c r="K42" i="35"/>
  <c r="L42" i="35"/>
  <c r="K43" i="35"/>
  <c r="L43" i="35"/>
  <c r="K44" i="35"/>
  <c r="L44" i="35"/>
  <c r="K45" i="35"/>
  <c r="L45" i="35"/>
  <c r="K46" i="35"/>
  <c r="L46" i="35"/>
  <c r="K40" i="35"/>
  <c r="H40" i="35"/>
  <c r="I40" i="35"/>
  <c r="H41" i="35"/>
  <c r="I41" i="35"/>
  <c r="H42" i="35"/>
  <c r="I42" i="35"/>
  <c r="H43" i="35"/>
  <c r="I43" i="35"/>
  <c r="H44" i="35"/>
  <c r="I44" i="35"/>
  <c r="H45" i="35"/>
  <c r="I45" i="35"/>
  <c r="H46" i="35"/>
  <c r="I46" i="35"/>
  <c r="AM39" i="35"/>
  <c r="AM38" i="35"/>
  <c r="AM37" i="35"/>
  <c r="AM36" i="35"/>
  <c r="AM35" i="35"/>
  <c r="AM34" i="35"/>
  <c r="AM33" i="35"/>
  <c r="AM32" i="35"/>
  <c r="AM31" i="35"/>
  <c r="AR36" i="35"/>
  <c r="AR37" i="35"/>
  <c r="AR38" i="35"/>
  <c r="AR39" i="35"/>
  <c r="AR40" i="35"/>
  <c r="AR41" i="35"/>
  <c r="AR42" i="35"/>
  <c r="AR43" i="35"/>
  <c r="AR44" i="35"/>
  <c r="AR45" i="35"/>
  <c r="AR46" i="35"/>
  <c r="AM30" i="35"/>
  <c r="AR29" i="35"/>
  <c r="AR30" i="35"/>
  <c r="AR31" i="35"/>
  <c r="AR32" i="35"/>
  <c r="AR33" i="35"/>
  <c r="AR34" i="35"/>
  <c r="AR35" i="35"/>
  <c r="AM29" i="35"/>
  <c r="AM28" i="35"/>
  <c r="AM27" i="35"/>
  <c r="AM26" i="35"/>
  <c r="AM25" i="35"/>
  <c r="AM24" i="35"/>
  <c r="AM23" i="35"/>
  <c r="AM22" i="35"/>
  <c r="W22" i="35"/>
  <c r="X22" i="35"/>
  <c r="W23" i="35"/>
  <c r="X23" i="35"/>
  <c r="W24" i="35"/>
  <c r="X24" i="35"/>
  <c r="W25" i="35"/>
  <c r="X25" i="35"/>
  <c r="W26" i="35"/>
  <c r="X26" i="35"/>
  <c r="W27" i="35"/>
  <c r="X27" i="35"/>
  <c r="W28" i="35"/>
  <c r="X28" i="35"/>
  <c r="W29" i="35"/>
  <c r="X29" i="35"/>
  <c r="W30" i="35"/>
  <c r="X30" i="35"/>
  <c r="W31" i="35"/>
  <c r="X31" i="35"/>
  <c r="W32" i="35"/>
  <c r="X32" i="35"/>
  <c r="W33" i="35"/>
  <c r="X33" i="35"/>
  <c r="W34" i="35"/>
  <c r="X34" i="35"/>
  <c r="W35" i="35"/>
  <c r="X35" i="35"/>
  <c r="W36" i="35"/>
  <c r="X36" i="35"/>
  <c r="W37" i="35"/>
  <c r="X37" i="35"/>
  <c r="W38" i="35"/>
  <c r="X38" i="35"/>
  <c r="W39" i="35"/>
  <c r="X39" i="35"/>
  <c r="W40" i="35"/>
  <c r="X40" i="35"/>
  <c r="W41" i="35"/>
  <c r="X41" i="35"/>
  <c r="W42" i="35"/>
  <c r="X42" i="35"/>
  <c r="W43" i="35"/>
  <c r="X43" i="35"/>
  <c r="W44" i="35"/>
  <c r="X44" i="35"/>
  <c r="W45" i="35"/>
  <c r="X45" i="35"/>
  <c r="W46" i="35"/>
  <c r="U22" i="35"/>
  <c r="V22" i="35"/>
  <c r="U23" i="35"/>
  <c r="V23" i="35"/>
  <c r="U24" i="35"/>
  <c r="V24" i="35"/>
  <c r="U25" i="35"/>
  <c r="V25" i="35"/>
  <c r="U26" i="35"/>
  <c r="V26" i="35"/>
  <c r="U27" i="35"/>
  <c r="V27" i="35"/>
  <c r="U28" i="35"/>
  <c r="V28" i="35"/>
  <c r="U29" i="35"/>
  <c r="V29" i="35"/>
  <c r="U30" i="35"/>
  <c r="V30" i="35"/>
  <c r="U31" i="35"/>
  <c r="V31" i="35"/>
  <c r="U32" i="35"/>
  <c r="V32" i="35"/>
  <c r="U33" i="35"/>
  <c r="V33" i="35"/>
  <c r="U34" i="35"/>
  <c r="V34" i="35"/>
  <c r="U35" i="35"/>
  <c r="V35" i="35"/>
  <c r="U36" i="35"/>
  <c r="V36" i="35"/>
  <c r="U37" i="35"/>
  <c r="V37" i="35"/>
  <c r="U38" i="35"/>
  <c r="V38" i="35"/>
  <c r="U39" i="35"/>
  <c r="V39" i="35"/>
  <c r="U40" i="35"/>
  <c r="V40" i="35"/>
  <c r="U41" i="35"/>
  <c r="V41" i="35"/>
  <c r="U42" i="35"/>
  <c r="V42" i="35"/>
  <c r="U43" i="35"/>
  <c r="V43" i="35"/>
  <c r="U44" i="35"/>
  <c r="V44" i="35"/>
  <c r="U45" i="35"/>
  <c r="V45" i="35"/>
  <c r="U46" i="35"/>
  <c r="S22" i="35"/>
  <c r="T22" i="35"/>
  <c r="AO22" i="35"/>
  <c r="AO21" i="35"/>
  <c r="AM21" i="35"/>
  <c r="AM20" i="35"/>
  <c r="AM19" i="35"/>
  <c r="AM18" i="35"/>
  <c r="AM17" i="35"/>
  <c r="AM16" i="35"/>
  <c r="AM15" i="35"/>
  <c r="AM14" i="35"/>
  <c r="AM13" i="35"/>
  <c r="AM12" i="35"/>
  <c r="T12" i="35"/>
  <c r="S13" i="35"/>
  <c r="T13" i="35"/>
  <c r="AO13" i="35"/>
  <c r="S12" i="35"/>
  <c r="AO11" i="35"/>
  <c r="AM11" i="35"/>
  <c r="AO10" i="35"/>
  <c r="AM10" i="35"/>
  <c r="AO9" i="35"/>
  <c r="AM9" i="35"/>
  <c r="AO8" i="35"/>
  <c r="AM8" i="35"/>
  <c r="AO7" i="35"/>
  <c r="AM7" i="35"/>
  <c r="AO6" i="35"/>
  <c r="AM6" i="35"/>
  <c r="AO5" i="35"/>
  <c r="AM5" i="35"/>
  <c r="AM4" i="35"/>
  <c r="AM3" i="35"/>
  <c r="AM2" i="35"/>
  <c r="AD2" i="35"/>
  <c r="C105" i="34"/>
  <c r="C114" i="34"/>
  <c r="C123" i="34"/>
  <c r="C132" i="34"/>
  <c r="C141" i="34"/>
  <c r="C150" i="34"/>
  <c r="B105" i="34"/>
  <c r="B114" i="34"/>
  <c r="B123" i="34"/>
  <c r="B132" i="34"/>
  <c r="B141" i="34"/>
  <c r="B150" i="34"/>
  <c r="C104" i="34"/>
  <c r="C113" i="34"/>
  <c r="C122" i="34"/>
  <c r="C131" i="34"/>
  <c r="C140" i="34"/>
  <c r="C149" i="34"/>
  <c r="B104" i="34"/>
  <c r="B113" i="34"/>
  <c r="B122" i="34"/>
  <c r="B131" i="34"/>
  <c r="B140" i="34"/>
  <c r="B149" i="34"/>
  <c r="C103" i="34"/>
  <c r="C112" i="34"/>
  <c r="C121" i="34"/>
  <c r="C130" i="34"/>
  <c r="C139" i="34"/>
  <c r="C148" i="34"/>
  <c r="B103" i="34"/>
  <c r="B112" i="34"/>
  <c r="B121" i="34"/>
  <c r="B130" i="34"/>
  <c r="B139" i="34"/>
  <c r="B148" i="34"/>
  <c r="C102" i="34"/>
  <c r="C111" i="34"/>
  <c r="C120" i="34"/>
  <c r="C129" i="34"/>
  <c r="C138" i="34"/>
  <c r="C147" i="34"/>
  <c r="B102" i="34"/>
  <c r="B111" i="34"/>
  <c r="B120" i="34"/>
  <c r="B129" i="34"/>
  <c r="B138" i="34"/>
  <c r="B147" i="34"/>
  <c r="C101" i="34"/>
  <c r="C110" i="34"/>
  <c r="C119" i="34"/>
  <c r="C128" i="34"/>
  <c r="C137" i="34"/>
  <c r="C146" i="34"/>
  <c r="B101" i="34"/>
  <c r="B110" i="34"/>
  <c r="B119" i="34"/>
  <c r="B128" i="34"/>
  <c r="B137" i="34"/>
  <c r="B146" i="34"/>
  <c r="C100" i="34"/>
  <c r="C109" i="34"/>
  <c r="C118" i="34"/>
  <c r="C127" i="34"/>
  <c r="C136" i="34"/>
  <c r="C145" i="34"/>
  <c r="B100" i="34"/>
  <c r="B109" i="34"/>
  <c r="B118" i="34"/>
  <c r="B127" i="34"/>
  <c r="B136" i="34"/>
  <c r="B145" i="34"/>
  <c r="C99" i="34"/>
  <c r="C108" i="34"/>
  <c r="C117" i="34"/>
  <c r="C126" i="34"/>
  <c r="C135" i="34"/>
  <c r="C144" i="34"/>
  <c r="B99" i="34"/>
  <c r="B108" i="34"/>
  <c r="B117" i="34"/>
  <c r="B126" i="34"/>
  <c r="B135" i="34"/>
  <c r="B144" i="34"/>
  <c r="C98" i="34"/>
  <c r="C107" i="34"/>
  <c r="C116" i="34"/>
  <c r="C125" i="34"/>
  <c r="C134" i="34"/>
  <c r="C143" i="34"/>
  <c r="B98" i="34"/>
  <c r="B107" i="34"/>
  <c r="B116" i="34"/>
  <c r="B125" i="34"/>
  <c r="B134" i="34"/>
  <c r="B143" i="34"/>
  <c r="C97" i="34"/>
  <c r="C106" i="34"/>
  <c r="C115" i="34"/>
  <c r="C124" i="34"/>
  <c r="C133" i="34"/>
  <c r="C142" i="34"/>
  <c r="B97" i="34"/>
  <c r="B106" i="34"/>
  <c r="B115" i="34"/>
  <c r="B124" i="34"/>
  <c r="B133" i="34"/>
  <c r="B142" i="34"/>
  <c r="S14" i="35"/>
  <c r="T14" i="35"/>
  <c r="S15" i="35"/>
  <c r="T15" i="35"/>
  <c r="S23" i="35"/>
  <c r="T23" i="35"/>
  <c r="AO12" i="35"/>
  <c r="C3" i="35"/>
  <c r="E3" i="35"/>
  <c r="F2" i="35"/>
  <c r="AO14" i="35"/>
  <c r="G7" i="1"/>
  <c r="E32" i="33"/>
  <c r="E2" i="1"/>
  <c r="C6" i="32"/>
  <c r="D2" i="1"/>
  <c r="G2" i="1"/>
  <c r="E5" i="1"/>
  <c r="E1" i="1"/>
  <c r="B5" i="32"/>
  <c r="A42" i="27"/>
  <c r="I64" i="27"/>
  <c r="J64" i="27"/>
  <c r="I48" i="27"/>
  <c r="J48" i="27"/>
  <c r="G45" i="27"/>
  <c r="H45" i="27"/>
  <c r="I45" i="27"/>
  <c r="J45" i="27"/>
  <c r="F45" i="27"/>
  <c r="B163" i="1"/>
  <c r="B360" i="1"/>
  <c r="A6" i="19"/>
  <c r="I20" i="7"/>
  <c r="I21" i="7"/>
  <c r="I22" i="7"/>
  <c r="I23" i="7"/>
  <c r="I24" i="7"/>
  <c r="I25" i="7"/>
  <c r="I26" i="7"/>
  <c r="I27" i="7"/>
  <c r="I28" i="7"/>
  <c r="AF337" i="21"/>
  <c r="AF341" i="21" s="1"/>
  <c r="AX337" i="21"/>
  <c r="AX341" i="21" s="1"/>
  <c r="I42" i="15"/>
  <c r="I41" i="6" s="1"/>
  <c r="E46" i="2" s="1"/>
  <c r="I29" i="15"/>
  <c r="I30" i="15"/>
  <c r="I31" i="15"/>
  <c r="I32" i="15"/>
  <c r="I31" i="6"/>
  <c r="I33" i="15"/>
  <c r="I34" i="15"/>
  <c r="I35" i="15"/>
  <c r="I34" i="6"/>
  <c r="E37" i="2" s="1"/>
  <c r="I36" i="15"/>
  <c r="I35" i="6"/>
  <c r="I37" i="15"/>
  <c r="I38" i="15"/>
  <c r="I37" i="6" s="1"/>
  <c r="I39" i="15"/>
  <c r="I40" i="15"/>
  <c r="I39" i="6"/>
  <c r="E43" i="2" s="1"/>
  <c r="I28" i="15"/>
  <c r="I23" i="15"/>
  <c r="I22" i="15"/>
  <c r="I21" i="15"/>
  <c r="I20" i="6" s="1"/>
  <c r="E23" i="2" s="1"/>
  <c r="I6" i="15"/>
  <c r="I5" i="6" s="1"/>
  <c r="I7" i="15"/>
  <c r="I8" i="15"/>
  <c r="I7" i="6"/>
  <c r="E10" i="2" s="1"/>
  <c r="I9" i="15"/>
  <c r="I10" i="15"/>
  <c r="I9" i="6" s="1"/>
  <c r="E12" i="2" s="1"/>
  <c r="I11" i="15"/>
  <c r="I12" i="15"/>
  <c r="I11" i="6"/>
  <c r="E14" i="2" s="1"/>
  <c r="I13" i="15"/>
  <c r="I14" i="15"/>
  <c r="I13" i="6" s="1"/>
  <c r="E16" i="2" s="1"/>
  <c r="I15" i="15"/>
  <c r="I14" i="6" s="1"/>
  <c r="E17" i="2" s="1"/>
  <c r="I16" i="15"/>
  <c r="I15" i="6" s="1"/>
  <c r="E18" i="2" s="1"/>
  <c r="I17" i="15"/>
  <c r="I18" i="15"/>
  <c r="I17" i="6" s="1"/>
  <c r="E20" i="2" s="1"/>
  <c r="I19" i="15"/>
  <c r="I5" i="15"/>
  <c r="I42" i="13"/>
  <c r="I40" i="13"/>
  <c r="I39" i="13"/>
  <c r="I38" i="13"/>
  <c r="I37" i="13"/>
  <c r="I36" i="13"/>
  <c r="I35" i="13"/>
  <c r="I34" i="13"/>
  <c r="I33" i="13"/>
  <c r="I32" i="13"/>
  <c r="I31" i="13"/>
  <c r="I30" i="13"/>
  <c r="I29" i="13"/>
  <c r="I28" i="13"/>
  <c r="I25" i="13"/>
  <c r="I23" i="13"/>
  <c r="I22" i="13"/>
  <c r="I21" i="13"/>
  <c r="I6" i="13"/>
  <c r="I7" i="13"/>
  <c r="I8" i="13"/>
  <c r="I9" i="13"/>
  <c r="I10" i="13"/>
  <c r="I11" i="13"/>
  <c r="I12" i="13"/>
  <c r="I13" i="13"/>
  <c r="I14" i="13"/>
  <c r="I15" i="13"/>
  <c r="I16" i="13"/>
  <c r="I17" i="13"/>
  <c r="I18" i="13"/>
  <c r="I19" i="13"/>
  <c r="I5" i="13"/>
  <c r="H41" i="15"/>
  <c r="H43" i="15" s="1"/>
  <c r="G41" i="15"/>
  <c r="G43" i="15" s="1"/>
  <c r="F41" i="15"/>
  <c r="F43" i="15"/>
  <c r="E41" i="15"/>
  <c r="E43" i="15"/>
  <c r="D41" i="15"/>
  <c r="D43" i="15"/>
  <c r="C41" i="15"/>
  <c r="C43" i="15"/>
  <c r="H20" i="15"/>
  <c r="H24" i="15"/>
  <c r="G20" i="15"/>
  <c r="G24" i="15"/>
  <c r="E20" i="15"/>
  <c r="E24" i="15" s="1"/>
  <c r="D20" i="15"/>
  <c r="D24" i="15"/>
  <c r="C20" i="15"/>
  <c r="C24" i="15" s="1"/>
  <c r="F20" i="15"/>
  <c r="F24" i="15" s="1"/>
  <c r="H41" i="13"/>
  <c r="H43" i="13"/>
  <c r="G41" i="13"/>
  <c r="G43" i="13"/>
  <c r="F41" i="13"/>
  <c r="F43" i="13" s="1"/>
  <c r="E41" i="13"/>
  <c r="E43" i="13"/>
  <c r="D41" i="13"/>
  <c r="D43" i="13" s="1"/>
  <c r="C41" i="13"/>
  <c r="C43" i="13"/>
  <c r="H20" i="13"/>
  <c r="H24" i="13" s="1"/>
  <c r="H26" i="13" s="1"/>
  <c r="G20" i="13"/>
  <c r="G24" i="13"/>
  <c r="G26" i="13"/>
  <c r="E20" i="13"/>
  <c r="E24" i="13" s="1"/>
  <c r="E26" i="13" s="1"/>
  <c r="C20" i="13"/>
  <c r="C24" i="13" s="1"/>
  <c r="C26" i="13" s="1"/>
  <c r="F20" i="13"/>
  <c r="F24" i="13"/>
  <c r="F26" i="13"/>
  <c r="D20" i="13"/>
  <c r="D24" i="13"/>
  <c r="D26" i="13"/>
  <c r="I41" i="14"/>
  <c r="I43" i="14"/>
  <c r="H41" i="14"/>
  <c r="H43" i="14"/>
  <c r="G41" i="14"/>
  <c r="G43" i="14"/>
  <c r="F41" i="14"/>
  <c r="F43" i="14" s="1"/>
  <c r="E41" i="14"/>
  <c r="E43" i="14"/>
  <c r="D41" i="14"/>
  <c r="D43" i="14" s="1"/>
  <c r="E20" i="14"/>
  <c r="E24" i="14"/>
  <c r="H20" i="14"/>
  <c r="H24" i="14" s="1"/>
  <c r="F20" i="14"/>
  <c r="F24" i="14" s="1"/>
  <c r="I20" i="14"/>
  <c r="I24" i="14" s="1"/>
  <c r="G20" i="14"/>
  <c r="G24" i="14"/>
  <c r="D20" i="14"/>
  <c r="D24" i="14" s="1"/>
  <c r="I41" i="12"/>
  <c r="I43" i="12"/>
  <c r="H41" i="12"/>
  <c r="H43" i="12"/>
  <c r="G41" i="12"/>
  <c r="G43" i="12"/>
  <c r="F41" i="12"/>
  <c r="F43" i="12"/>
  <c r="E41" i="12"/>
  <c r="E43" i="12"/>
  <c r="D41" i="12"/>
  <c r="D43" i="12"/>
  <c r="E20" i="12"/>
  <c r="E24" i="12"/>
  <c r="H20" i="12"/>
  <c r="H24" i="12"/>
  <c r="H26" i="12"/>
  <c r="F20" i="12"/>
  <c r="F24" i="12"/>
  <c r="F26" i="12"/>
  <c r="I20" i="12"/>
  <c r="I24" i="12"/>
  <c r="I26" i="12"/>
  <c r="G20" i="12"/>
  <c r="G24" i="12"/>
  <c r="G26" i="12"/>
  <c r="D20" i="12"/>
  <c r="D24" i="12"/>
  <c r="E40" i="6"/>
  <c r="E42" i="6" s="1"/>
  <c r="E19" i="6"/>
  <c r="E23" i="6" s="1"/>
  <c r="D8" i="9"/>
  <c r="I40" i="5"/>
  <c r="I42" i="5"/>
  <c r="D40" i="6"/>
  <c r="D42" i="6" s="1"/>
  <c r="G40" i="5"/>
  <c r="G42" i="5"/>
  <c r="E40" i="5"/>
  <c r="E42" i="5"/>
  <c r="E19" i="5"/>
  <c r="E23" i="5"/>
  <c r="A8" i="9"/>
  <c r="A9" i="9"/>
  <c r="E8" i="9"/>
  <c r="D18" i="2"/>
  <c r="C27" i="9" s="1"/>
  <c r="C47" i="4"/>
  <c r="D47" i="4" s="1"/>
  <c r="E80" i="42" s="1"/>
  <c r="I80" i="42" s="1"/>
  <c r="C46" i="4"/>
  <c r="C39" i="4"/>
  <c r="D39" i="4" s="1"/>
  <c r="E75" i="42" s="1"/>
  <c r="I75" i="42" s="1"/>
  <c r="B152" i="1"/>
  <c r="B357" i="1" s="1"/>
  <c r="C33" i="4"/>
  <c r="I4" i="6"/>
  <c r="I6" i="6"/>
  <c r="E9" i="2" s="1"/>
  <c r="I8" i="6"/>
  <c r="E11" i="2" s="1"/>
  <c r="I10" i="6"/>
  <c r="E13" i="2" s="1"/>
  <c r="I12" i="6"/>
  <c r="E15" i="2" s="1"/>
  <c r="I16" i="6"/>
  <c r="E19" i="2" s="1"/>
  <c r="I18" i="6"/>
  <c r="E21" i="2" s="1"/>
  <c r="I21" i="6"/>
  <c r="E24" i="2" s="1"/>
  <c r="I22" i="6"/>
  <c r="E25" i="2" s="1"/>
  <c r="I27" i="6"/>
  <c r="E30" i="2" s="1"/>
  <c r="I28" i="6"/>
  <c r="E31" i="2" s="1"/>
  <c r="I29" i="6"/>
  <c r="E32" i="2" s="1"/>
  <c r="I30" i="6"/>
  <c r="I32" i="6"/>
  <c r="E35" i="2" s="1"/>
  <c r="I33" i="6"/>
  <c r="E36" i="2" s="1"/>
  <c r="I36" i="6"/>
  <c r="E40" i="2" s="1"/>
  <c r="I38" i="6"/>
  <c r="E42" i="2" s="1"/>
  <c r="J41" i="27"/>
  <c r="I41" i="27"/>
  <c r="J40" i="27"/>
  <c r="A7" i="9"/>
  <c r="B18" i="19"/>
  <c r="B14" i="19"/>
  <c r="C18" i="19"/>
  <c r="D18" i="19"/>
  <c r="C19" i="19"/>
  <c r="D19" i="19"/>
  <c r="C20" i="19"/>
  <c r="D20" i="19"/>
  <c r="C21" i="19"/>
  <c r="D21" i="19"/>
  <c r="B19" i="19"/>
  <c r="B20" i="19"/>
  <c r="B21" i="19"/>
  <c r="B267" i="1"/>
  <c r="C19" i="6"/>
  <c r="C23" i="6" s="1"/>
  <c r="C40" i="6"/>
  <c r="C42" i="6" s="1"/>
  <c r="G19" i="6"/>
  <c r="G23" i="6" s="1"/>
  <c r="G40" i="6"/>
  <c r="G42" i="6" s="1"/>
  <c r="AL337" i="21"/>
  <c r="G16" i="17"/>
  <c r="G37" i="17"/>
  <c r="G17" i="17"/>
  <c r="G18" i="17"/>
  <c r="G19" i="17"/>
  <c r="G20" i="17"/>
  <c r="G21" i="17"/>
  <c r="G22" i="17"/>
  <c r="G23" i="17"/>
  <c r="G24" i="17"/>
  <c r="G25" i="17"/>
  <c r="G26" i="17"/>
  <c r="G27" i="17"/>
  <c r="G28" i="17"/>
  <c r="G29" i="17"/>
  <c r="G30" i="17"/>
  <c r="G31" i="17"/>
  <c r="G32" i="17"/>
  <c r="G33" i="17"/>
  <c r="G34" i="17"/>
  <c r="G35" i="17"/>
  <c r="G36" i="17"/>
  <c r="D37" i="17"/>
  <c r="E37" i="17"/>
  <c r="F37" i="17"/>
  <c r="G16" i="18"/>
  <c r="G17" i="18"/>
  <c r="G18" i="18"/>
  <c r="G19" i="18"/>
  <c r="G20" i="18"/>
  <c r="G21" i="18"/>
  <c r="G22" i="18"/>
  <c r="G23" i="18"/>
  <c r="G24" i="18"/>
  <c r="G25" i="18"/>
  <c r="G26" i="18"/>
  <c r="G27" i="18"/>
  <c r="G28" i="18"/>
  <c r="G29" i="18"/>
  <c r="G30" i="18"/>
  <c r="G31" i="18"/>
  <c r="G32" i="18"/>
  <c r="G33" i="18"/>
  <c r="G34" i="18"/>
  <c r="G35" i="18"/>
  <c r="G36" i="18"/>
  <c r="D37" i="18"/>
  <c r="E37" i="18"/>
  <c r="F37" i="18"/>
  <c r="D7" i="3"/>
  <c r="D8" i="3"/>
  <c r="D9" i="3"/>
  <c r="D10" i="3"/>
  <c r="D11" i="3"/>
  <c r="D12" i="3"/>
  <c r="D13" i="3"/>
  <c r="D16" i="3"/>
  <c r="D18" i="3"/>
  <c r="D19" i="3"/>
  <c r="D21" i="3"/>
  <c r="D22" i="3"/>
  <c r="D23" i="3"/>
  <c r="D28" i="3"/>
  <c r="D29" i="3"/>
  <c r="D30" i="3"/>
  <c r="D31" i="3"/>
  <c r="D32" i="3"/>
  <c r="D33" i="3"/>
  <c r="D34" i="3"/>
  <c r="D35" i="3"/>
  <c r="D36" i="3"/>
  <c r="D38" i="3"/>
  <c r="D39" i="3"/>
  <c r="D40" i="3"/>
  <c r="D44" i="3"/>
  <c r="F38" i="2"/>
  <c r="F36" i="3" s="1"/>
  <c r="F40" i="6"/>
  <c r="F42" i="6" s="1"/>
  <c r="H40" i="6"/>
  <c r="H42" i="6" s="1"/>
  <c r="H19" i="6"/>
  <c r="H23" i="6" s="1"/>
  <c r="B286" i="1"/>
  <c r="B308" i="1"/>
  <c r="B389" i="1"/>
  <c r="B404" i="1"/>
  <c r="C43" i="4"/>
  <c r="C48" i="4"/>
  <c r="D48" i="4" s="1"/>
  <c r="E81" i="42" s="1"/>
  <c r="I81" i="42" s="1"/>
  <c r="C19" i="4"/>
  <c r="C18" i="4"/>
  <c r="C22" i="4"/>
  <c r="I11" i="7"/>
  <c r="K11" i="7" s="1"/>
  <c r="I12" i="7"/>
  <c r="K12" i="7" s="1"/>
  <c r="I13" i="7"/>
  <c r="K13" i="7" s="1"/>
  <c r="I14" i="7"/>
  <c r="K14" i="7" s="1"/>
  <c r="I15" i="7"/>
  <c r="I16" i="7"/>
  <c r="I17" i="7"/>
  <c r="I18" i="7"/>
  <c r="I19" i="7"/>
  <c r="I29" i="7"/>
  <c r="I30" i="7"/>
  <c r="I31" i="7"/>
  <c r="I32" i="7"/>
  <c r="I8" i="7"/>
  <c r="K8" i="7" s="1"/>
  <c r="C40" i="4" s="1"/>
  <c r="J64" i="33" s="1"/>
  <c r="F33" i="7"/>
  <c r="G33" i="7"/>
  <c r="H33" i="7"/>
  <c r="J33" i="7"/>
  <c r="G16" i="16"/>
  <c r="G37" i="16"/>
  <c r="G17" i="16"/>
  <c r="G18" i="16"/>
  <c r="G19" i="16"/>
  <c r="G20" i="16"/>
  <c r="G21" i="16"/>
  <c r="G22" i="16"/>
  <c r="G23" i="16"/>
  <c r="G24" i="16"/>
  <c r="G25" i="16"/>
  <c r="G26" i="16"/>
  <c r="G27" i="16"/>
  <c r="G28" i="16"/>
  <c r="G29" i="16"/>
  <c r="G30" i="16"/>
  <c r="G31" i="16"/>
  <c r="G32" i="16"/>
  <c r="G33" i="16"/>
  <c r="G34" i="16"/>
  <c r="G35" i="16"/>
  <c r="G36" i="16"/>
  <c r="D37" i="16"/>
  <c r="E37" i="16"/>
  <c r="F37" i="16"/>
  <c r="I20" i="15"/>
  <c r="I24" i="15" s="1"/>
  <c r="I41" i="15"/>
  <c r="I43" i="15" s="1"/>
  <c r="F40" i="5"/>
  <c r="F42" i="5"/>
  <c r="H40" i="5"/>
  <c r="H42" i="5"/>
  <c r="C38" i="4"/>
  <c r="D38" i="4" s="1"/>
  <c r="E74" i="42" s="1"/>
  <c r="I74" i="42" s="1"/>
  <c r="D9" i="2"/>
  <c r="G9" i="2" s="1"/>
  <c r="F18" i="9" s="1"/>
  <c r="D10" i="2"/>
  <c r="D11" i="2"/>
  <c r="C20" i="9" s="1"/>
  <c r="D12" i="2"/>
  <c r="C21" i="9" s="1"/>
  <c r="D13" i="2"/>
  <c r="C22" i="9" s="1"/>
  <c r="D14" i="2"/>
  <c r="D15" i="2"/>
  <c r="C24" i="9" s="1"/>
  <c r="D20" i="2"/>
  <c r="C29" i="9" s="1"/>
  <c r="D21" i="2"/>
  <c r="C30" i="9" s="1"/>
  <c r="D23" i="2"/>
  <c r="C32" i="9" s="1"/>
  <c r="D24" i="2"/>
  <c r="C33" i="9" s="1"/>
  <c r="D25" i="2"/>
  <c r="C34" i="9" s="1"/>
  <c r="D30" i="2"/>
  <c r="G30" i="2" s="1"/>
  <c r="F39" i="9" s="1"/>
  <c r="D31" i="2"/>
  <c r="C40" i="9" s="1"/>
  <c r="D32" i="2"/>
  <c r="C41" i="9" s="1"/>
  <c r="D33" i="2"/>
  <c r="C42" i="9" s="1"/>
  <c r="D34" i="2"/>
  <c r="C43" i="9" s="1"/>
  <c r="D35" i="2"/>
  <c r="C44" i="9" s="1"/>
  <c r="D36" i="2"/>
  <c r="C45" i="9" s="1"/>
  <c r="D37" i="2"/>
  <c r="C46" i="9" s="1"/>
  <c r="D38" i="2"/>
  <c r="C47" i="9" s="1"/>
  <c r="D40" i="2"/>
  <c r="G40" i="2" s="1"/>
  <c r="F49" i="9" s="1"/>
  <c r="D41" i="2"/>
  <c r="C50" i="9" s="1"/>
  <c r="D42" i="2"/>
  <c r="C51" i="9" s="1"/>
  <c r="D46" i="2"/>
  <c r="C55" i="9"/>
  <c r="A64" i="9"/>
  <c r="A63" i="9"/>
  <c r="A62" i="9"/>
  <c r="A61" i="9"/>
  <c r="C19" i="9"/>
  <c r="C23" i="9"/>
  <c r="AM337" i="21"/>
  <c r="AM341" i="21" s="1"/>
  <c r="AN337" i="21"/>
  <c r="AN341" i="21" s="1"/>
  <c r="AO337" i="21"/>
  <c r="AO341" i="21" s="1"/>
  <c r="AP337" i="21"/>
  <c r="AP341" i="21" s="1"/>
  <c r="AQ337" i="21"/>
  <c r="AQ341" i="21" s="1"/>
  <c r="AR337" i="21"/>
  <c r="AR341" i="21" s="1"/>
  <c r="AS337" i="21"/>
  <c r="AS341" i="21" s="1"/>
  <c r="AT337" i="21"/>
  <c r="AT341" i="21" s="1"/>
  <c r="AU337" i="21"/>
  <c r="AU341" i="21" s="1"/>
  <c r="AV337" i="21"/>
  <c r="AV341" i="21" s="1"/>
  <c r="AW337" i="21"/>
  <c r="AW341" i="21" s="1"/>
  <c r="F337" i="21"/>
  <c r="F341" i="21" s="1"/>
  <c r="G337" i="21"/>
  <c r="G341" i="21" s="1"/>
  <c r="H337" i="21"/>
  <c r="H341" i="21" s="1"/>
  <c r="I337" i="21"/>
  <c r="I341" i="21" s="1"/>
  <c r="J337" i="21"/>
  <c r="J341" i="21" s="1"/>
  <c r="K337" i="21"/>
  <c r="K341" i="21" s="1"/>
  <c r="L337" i="21"/>
  <c r="L341" i="21" s="1"/>
  <c r="M337" i="21"/>
  <c r="M341" i="21" s="1"/>
  <c r="N337" i="21"/>
  <c r="N341" i="21" s="1"/>
  <c r="O337" i="21"/>
  <c r="O341" i="21" s="1"/>
  <c r="P337" i="21"/>
  <c r="P341" i="21" s="1"/>
  <c r="Q337" i="21"/>
  <c r="Q341" i="21" s="1"/>
  <c r="R337" i="21"/>
  <c r="R341" i="21" s="1"/>
  <c r="S337" i="21"/>
  <c r="S341" i="21" s="1"/>
  <c r="T337" i="21"/>
  <c r="T341" i="21" s="1"/>
  <c r="U337" i="21"/>
  <c r="U341" i="21" s="1"/>
  <c r="V337" i="21"/>
  <c r="V341" i="21" s="1"/>
  <c r="W337" i="21"/>
  <c r="W341" i="21" s="1"/>
  <c r="X337" i="21"/>
  <c r="X341" i="21" s="1"/>
  <c r="Y337" i="21"/>
  <c r="Y341" i="21" s="1"/>
  <c r="Z337" i="21"/>
  <c r="Z341" i="21" s="1"/>
  <c r="AA337" i="21"/>
  <c r="AA341" i="21" s="1"/>
  <c r="AB337" i="21"/>
  <c r="AB341" i="21" s="1"/>
  <c r="AC337" i="21"/>
  <c r="AC341" i="21" s="1"/>
  <c r="AD337" i="21"/>
  <c r="AD341" i="21" s="1"/>
  <c r="AE337" i="21"/>
  <c r="AE341" i="21" s="1"/>
  <c r="AG337" i="21"/>
  <c r="AG341" i="21" s="1"/>
  <c r="AH337" i="21"/>
  <c r="AH341" i="21" s="1"/>
  <c r="AI337" i="21"/>
  <c r="AI341" i="21" s="1"/>
  <c r="AJ337" i="21"/>
  <c r="AJ341" i="21" s="1"/>
  <c r="AK337" i="21"/>
  <c r="AK341" i="21" s="1"/>
  <c r="E54" i="4"/>
  <c r="C31" i="4"/>
  <c r="C32" i="4"/>
  <c r="D37" i="3"/>
  <c r="I41" i="13"/>
  <c r="I43" i="13" s="1"/>
  <c r="E33" i="2"/>
  <c r="D42" i="9" s="1"/>
  <c r="E7" i="2"/>
  <c r="D16" i="9" s="1"/>
  <c r="C39" i="9"/>
  <c r="E26" i="12"/>
  <c r="D26" i="12"/>
  <c r="I20" i="13"/>
  <c r="I24" i="13" s="1"/>
  <c r="I26" i="13" s="1"/>
  <c r="E31" i="3"/>
  <c r="E38" i="2"/>
  <c r="E36" i="3" s="1"/>
  <c r="C49" i="9"/>
  <c r="D47" i="9"/>
  <c r="E5" i="3"/>
  <c r="E47" i="9"/>
  <c r="G37" i="18"/>
  <c r="C13" i="29"/>
  <c r="C5" i="32"/>
  <c r="E6" i="1"/>
  <c r="E10" i="1" s="1"/>
  <c r="AD3" i="35"/>
  <c r="F3" i="35"/>
  <c r="C4" i="35"/>
  <c r="E4" i="35"/>
  <c r="C5" i="35"/>
  <c r="E5" i="35"/>
  <c r="E6" i="35"/>
  <c r="C6" i="35"/>
  <c r="F5" i="35"/>
  <c r="AD5" i="35"/>
  <c r="AD4" i="35"/>
  <c r="F4" i="35"/>
  <c r="E34" i="2"/>
  <c r="D43" i="9" s="1"/>
  <c r="E19" i="1"/>
  <c r="E9" i="1"/>
  <c r="E16" i="1"/>
  <c r="E25" i="1"/>
  <c r="E13" i="1"/>
  <c r="E22" i="1"/>
  <c r="E7" i="1"/>
  <c r="C18" i="9"/>
  <c r="C12" i="29"/>
  <c r="C15" i="29" s="1"/>
  <c r="AO23" i="35"/>
  <c r="S24" i="35"/>
  <c r="T24" i="35"/>
  <c r="X46" i="35"/>
  <c r="F102" i="34"/>
  <c r="Z46" i="35"/>
  <c r="G105" i="34"/>
  <c r="G97" i="34"/>
  <c r="G99" i="34"/>
  <c r="G101" i="34"/>
  <c r="I33" i="7"/>
  <c r="AO15" i="35"/>
  <c r="S16" i="35"/>
  <c r="T16" i="35"/>
  <c r="E98" i="34"/>
  <c r="E105" i="34"/>
  <c r="E97" i="34"/>
  <c r="V46" i="35"/>
  <c r="H105" i="34"/>
  <c r="AB46" i="35"/>
  <c r="E24" i="1"/>
  <c r="E18" i="1"/>
  <c r="E15" i="1"/>
  <c r="E21" i="1"/>
  <c r="E27" i="1"/>
  <c r="E20" i="1"/>
  <c r="E17" i="1"/>
  <c r="E14" i="1"/>
  <c r="E26" i="1"/>
  <c r="E23" i="1"/>
  <c r="E99" i="34"/>
  <c r="G102" i="34"/>
  <c r="H97" i="34"/>
  <c r="A128" i="34"/>
  <c r="A120" i="34"/>
  <c r="H101" i="34"/>
  <c r="H98" i="34"/>
  <c r="A125" i="34"/>
  <c r="A115" i="34"/>
  <c r="H104" i="34"/>
  <c r="F105" i="34"/>
  <c r="F103" i="34"/>
  <c r="H103" i="34"/>
  <c r="E103" i="34"/>
  <c r="A112" i="34"/>
  <c r="G100" i="34"/>
  <c r="E100" i="34"/>
  <c r="F100" i="34"/>
  <c r="A109" i="34"/>
  <c r="G103" i="34"/>
  <c r="H100" i="34"/>
  <c r="A123" i="34"/>
  <c r="E101" i="34"/>
  <c r="A117" i="34"/>
  <c r="A122" i="34"/>
  <c r="E102" i="34"/>
  <c r="F104" i="34"/>
  <c r="F101" i="34"/>
  <c r="F99" i="34"/>
  <c r="H102" i="34"/>
  <c r="H99" i="34"/>
  <c r="E104" i="34"/>
  <c r="F97" i="34"/>
  <c r="F98" i="34"/>
  <c r="G98" i="34"/>
  <c r="G104" i="34"/>
  <c r="A131" i="34"/>
  <c r="A126" i="34"/>
  <c r="A124" i="34"/>
  <c r="A134" i="34"/>
  <c r="A129" i="34"/>
  <c r="A137" i="34"/>
  <c r="E32" i="3"/>
  <c r="A132" i="34"/>
  <c r="A118" i="34"/>
  <c r="S17" i="35"/>
  <c r="T17" i="35"/>
  <c r="AO16" i="35"/>
  <c r="AO24" i="35"/>
  <c r="S25" i="35"/>
  <c r="T25" i="35"/>
  <c r="F6" i="35"/>
  <c r="AD6" i="35"/>
  <c r="C7" i="35"/>
  <c r="E7" i="35"/>
  <c r="A121" i="34"/>
  <c r="E8" i="35"/>
  <c r="C8" i="35"/>
  <c r="F7" i="35"/>
  <c r="AD7" i="35"/>
  <c r="S18" i="35"/>
  <c r="T18" i="35"/>
  <c r="AO17" i="35"/>
  <c r="A127" i="34"/>
  <c r="AO25" i="35"/>
  <c r="S26" i="35"/>
  <c r="T26" i="35"/>
  <c r="A138" i="34"/>
  <c r="A143" i="34"/>
  <c r="A133" i="34"/>
  <c r="A146" i="34"/>
  <c r="A135" i="34"/>
  <c r="A140" i="34"/>
  <c r="A130" i="34"/>
  <c r="A141" i="34"/>
  <c r="A144" i="34"/>
  <c r="A150" i="34"/>
  <c r="A149" i="34"/>
  <c r="A142" i="34"/>
  <c r="A136" i="34"/>
  <c r="AO26" i="35"/>
  <c r="S27" i="35"/>
  <c r="T27" i="35"/>
  <c r="A139" i="34"/>
  <c r="A147" i="34"/>
  <c r="S19" i="35"/>
  <c r="T19" i="35"/>
  <c r="AO18" i="35"/>
  <c r="F8" i="35"/>
  <c r="C9" i="35"/>
  <c r="E9" i="35"/>
  <c r="AD8" i="35"/>
  <c r="A148" i="34"/>
  <c r="S28" i="35"/>
  <c r="T28" i="35"/>
  <c r="AO27" i="35"/>
  <c r="A145" i="34"/>
  <c r="F9" i="35"/>
  <c r="C10" i="35"/>
  <c r="E10" i="35"/>
  <c r="AD9" i="35"/>
  <c r="S20" i="35"/>
  <c r="T20" i="35"/>
  <c r="AO19" i="35"/>
  <c r="C11" i="35"/>
  <c r="E11" i="35"/>
  <c r="AD10" i="35"/>
  <c r="F10" i="35"/>
  <c r="AO28" i="35"/>
  <c r="S29" i="35"/>
  <c r="T29" i="35"/>
  <c r="S21" i="35"/>
  <c r="AO20" i="35"/>
  <c r="F11" i="35"/>
  <c r="C12" i="35"/>
  <c r="E12" i="35"/>
  <c r="AD11" i="35"/>
  <c r="AO29" i="35"/>
  <c r="S30" i="35"/>
  <c r="T30" i="35"/>
  <c r="AD12" i="35"/>
  <c r="E13" i="35"/>
  <c r="F12" i="35"/>
  <c r="C13" i="35"/>
  <c r="AO30" i="35"/>
  <c r="S31" i="35"/>
  <c r="T31" i="35"/>
  <c r="AO31" i="35"/>
  <c r="S32" i="35"/>
  <c r="T32" i="35"/>
  <c r="AD13" i="35"/>
  <c r="F13" i="35"/>
  <c r="C14" i="35"/>
  <c r="E14" i="35"/>
  <c r="C15" i="35"/>
  <c r="E15" i="35"/>
  <c r="F14" i="35"/>
  <c r="AD14" i="35"/>
  <c r="S33" i="35"/>
  <c r="T33" i="35"/>
  <c r="AO32" i="35"/>
  <c r="S34" i="35"/>
  <c r="T34" i="35"/>
  <c r="AO33" i="35"/>
  <c r="F15" i="35"/>
  <c r="AD15" i="35"/>
  <c r="C16" i="35"/>
  <c r="E16" i="35"/>
  <c r="C17" i="35"/>
  <c r="E17" i="35"/>
  <c r="F16" i="35"/>
  <c r="AD16" i="35"/>
  <c r="AO34" i="35"/>
  <c r="S35" i="35"/>
  <c r="T35" i="35"/>
  <c r="S36" i="35"/>
  <c r="T36" i="35"/>
  <c r="AO35" i="35"/>
  <c r="C18" i="35"/>
  <c r="E18" i="35"/>
  <c r="F17" i="35"/>
  <c r="AD17" i="35"/>
  <c r="F18" i="35"/>
  <c r="AD18" i="35"/>
  <c r="C19" i="35"/>
  <c r="E19" i="35"/>
  <c r="S37" i="35"/>
  <c r="T37" i="35"/>
  <c r="AO36" i="35"/>
  <c r="F19" i="35"/>
  <c r="AD19" i="35"/>
  <c r="C20" i="35"/>
  <c r="E20" i="35"/>
  <c r="S38" i="35"/>
  <c r="T38" i="35"/>
  <c r="AO37" i="35"/>
  <c r="C21" i="35"/>
  <c r="E21" i="35"/>
  <c r="F20" i="35"/>
  <c r="AD20" i="35"/>
  <c r="S39" i="35"/>
  <c r="T39" i="35"/>
  <c r="AO38" i="35"/>
  <c r="C22" i="35"/>
  <c r="E22" i="35"/>
  <c r="F21" i="35"/>
  <c r="AD21" i="35"/>
  <c r="S40" i="35"/>
  <c r="T40" i="35"/>
  <c r="AO39" i="35"/>
  <c r="F22" i="35"/>
  <c r="AD22" i="35"/>
  <c r="C23" i="35"/>
  <c r="E23" i="35"/>
  <c r="AO40" i="35"/>
  <c r="S41" i="35"/>
  <c r="T41" i="35"/>
  <c r="F23" i="35"/>
  <c r="AD23" i="35"/>
  <c r="C24" i="35"/>
  <c r="E24" i="35"/>
  <c r="S42" i="35"/>
  <c r="T42" i="35"/>
  <c r="AO41" i="35"/>
  <c r="C25" i="35"/>
  <c r="E25" i="35"/>
  <c r="F24" i="35"/>
  <c r="AD24" i="35"/>
  <c r="AO42" i="35"/>
  <c r="S43" i="35"/>
  <c r="T43" i="35"/>
  <c r="AO43" i="35"/>
  <c r="S44" i="35"/>
  <c r="T44" i="35"/>
  <c r="C26" i="35"/>
  <c r="E26" i="35"/>
  <c r="F25" i="35"/>
  <c r="AD25" i="35"/>
  <c r="C27" i="35"/>
  <c r="E27" i="35"/>
  <c r="F26" i="35"/>
  <c r="AD26" i="35"/>
  <c r="S45" i="35"/>
  <c r="T45" i="35"/>
  <c r="AO44" i="35"/>
  <c r="F27" i="35"/>
  <c r="AD27" i="35"/>
  <c r="C28" i="35"/>
  <c r="E28" i="35"/>
  <c r="S46" i="35"/>
  <c r="AO45" i="35"/>
  <c r="F28" i="35"/>
  <c r="AD28" i="35"/>
  <c r="C29" i="35"/>
  <c r="E29" i="35"/>
  <c r="D102" i="34"/>
  <c r="D97" i="34"/>
  <c r="T46" i="35"/>
  <c r="D100" i="34"/>
  <c r="D103" i="34"/>
  <c r="D105" i="34"/>
  <c r="D104" i="34"/>
  <c r="D98" i="34"/>
  <c r="D101" i="34"/>
  <c r="D99" i="34"/>
  <c r="AD29" i="35"/>
  <c r="C30" i="35"/>
  <c r="E30" i="35"/>
  <c r="F29" i="35"/>
  <c r="AO46" i="35"/>
  <c r="F30" i="35"/>
  <c r="AD30" i="35"/>
  <c r="C31" i="35"/>
  <c r="E31" i="35"/>
  <c r="C32" i="35"/>
  <c r="E32" i="35"/>
  <c r="AD31" i="35"/>
  <c r="F31" i="35"/>
  <c r="C33" i="35"/>
  <c r="E33" i="35"/>
  <c r="AD32" i="35"/>
  <c r="F32" i="35"/>
  <c r="C34" i="35"/>
  <c r="E34" i="35"/>
  <c r="AD33" i="35"/>
  <c r="F33" i="35"/>
  <c r="F34" i="35"/>
  <c r="C35" i="35"/>
  <c r="E35" i="35"/>
  <c r="AD34" i="35"/>
  <c r="C36" i="35"/>
  <c r="E36" i="35"/>
  <c r="AD35" i="35"/>
  <c r="F35" i="35"/>
  <c r="C37" i="35"/>
  <c r="E37" i="35"/>
  <c r="AD36" i="35"/>
  <c r="F36" i="35"/>
  <c r="AD37" i="35"/>
  <c r="C38" i="35"/>
  <c r="E38" i="35"/>
  <c r="F37" i="35"/>
  <c r="C39" i="35"/>
  <c r="E39" i="35"/>
  <c r="AD38" i="35"/>
  <c r="F38" i="35"/>
  <c r="C40" i="35"/>
  <c r="E40" i="35"/>
  <c r="AD39" i="35"/>
  <c r="F39" i="35"/>
  <c r="F40" i="35"/>
  <c r="C41" i="35"/>
  <c r="E41" i="35"/>
  <c r="AD40" i="35"/>
  <c r="C42" i="35"/>
  <c r="E42" i="35"/>
  <c r="AD41" i="35"/>
  <c r="F41" i="35"/>
  <c r="AD42" i="35"/>
  <c r="F42" i="35"/>
  <c r="C43" i="35"/>
  <c r="E43" i="35"/>
  <c r="C44" i="35"/>
  <c r="E44" i="35"/>
  <c r="AD43" i="35"/>
  <c r="F43" i="35"/>
  <c r="AP43" i="35"/>
  <c r="AP44" i="35"/>
  <c r="C45" i="35"/>
  <c r="E45" i="35"/>
  <c r="AD44" i="35"/>
  <c r="F44" i="35"/>
  <c r="AD45" i="35"/>
  <c r="C46" i="35"/>
  <c r="E46" i="35"/>
  <c r="AP45" i="35"/>
  <c r="F45" i="35"/>
  <c r="AD46" i="35"/>
  <c r="B9" i="1"/>
  <c r="F46" i="35"/>
  <c r="AP46" i="35"/>
  <c r="B230" i="1"/>
  <c r="E63" i="42" l="1"/>
  <c r="I63" i="42" s="1"/>
  <c r="D43" i="4"/>
  <c r="E77" i="42" s="1"/>
  <c r="I77" i="42" s="1"/>
  <c r="B240" i="1"/>
  <c r="K33" i="7"/>
  <c r="C49" i="4" s="1"/>
  <c r="J73" i="33" s="1"/>
  <c r="B298" i="1"/>
  <c r="B284" i="1"/>
  <c r="B331" i="1"/>
  <c r="B330" i="1"/>
  <c r="B272" i="1"/>
  <c r="B316" i="1"/>
  <c r="B315" i="1"/>
  <c r="D1" i="36"/>
  <c r="B5" i="1"/>
  <c r="B71" i="1" s="1"/>
  <c r="B281" i="1"/>
  <c r="B326" i="1"/>
  <c r="B217" i="1"/>
  <c r="B244" i="1"/>
  <c r="D34" i="9"/>
  <c r="E23" i="3"/>
  <c r="E35" i="3"/>
  <c r="D46" i="9"/>
  <c r="D44" i="9"/>
  <c r="E33" i="3"/>
  <c r="D45" i="9"/>
  <c r="E34" i="3"/>
  <c r="D39" i="2"/>
  <c r="AX339" i="21"/>
  <c r="AL341" i="21"/>
  <c r="AK339" i="21"/>
  <c r="W339" i="21"/>
  <c r="F1" i="36"/>
  <c r="AD1" i="36"/>
  <c r="Q1" i="36"/>
  <c r="E1" i="36"/>
  <c r="AH1" i="36"/>
  <c r="B167" i="1"/>
  <c r="B16" i="1"/>
  <c r="B29" i="1"/>
  <c r="B30" i="1"/>
  <c r="B7" i="1"/>
  <c r="B13" i="1" s="1"/>
  <c r="B37" i="1"/>
  <c r="B38" i="1"/>
  <c r="D32" i="33"/>
  <c r="G69" i="33" s="1"/>
  <c r="I1" i="36"/>
  <c r="B400" i="1"/>
  <c r="B402" i="1" s="1"/>
  <c r="C16" i="29"/>
  <c r="B164" i="1"/>
  <c r="B328" i="1" s="1"/>
  <c r="B26" i="1"/>
  <c r="U1" i="36"/>
  <c r="AB1" i="36"/>
  <c r="W1" i="36"/>
  <c r="AJ1" i="36"/>
  <c r="L1" i="36"/>
  <c r="B208" i="1"/>
  <c r="B25" i="1"/>
  <c r="K1" i="36"/>
  <c r="N1" i="36"/>
  <c r="T1" i="36"/>
  <c r="X1" i="36"/>
  <c r="G1" i="36"/>
  <c r="Z1" i="36"/>
  <c r="AL1" i="36"/>
  <c r="AG1" i="36"/>
  <c r="O1" i="36"/>
  <c r="M1" i="36"/>
  <c r="R1" i="36"/>
  <c r="Y1" i="36"/>
  <c r="AE1" i="36"/>
  <c r="AC1" i="36"/>
  <c r="AK1" i="36"/>
  <c r="AI1" i="36"/>
  <c r="S47" i="35"/>
  <c r="D112" i="34" s="1"/>
  <c r="Y47" i="35"/>
  <c r="Z47" i="35" s="1"/>
  <c r="Y48" i="35" s="1"/>
  <c r="Z48" i="35" s="1"/>
  <c r="Y49" i="35" s="1"/>
  <c r="Z49" i="35" s="1"/>
  <c r="Y50" i="35" s="1"/>
  <c r="Z50" i="35" s="1"/>
  <c r="Y51" i="35" s="1"/>
  <c r="Z51" i="35" s="1"/>
  <c r="J1" i="36"/>
  <c r="P1" i="36"/>
  <c r="S1" i="36"/>
  <c r="V1" i="36"/>
  <c r="H1" i="36"/>
  <c r="AA1" i="36"/>
  <c r="AF1" i="36"/>
  <c r="D27" i="9"/>
  <c r="E16" i="3"/>
  <c r="E12" i="3"/>
  <c r="D23" i="9"/>
  <c r="I19" i="6"/>
  <c r="E8" i="2"/>
  <c r="E41" i="2"/>
  <c r="E39" i="3" s="1"/>
  <c r="I40" i="6"/>
  <c r="D26" i="9"/>
  <c r="E15" i="3"/>
  <c r="D19" i="9"/>
  <c r="E8" i="3"/>
  <c r="D32" i="9"/>
  <c r="E21" i="3"/>
  <c r="E18" i="3"/>
  <c r="D29" i="9"/>
  <c r="E10" i="3"/>
  <c r="D21" i="9"/>
  <c r="I1" i="27"/>
  <c r="H1" i="15"/>
  <c r="J1" i="14"/>
  <c r="J1" i="12"/>
  <c r="H1" i="13"/>
  <c r="E28" i="3"/>
  <c r="D39" i="9"/>
  <c r="D30" i="9"/>
  <c r="E19" i="3"/>
  <c r="D20" i="9"/>
  <c r="E9" i="3"/>
  <c r="E14" i="3"/>
  <c r="D25" i="9"/>
  <c r="D28" i="9"/>
  <c r="E17" i="3"/>
  <c r="E7" i="3"/>
  <c r="D18" i="9"/>
  <c r="D55" i="9"/>
  <c r="E44" i="3"/>
  <c r="E40" i="3"/>
  <c r="D51" i="9"/>
  <c r="E30" i="3"/>
  <c r="D41" i="9"/>
  <c r="D24" i="9"/>
  <c r="E13" i="3"/>
  <c r="D52" i="9"/>
  <c r="E41" i="3"/>
  <c r="D49" i="9"/>
  <c r="E38" i="3"/>
  <c r="D40" i="9"/>
  <c r="E29" i="3"/>
  <c r="E39" i="2"/>
  <c r="D33" i="9"/>
  <c r="E22" i="3"/>
  <c r="E11" i="3"/>
  <c r="D22" i="9"/>
  <c r="I1" i="6"/>
  <c r="J1" i="5"/>
  <c r="F6" i="4"/>
  <c r="F2" i="3"/>
  <c r="B39" i="1"/>
  <c r="B35" i="1"/>
  <c r="B112" i="1" s="1"/>
  <c r="B22" i="1"/>
  <c r="B147" i="1"/>
  <c r="B268" i="1" s="1"/>
  <c r="B168" i="1"/>
  <c r="B156" i="1"/>
  <c r="C2" i="1"/>
  <c r="B31" i="1"/>
  <c r="B19" i="1"/>
  <c r="B153" i="1"/>
  <c r="B157" i="1"/>
  <c r="B255" i="1"/>
  <c r="B266" i="1" s="1"/>
  <c r="B32" i="29"/>
  <c r="C32" i="29" s="1"/>
  <c r="H71" i="33"/>
  <c r="B27" i="29"/>
  <c r="C27" i="29" s="1"/>
  <c r="H63" i="33"/>
  <c r="AA47" i="35"/>
  <c r="AB47" i="35" s="1"/>
  <c r="AA48" i="35" s="1"/>
  <c r="AB48" i="35" s="1"/>
  <c r="AA49" i="35" s="1"/>
  <c r="AB49" i="35" s="1"/>
  <c r="AA50" i="35" s="1"/>
  <c r="AB50" i="35" s="1"/>
  <c r="AA51" i="35" s="1"/>
  <c r="AB51" i="35" s="1"/>
  <c r="U47" i="35"/>
  <c r="V47" i="35" s="1"/>
  <c r="U48" i="35" s="1"/>
  <c r="V48" i="35" s="1"/>
  <c r="U49" i="35" s="1"/>
  <c r="V49" i="35" s="1"/>
  <c r="U50" i="35" s="1"/>
  <c r="V50" i="35" s="1"/>
  <c r="U51" i="35" s="1"/>
  <c r="V51" i="35" s="1"/>
  <c r="AR47" i="35"/>
  <c r="AR48" i="35" s="1"/>
  <c r="AR49" i="35" s="1"/>
  <c r="AR50" i="35" s="1"/>
  <c r="AR51" i="35" s="1"/>
  <c r="W47" i="35"/>
  <c r="F107" i="34" s="1"/>
  <c r="E47" i="35"/>
  <c r="B14" i="1"/>
  <c r="E39" i="4"/>
  <c r="J63" i="33"/>
  <c r="J70" i="33"/>
  <c r="E38" i="4"/>
  <c r="E87" i="42" s="1"/>
  <c r="I87" i="42" s="1"/>
  <c r="J62" i="33"/>
  <c r="J72" i="33"/>
  <c r="E47" i="4"/>
  <c r="J71" i="33"/>
  <c r="J67" i="33"/>
  <c r="D113" i="34"/>
  <c r="D46" i="4"/>
  <c r="B20" i="1"/>
  <c r="L47" i="35"/>
  <c r="K48" i="35" s="1"/>
  <c r="L48" i="35" s="1"/>
  <c r="K49" i="35" s="1"/>
  <c r="L49" i="35" s="1"/>
  <c r="K50" i="35" s="1"/>
  <c r="L50" i="35" s="1"/>
  <c r="K51" i="35" s="1"/>
  <c r="L51" i="35" s="1"/>
  <c r="I47" i="35"/>
  <c r="H48" i="35" s="1"/>
  <c r="I48" i="35" s="1"/>
  <c r="H49" i="35" s="1"/>
  <c r="I49" i="35" s="1"/>
  <c r="H50" i="35" s="1"/>
  <c r="I50" i="35" s="1"/>
  <c r="H51" i="35" s="1"/>
  <c r="I51" i="35" s="1"/>
  <c r="B17" i="1"/>
  <c r="O47" i="35"/>
  <c r="N48" i="35" s="1"/>
  <c r="O48" i="35" s="1"/>
  <c r="N49" i="35" s="1"/>
  <c r="O49" i="35" s="1"/>
  <c r="N50" i="35" s="1"/>
  <c r="O50" i="35" s="1"/>
  <c r="N51" i="35" s="1"/>
  <c r="O51" i="35" s="1"/>
  <c r="B23" i="1"/>
  <c r="F39" i="4" l="1"/>
  <c r="E88" i="42"/>
  <c r="I88" i="42" s="1"/>
  <c r="I4" i="5"/>
  <c r="E93" i="42"/>
  <c r="I93" i="42" s="1"/>
  <c r="E46" i="4"/>
  <c r="E79" i="42"/>
  <c r="I79" i="42" s="1"/>
  <c r="C5" i="42"/>
  <c r="C8" i="42"/>
  <c r="C13" i="42"/>
  <c r="C16" i="42"/>
  <c r="C21" i="42"/>
  <c r="C24" i="42"/>
  <c r="C29" i="42"/>
  <c r="C32" i="42"/>
  <c r="C33" i="42"/>
  <c r="C35" i="42"/>
  <c r="C40" i="42"/>
  <c r="C41" i="42"/>
  <c r="C43" i="42"/>
  <c r="C44" i="42"/>
  <c r="C45" i="42"/>
  <c r="C51" i="42"/>
  <c r="C52" i="42"/>
  <c r="C53" i="42"/>
  <c r="C59" i="42"/>
  <c r="C60" i="42"/>
  <c r="C61" i="42"/>
  <c r="C67" i="42"/>
  <c r="C68" i="42"/>
  <c r="C69" i="42"/>
  <c r="C75" i="42"/>
  <c r="C76" i="42"/>
  <c r="C77" i="42"/>
  <c r="C83" i="42"/>
  <c r="C84" i="42"/>
  <c r="C85" i="42"/>
  <c r="C94" i="42"/>
  <c r="C102" i="42"/>
  <c r="C111" i="42"/>
  <c r="C3" i="42"/>
  <c r="C6" i="42"/>
  <c r="C11" i="42"/>
  <c r="C14" i="42"/>
  <c r="C19" i="42"/>
  <c r="C22" i="42"/>
  <c r="C27" i="42"/>
  <c r="C30" i="42"/>
  <c r="C38" i="42"/>
  <c r="C46" i="42"/>
  <c r="C54" i="42"/>
  <c r="C62" i="42"/>
  <c r="C70" i="42"/>
  <c r="C78" i="42"/>
  <c r="C86" i="42"/>
  <c r="C95" i="42"/>
  <c r="C96" i="42"/>
  <c r="C97" i="42"/>
  <c r="C103" i="42"/>
  <c r="C112" i="42"/>
  <c r="C113" i="42"/>
  <c r="C4" i="42"/>
  <c r="C9" i="42"/>
  <c r="C12" i="42"/>
  <c r="C17" i="42"/>
  <c r="C20" i="42"/>
  <c r="C25" i="42"/>
  <c r="C28" i="42"/>
  <c r="C31" i="42"/>
  <c r="C36" i="42"/>
  <c r="C37" i="42"/>
  <c r="C39" i="42"/>
  <c r="C47" i="42"/>
  <c r="C48" i="42"/>
  <c r="C49" i="42"/>
  <c r="C55" i="42"/>
  <c r="C56" i="42"/>
  <c r="C57" i="42"/>
  <c r="C63" i="42"/>
  <c r="C64" i="42"/>
  <c r="C65" i="42"/>
  <c r="C71" i="42"/>
  <c r="C72" i="42"/>
  <c r="C73" i="42"/>
  <c r="C79" i="42"/>
  <c r="C80" i="42"/>
  <c r="C81" i="42"/>
  <c r="C87" i="42"/>
  <c r="C88" i="42"/>
  <c r="C98" i="42"/>
  <c r="C99" i="42"/>
  <c r="C104" i="42"/>
  <c r="C105" i="42"/>
  <c r="C114" i="42"/>
  <c r="C115" i="42"/>
  <c r="C116" i="42"/>
  <c r="C117" i="42"/>
  <c r="C2" i="42"/>
  <c r="C7" i="42"/>
  <c r="C10" i="42"/>
  <c r="C15" i="42"/>
  <c r="C18" i="42"/>
  <c r="C23" i="42"/>
  <c r="C26" i="42"/>
  <c r="C34" i="42"/>
  <c r="C42" i="42"/>
  <c r="C50" i="42"/>
  <c r="C58" i="42"/>
  <c r="C66" i="42"/>
  <c r="C74" i="42"/>
  <c r="C82" i="42"/>
  <c r="C89" i="42"/>
  <c r="C90" i="42"/>
  <c r="C91" i="42"/>
  <c r="C92" i="42"/>
  <c r="C93" i="42"/>
  <c r="C100" i="42"/>
  <c r="C101" i="42"/>
  <c r="C106" i="42"/>
  <c r="C107" i="42"/>
  <c r="C108" i="42"/>
  <c r="C109" i="42"/>
  <c r="C110" i="42"/>
  <c r="C118" i="42"/>
  <c r="E104" i="33"/>
  <c r="G111" i="34"/>
  <c r="G120" i="34" s="1"/>
  <c r="B428" i="1"/>
  <c r="D36" i="7"/>
  <c r="H63" i="27" a="1"/>
  <c r="H63" i="27" s="1"/>
  <c r="H59" i="27" a="1"/>
  <c r="H59" i="27" s="1"/>
  <c r="H54" i="27" a="1"/>
  <c r="H54" i="27" s="1"/>
  <c r="G62" i="27" a="1"/>
  <c r="G62" i="27" s="1"/>
  <c r="G58" i="27" a="1"/>
  <c r="G58" i="27" s="1"/>
  <c r="G54" i="27" a="1"/>
  <c r="G54" i="27" s="1"/>
  <c r="F54" i="27" a="1"/>
  <c r="F54" i="27" s="1"/>
  <c r="F59" i="27" a="1"/>
  <c r="F59" i="27" s="1"/>
  <c r="F63" i="27" a="1"/>
  <c r="F63" i="27" s="1"/>
  <c r="H62" i="27" a="1"/>
  <c r="H62" i="27" s="1"/>
  <c r="H58" i="27" a="1"/>
  <c r="H58" i="27" s="1"/>
  <c r="H53" i="27" a="1"/>
  <c r="H53" i="27" s="1"/>
  <c r="G61" i="27" a="1"/>
  <c r="G61" i="27" s="1"/>
  <c r="G57" i="27" a="1"/>
  <c r="G57" i="27" s="1"/>
  <c r="G53" i="27" a="1"/>
  <c r="G53" i="27" s="1"/>
  <c r="F55" i="27" a="1"/>
  <c r="F55" i="27" s="1"/>
  <c r="F60" i="27" a="1"/>
  <c r="F60" i="27" s="1"/>
  <c r="F52" i="27" a="1"/>
  <c r="F52" i="27" s="1"/>
  <c r="H61" i="27" a="1"/>
  <c r="H61" i="27" s="1"/>
  <c r="H57" i="27" a="1"/>
  <c r="H57" i="27" s="1"/>
  <c r="H52" i="27" a="1"/>
  <c r="H52" i="27" s="1"/>
  <c r="G60" i="27" a="1"/>
  <c r="G60" i="27" s="1"/>
  <c r="G56" i="27" a="1"/>
  <c r="G56" i="27" s="1"/>
  <c r="G52" i="27" a="1"/>
  <c r="G52" i="27" s="1"/>
  <c r="F57" i="27" a="1"/>
  <c r="F57" i="27" s="1"/>
  <c r="F61" i="27" a="1"/>
  <c r="F61" i="27" s="1"/>
  <c r="F5" i="27" a="1"/>
  <c r="F5" i="27" s="1"/>
  <c r="H60" i="27" a="1"/>
  <c r="H60" i="27" s="1"/>
  <c r="H55" i="27" a="1"/>
  <c r="H55" i="27" s="1"/>
  <c r="G63" i="27" a="1"/>
  <c r="G63" i="27" s="1"/>
  <c r="G59" i="27" a="1"/>
  <c r="G59" i="27" s="1"/>
  <c r="G55" i="27" a="1"/>
  <c r="G55" i="27" s="1"/>
  <c r="F53" i="27" a="1"/>
  <c r="F53" i="27" s="1"/>
  <c r="F58" i="27" a="1"/>
  <c r="F58" i="27" s="1"/>
  <c r="F62" i="27" a="1"/>
  <c r="F62" i="27" s="1"/>
  <c r="F56" i="27" a="1"/>
  <c r="F56" i="27" s="1"/>
  <c r="H56" i="27" a="1"/>
  <c r="H56" i="27" s="1"/>
  <c r="B69" i="33"/>
  <c r="B405" i="1"/>
  <c r="B407" i="1" s="1"/>
  <c r="B414" i="1"/>
  <c r="E43" i="4"/>
  <c r="F23" i="27" a="1"/>
  <c r="F23" i="27" s="1"/>
  <c r="H37" i="27" a="1"/>
  <c r="H37" i="27" s="1"/>
  <c r="H48" i="27" s="1"/>
  <c r="G37" i="27" a="1"/>
  <c r="G37" i="27" s="1"/>
  <c r="G48" i="27" s="1"/>
  <c r="F37" i="27" a="1"/>
  <c r="F37" i="27" s="1"/>
  <c r="F48" i="27" s="1"/>
  <c r="B332" i="1"/>
  <c r="B103" i="1"/>
  <c r="B317" i="1"/>
  <c r="B319" i="1" s="1"/>
  <c r="B79" i="1"/>
  <c r="D49" i="4"/>
  <c r="B70" i="33"/>
  <c r="E106" i="33" s="1"/>
  <c r="C14" i="4"/>
  <c r="E46" i="42" s="1"/>
  <c r="I46" i="42" s="1"/>
  <c r="E48" i="4"/>
  <c r="E105" i="33"/>
  <c r="G33" i="27" a="1"/>
  <c r="G33" i="27" s="1"/>
  <c r="G13" i="27" a="1"/>
  <c r="G13" i="27" s="1"/>
  <c r="G29" i="27" a="1"/>
  <c r="G29" i="27" s="1"/>
  <c r="H20" i="27" a="1"/>
  <c r="H20" i="27" s="1"/>
  <c r="I11" i="27" a="1"/>
  <c r="I11" i="27" s="1"/>
  <c r="H34" i="27" a="1"/>
  <c r="H34" i="27" s="1"/>
  <c r="G18" i="27" a="1"/>
  <c r="G18" i="27" s="1"/>
  <c r="H9" i="27" a="1"/>
  <c r="H9" i="27" s="1"/>
  <c r="H25" i="27" a="1"/>
  <c r="H25" i="27" s="1"/>
  <c r="I16" i="27" a="1"/>
  <c r="I16" i="27" s="1"/>
  <c r="I31" i="27" a="1"/>
  <c r="I31" i="27" s="1"/>
  <c r="G19" i="27" a="1"/>
  <c r="G19" i="27" s="1"/>
  <c r="H10" i="27" a="1"/>
  <c r="H10" i="27" s="1"/>
  <c r="H26" i="27" a="1"/>
  <c r="H26" i="27" s="1"/>
  <c r="I32" i="27" a="1"/>
  <c r="I32" i="27" s="1"/>
  <c r="H7" i="27" a="1"/>
  <c r="H7" i="27" s="1"/>
  <c r="G17" i="27" a="1"/>
  <c r="G17" i="27" s="1"/>
  <c r="H24" i="27" a="1"/>
  <c r="H24" i="27" s="1"/>
  <c r="G6" i="27" a="1"/>
  <c r="G6" i="27" s="1"/>
  <c r="H13" i="27" a="1"/>
  <c r="H13" i="27" s="1"/>
  <c r="H29" i="27" a="1"/>
  <c r="H29" i="27" s="1"/>
  <c r="G7" i="27" a="1"/>
  <c r="G7" i="27" s="1"/>
  <c r="H14" i="27" a="1"/>
  <c r="H14" i="27" s="1"/>
  <c r="I28" i="27" a="1"/>
  <c r="I28" i="27" s="1"/>
  <c r="H11" i="27" a="1"/>
  <c r="H11" i="27" s="1"/>
  <c r="I18" i="27" a="1"/>
  <c r="I18" i="27" s="1"/>
  <c r="G21" i="27" a="1"/>
  <c r="G21" i="27" s="1"/>
  <c r="H28" i="27" a="1"/>
  <c r="H28" i="27" s="1"/>
  <c r="G10" i="27" a="1"/>
  <c r="G10" i="27" s="1"/>
  <c r="H17" i="27" a="1"/>
  <c r="H17" i="27" s="1"/>
  <c r="G31" i="27" a="1"/>
  <c r="G31" i="27" s="1"/>
  <c r="G27" i="27" a="1"/>
  <c r="G27" i="27" s="1"/>
  <c r="I9" i="27" a="1"/>
  <c r="I9" i="27" s="1"/>
  <c r="G8" i="27" a="1"/>
  <c r="G8" i="27" s="1"/>
  <c r="H15" i="27" a="1"/>
  <c r="H15" i="27" s="1"/>
  <c r="I6" i="27" a="1"/>
  <c r="I6" i="27" s="1"/>
  <c r="G9" i="27" a="1"/>
  <c r="G9" i="27" s="1"/>
  <c r="G25" i="27" a="1"/>
  <c r="G25" i="27" s="1"/>
  <c r="H16" i="27" a="1"/>
  <c r="H16" i="27" s="1"/>
  <c r="I7" i="27" a="1"/>
  <c r="I7" i="27" s="1"/>
  <c r="G34" i="27" a="1"/>
  <c r="G34" i="27" s="1"/>
  <c r="G14" i="27" a="1"/>
  <c r="G14" i="27" s="1"/>
  <c r="H5" i="27" a="1"/>
  <c r="H5" i="27" s="1"/>
  <c r="H21" i="27" a="1"/>
  <c r="H21" i="27" s="1"/>
  <c r="I12" i="27" a="1"/>
  <c r="I12" i="27" s="1"/>
  <c r="H31" i="27" a="1"/>
  <c r="H31" i="27" s="1"/>
  <c r="G15" i="27" a="1"/>
  <c r="G15" i="27" s="1"/>
  <c r="H6" i="27" a="1"/>
  <c r="H6" i="27" s="1"/>
  <c r="H22" i="27" a="1"/>
  <c r="H22" i="27" s="1"/>
  <c r="I13" i="27" a="1"/>
  <c r="I13" i="27" s="1"/>
  <c r="H32" i="27" a="1"/>
  <c r="H32" i="27" s="1"/>
  <c r="G12" i="27" a="1"/>
  <c r="G12" i="27" s="1"/>
  <c r="G28" i="27" a="1"/>
  <c r="G28" i="27" s="1"/>
  <c r="H19" i="27" a="1"/>
  <c r="H19" i="27" s="1"/>
  <c r="I10" i="27" a="1"/>
  <c r="I10" i="27" s="1"/>
  <c r="H33" i="27" a="1"/>
  <c r="H33" i="27" s="1"/>
  <c r="I17" i="27" a="1"/>
  <c r="I17" i="27" s="1"/>
  <c r="G16" i="27" a="1"/>
  <c r="G16" i="27" s="1"/>
  <c r="H23" i="27" a="1"/>
  <c r="H23" i="27" s="1"/>
  <c r="I14" i="27" a="1"/>
  <c r="I14" i="27" s="1"/>
  <c r="I33" i="27" a="1"/>
  <c r="I33" i="27" s="1"/>
  <c r="H8" i="27" a="1"/>
  <c r="H8" i="27" s="1"/>
  <c r="I15" i="27" a="1"/>
  <c r="I15" i="27" s="1"/>
  <c r="G22" i="27" a="1"/>
  <c r="G22" i="27" s="1"/>
  <c r="I20" i="27" a="1"/>
  <c r="I20" i="27" s="1"/>
  <c r="G23" i="27" a="1"/>
  <c r="G23" i="27" s="1"/>
  <c r="I5" i="27" a="1"/>
  <c r="I5" i="27" s="1"/>
  <c r="G20" i="27" a="1"/>
  <c r="G20" i="27" s="1"/>
  <c r="H27" i="27" a="1"/>
  <c r="H27" i="27" s="1"/>
  <c r="G5" i="27" a="1"/>
  <c r="G5" i="27" s="1"/>
  <c r="H12" i="27" a="1"/>
  <c r="H12" i="27" s="1"/>
  <c r="I19" i="27" a="1"/>
  <c r="I19" i="27" s="1"/>
  <c r="G26" i="27" a="1"/>
  <c r="G26" i="27" s="1"/>
  <c r="I8" i="27" a="1"/>
  <c r="I8" i="27" s="1"/>
  <c r="G11" i="27" a="1"/>
  <c r="G11" i="27" s="1"/>
  <c r="H18" i="27" a="1"/>
  <c r="H18" i="27" s="1"/>
  <c r="G32" i="27" a="1"/>
  <c r="G32" i="27" s="1"/>
  <c r="G24" i="27" a="1"/>
  <c r="G24" i="27" s="1"/>
  <c r="I29" i="27" a="1"/>
  <c r="I29" i="27" s="1"/>
  <c r="F14" i="27" a="1"/>
  <c r="F14" i="27" s="1"/>
  <c r="F32" i="27" a="1"/>
  <c r="F32" i="27" s="1"/>
  <c r="F19" i="27" a="1"/>
  <c r="F19" i="27" s="1"/>
  <c r="F8" i="27" a="1"/>
  <c r="F8" i="27" s="1"/>
  <c r="F24" i="27" a="1"/>
  <c r="F24" i="27" s="1"/>
  <c r="F13" i="27" a="1"/>
  <c r="F13" i="27" s="1"/>
  <c r="F29" i="27" a="1"/>
  <c r="F29" i="27" s="1"/>
  <c r="F33" i="27" a="1"/>
  <c r="F33" i="27" s="1"/>
  <c r="F18" i="27" a="1"/>
  <c r="F18" i="27" s="1"/>
  <c r="F7" i="27" a="1"/>
  <c r="F7" i="27" s="1"/>
  <c r="F12" i="27" a="1"/>
  <c r="F12" i="27" s="1"/>
  <c r="F28" i="27" a="1"/>
  <c r="F28" i="27" s="1"/>
  <c r="F17" i="27" a="1"/>
  <c r="F17" i="27" s="1"/>
  <c r="F6" i="27" a="1"/>
  <c r="F6" i="27" s="1"/>
  <c r="F22" i="27" a="1"/>
  <c r="F22" i="27" s="1"/>
  <c r="F11" i="27" a="1"/>
  <c r="F11" i="27" s="1"/>
  <c r="F27" i="27" a="1"/>
  <c r="F27" i="27" s="1"/>
  <c r="F16" i="27" a="1"/>
  <c r="F16" i="27" s="1"/>
  <c r="F34" i="27" a="1"/>
  <c r="F34" i="27" s="1"/>
  <c r="F21" i="27" a="1"/>
  <c r="F21" i="27" s="1"/>
  <c r="F10" i="27" a="1"/>
  <c r="F10" i="27" s="1"/>
  <c r="F26" i="27" a="1"/>
  <c r="F26" i="27" s="1"/>
  <c r="F15" i="27" a="1"/>
  <c r="F15" i="27" s="1"/>
  <c r="F31" i="27" a="1"/>
  <c r="F31" i="27" s="1"/>
  <c r="F20" i="27" a="1"/>
  <c r="F20" i="27" s="1"/>
  <c r="F9" i="27" a="1"/>
  <c r="F9" i="27" s="1"/>
  <c r="F25" i="27" a="1"/>
  <c r="F25" i="27" s="1"/>
  <c r="K6" i="27" a="1"/>
  <c r="K6" i="27" s="1"/>
  <c r="K10" i="27" a="1"/>
  <c r="K10" i="27" s="1"/>
  <c r="K14" i="27" a="1"/>
  <c r="K14" i="27" s="1"/>
  <c r="K18" i="27" a="1"/>
  <c r="K18" i="27" s="1"/>
  <c r="K22" i="27" a="1"/>
  <c r="K22" i="27" s="1"/>
  <c r="K26" i="27" a="1"/>
  <c r="K26" i="27" s="1"/>
  <c r="K30" i="27" a="1"/>
  <c r="K30" i="27" s="1"/>
  <c r="K34" i="27" a="1"/>
  <c r="K34" i="27" s="1"/>
  <c r="K38" i="27" a="1"/>
  <c r="K38" i="27" s="1"/>
  <c r="F35" i="27" s="1"/>
  <c r="K11" i="27" a="1"/>
  <c r="K11" i="27" s="1"/>
  <c r="K15" i="27" a="1"/>
  <c r="K15" i="27" s="1"/>
  <c r="K19" i="27" a="1"/>
  <c r="K19" i="27" s="1"/>
  <c r="K23" i="27" a="1"/>
  <c r="K23" i="27" s="1"/>
  <c r="K27" i="27" a="1"/>
  <c r="K27" i="27" s="1"/>
  <c r="K31" i="27" a="1"/>
  <c r="K31" i="27" s="1"/>
  <c r="K35" i="27" a="1"/>
  <c r="K35" i="27" s="1"/>
  <c r="K5" i="27" a="1"/>
  <c r="K5" i="27" s="1"/>
  <c r="K7" i="27" a="1"/>
  <c r="K7" i="27" s="1"/>
  <c r="K8" i="27" a="1"/>
  <c r="K8" i="27" s="1"/>
  <c r="K12" i="27" a="1"/>
  <c r="K12" i="27" s="1"/>
  <c r="K16" i="27" a="1"/>
  <c r="K16" i="27" s="1"/>
  <c r="K20" i="27" a="1"/>
  <c r="K20" i="27" s="1"/>
  <c r="K24" i="27" a="1"/>
  <c r="K24" i="27" s="1"/>
  <c r="K28" i="27" a="1"/>
  <c r="K28" i="27" s="1"/>
  <c r="K32" i="27" a="1"/>
  <c r="K32" i="27" s="1"/>
  <c r="K36" i="27" a="1"/>
  <c r="K36" i="27" s="1"/>
  <c r="K9" i="27" a="1"/>
  <c r="K9" i="27" s="1"/>
  <c r="K13" i="27" a="1"/>
  <c r="K13" i="27" s="1"/>
  <c r="K17" i="27" a="1"/>
  <c r="K17" i="27" s="1"/>
  <c r="K21" i="27" a="1"/>
  <c r="K21" i="27" s="1"/>
  <c r="K25" i="27" a="1"/>
  <c r="K25" i="27" s="1"/>
  <c r="K29" i="27" a="1"/>
  <c r="K29" i="27" s="1"/>
  <c r="K33" i="27" a="1"/>
  <c r="K33" i="27" s="1"/>
  <c r="K37" i="27" a="1"/>
  <c r="K37" i="27" s="1"/>
  <c r="M44" i="6"/>
  <c r="M43" i="6"/>
  <c r="J5" i="6"/>
  <c r="B169" i="1"/>
  <c r="C48" i="9"/>
  <c r="G39" i="2"/>
  <c r="F48" i="9" s="1"/>
  <c r="J24" i="6"/>
  <c r="F27" i="2" s="1"/>
  <c r="D50" i="9"/>
  <c r="B372" i="1"/>
  <c r="J41" i="6"/>
  <c r="F46" i="2" s="1"/>
  <c r="J36" i="6"/>
  <c r="F40" i="2" s="1"/>
  <c r="J31" i="6"/>
  <c r="F34" i="2" s="1"/>
  <c r="J27" i="6"/>
  <c r="J22" i="6"/>
  <c r="F25" i="2" s="1"/>
  <c r="J20" i="6"/>
  <c r="F23" i="2" s="1"/>
  <c r="J7" i="6"/>
  <c r="F10" i="2" s="1"/>
  <c r="J11" i="6"/>
  <c r="F14" i="2" s="1"/>
  <c r="J15" i="6"/>
  <c r="F18" i="2" s="1"/>
  <c r="J37" i="6"/>
  <c r="F41" i="2" s="1"/>
  <c r="J28" i="6"/>
  <c r="F31" i="2" s="1"/>
  <c r="J32" i="6"/>
  <c r="F35" i="2" s="1"/>
  <c r="J21" i="6"/>
  <c r="F24" i="2" s="1"/>
  <c r="J8" i="6"/>
  <c r="F11" i="2" s="1"/>
  <c r="J12" i="6"/>
  <c r="F15" i="2" s="1"/>
  <c r="J16" i="6"/>
  <c r="F19" i="2" s="1"/>
  <c r="J38" i="6"/>
  <c r="F42" i="2" s="1"/>
  <c r="J29" i="6"/>
  <c r="F32" i="2" s="1"/>
  <c r="J33" i="6"/>
  <c r="F36" i="2" s="1"/>
  <c r="J9" i="6"/>
  <c r="F12" i="2" s="1"/>
  <c r="J13" i="6"/>
  <c r="F16" i="2" s="1"/>
  <c r="J17" i="6"/>
  <c r="F20" i="2" s="1"/>
  <c r="J39" i="6"/>
  <c r="F43" i="2" s="1"/>
  <c r="J30" i="6"/>
  <c r="F33" i="2" s="1"/>
  <c r="J34" i="6"/>
  <c r="F37" i="2" s="1"/>
  <c r="J6" i="6"/>
  <c r="F9" i="2" s="1"/>
  <c r="J10" i="6"/>
  <c r="F13" i="2" s="1"/>
  <c r="J14" i="6"/>
  <c r="F17" i="2" s="1"/>
  <c r="J18" i="6"/>
  <c r="F21" i="2" s="1"/>
  <c r="H44" i="13"/>
  <c r="D44" i="13"/>
  <c r="G44" i="13"/>
  <c r="C44" i="13"/>
  <c r="F44" i="13"/>
  <c r="E44" i="13"/>
  <c r="I44" i="12"/>
  <c r="E44" i="12"/>
  <c r="H44" i="12"/>
  <c r="D44" i="12"/>
  <c r="G44" i="12"/>
  <c r="F44" i="12"/>
  <c r="B32" i="1"/>
  <c r="B44" i="1" s="1"/>
  <c r="L14" i="33"/>
  <c r="H22" i="33"/>
  <c r="H24" i="33"/>
  <c r="M24" i="33" s="1"/>
  <c r="L11" i="33"/>
  <c r="H23" i="33"/>
  <c r="M23" i="33" s="1"/>
  <c r="H25" i="33"/>
  <c r="L13" i="33"/>
  <c r="B24" i="1"/>
  <c r="B78" i="1" s="1"/>
  <c r="B18" i="1"/>
  <c r="B62" i="1" s="1"/>
  <c r="B63" i="1"/>
  <c r="F47" i="35"/>
  <c r="AF47" i="35" s="1"/>
  <c r="B178" i="1" s="1"/>
  <c r="B204" i="1"/>
  <c r="B27" i="1"/>
  <c r="B86" i="1" s="1"/>
  <c r="B406" i="1"/>
  <c r="B408" i="1" s="1"/>
  <c r="C41" i="4" s="1"/>
  <c r="E61" i="42" s="1"/>
  <c r="I61" i="42" s="1"/>
  <c r="B235" i="1"/>
  <c r="I16" i="5"/>
  <c r="C17" i="29"/>
  <c r="D106" i="34"/>
  <c r="H107" i="34"/>
  <c r="H116" i="34" s="1"/>
  <c r="H125" i="34" s="1"/>
  <c r="H134" i="34" s="1"/>
  <c r="H143" i="34" s="1"/>
  <c r="F113" i="34"/>
  <c r="T47" i="35"/>
  <c r="AH47" i="35" s="1"/>
  <c r="B181" i="1" s="1"/>
  <c r="D107" i="34"/>
  <c r="F108" i="34"/>
  <c r="H113" i="34"/>
  <c r="H122" i="34" s="1"/>
  <c r="H131" i="34" s="1"/>
  <c r="H140" i="34" s="1"/>
  <c r="H149" i="34" s="1"/>
  <c r="G113" i="34"/>
  <c r="G122" i="34" s="1"/>
  <c r="G131" i="34" s="1"/>
  <c r="G140" i="34" s="1"/>
  <c r="G149" i="34" s="1"/>
  <c r="H109" i="34"/>
  <c r="H118" i="34" s="1"/>
  <c r="H127" i="34" s="1"/>
  <c r="H136" i="34" s="1"/>
  <c r="H145" i="34" s="1"/>
  <c r="G107" i="34"/>
  <c r="G116" i="34" s="1"/>
  <c r="G125" i="34" s="1"/>
  <c r="G134" i="34" s="1"/>
  <c r="G143" i="34" s="1"/>
  <c r="G114" i="34"/>
  <c r="G123" i="34" s="1"/>
  <c r="G132" i="34" s="1"/>
  <c r="G141" i="34" s="1"/>
  <c r="G150" i="34" s="1"/>
  <c r="G108" i="34"/>
  <c r="G109" i="34"/>
  <c r="G118" i="34" s="1"/>
  <c r="G127" i="34" s="1"/>
  <c r="G136" i="34" s="1"/>
  <c r="G145" i="34" s="1"/>
  <c r="G110" i="34"/>
  <c r="G119" i="34" s="1"/>
  <c r="G128" i="34" s="1"/>
  <c r="G137" i="34" s="1"/>
  <c r="G146" i="34" s="1"/>
  <c r="G106" i="34"/>
  <c r="G115" i="34" s="1"/>
  <c r="G124" i="34" s="1"/>
  <c r="G133" i="34" s="1"/>
  <c r="G142" i="34" s="1"/>
  <c r="D114" i="34"/>
  <c r="B21" i="1"/>
  <c r="B70" i="1" s="1"/>
  <c r="B72" i="1" s="1"/>
  <c r="D110" i="34"/>
  <c r="D108" i="34"/>
  <c r="F109" i="34"/>
  <c r="D111" i="34"/>
  <c r="D109" i="34"/>
  <c r="E106" i="34"/>
  <c r="E115" i="34" s="1"/>
  <c r="E124" i="34" s="1"/>
  <c r="E133" i="34" s="1"/>
  <c r="E142" i="34" s="1"/>
  <c r="C48" i="35"/>
  <c r="E48" i="35" s="1"/>
  <c r="AD48" i="35" s="1"/>
  <c r="H114" i="34"/>
  <c r="H123" i="34" s="1"/>
  <c r="H132" i="34" s="1"/>
  <c r="H141" i="34" s="1"/>
  <c r="H150" i="34" s="1"/>
  <c r="E111" i="34"/>
  <c r="E120" i="34" s="1"/>
  <c r="E129" i="34" s="1"/>
  <c r="E138" i="34" s="1"/>
  <c r="E147" i="34" s="1"/>
  <c r="E110" i="34"/>
  <c r="E119" i="34" s="1"/>
  <c r="E128" i="34" s="1"/>
  <c r="E137" i="34" s="1"/>
  <c r="E146" i="34" s="1"/>
  <c r="G112" i="34"/>
  <c r="G121" i="34" s="1"/>
  <c r="G130" i="34" s="1"/>
  <c r="G139" i="34" s="1"/>
  <c r="G148" i="34" s="1"/>
  <c r="E113" i="34"/>
  <c r="E122" i="34" s="1"/>
  <c r="E131" i="34" s="1"/>
  <c r="E140" i="34" s="1"/>
  <c r="E149" i="34" s="1"/>
  <c r="E108" i="34"/>
  <c r="E117" i="34" s="1"/>
  <c r="E126" i="34" s="1"/>
  <c r="E135" i="34" s="1"/>
  <c r="E144" i="34" s="1"/>
  <c r="B247" i="1"/>
  <c r="B249" i="1" s="1"/>
  <c r="AD47" i="35"/>
  <c r="B175" i="1" s="1"/>
  <c r="E114" i="34"/>
  <c r="E123" i="34" s="1"/>
  <c r="E132" i="34" s="1"/>
  <c r="E141" i="34" s="1"/>
  <c r="E150" i="34" s="1"/>
  <c r="E109" i="34"/>
  <c r="E118" i="34" s="1"/>
  <c r="E127" i="34" s="1"/>
  <c r="E136" i="34" s="1"/>
  <c r="E145" i="34" s="1"/>
  <c r="E107" i="34"/>
  <c r="E116" i="34" s="1"/>
  <c r="E125" i="34" s="1"/>
  <c r="E134" i="34" s="1"/>
  <c r="E143" i="34" s="1"/>
  <c r="E112" i="34"/>
  <c r="E121" i="34" s="1"/>
  <c r="E130" i="34" s="1"/>
  <c r="E139" i="34" s="1"/>
  <c r="E148" i="34" s="1"/>
  <c r="E44" i="2"/>
  <c r="E42" i="3" s="1"/>
  <c r="E6" i="3"/>
  <c r="D17" i="9"/>
  <c r="I23" i="6"/>
  <c r="E22" i="2"/>
  <c r="E45" i="2"/>
  <c r="I42" i="6"/>
  <c r="E47" i="2" s="1"/>
  <c r="E49" i="4"/>
  <c r="E95" i="42" s="1"/>
  <c r="I95" i="42" s="1"/>
  <c r="D48" i="9"/>
  <c r="E37" i="3"/>
  <c r="D53" i="9"/>
  <c r="B257" i="1"/>
  <c r="J29" i="27"/>
  <c r="B154" i="1"/>
  <c r="B165" i="1"/>
  <c r="B166" i="1" s="1"/>
  <c r="B170" i="1" s="1"/>
  <c r="B158" i="1"/>
  <c r="B321" i="1" s="1"/>
  <c r="B48" i="1"/>
  <c r="B33" i="1"/>
  <c r="B87" i="1"/>
  <c r="B282" i="1"/>
  <c r="B283" i="1" s="1"/>
  <c r="B285" i="1" s="1"/>
  <c r="B287" i="1" s="1"/>
  <c r="F47" i="4"/>
  <c r="I5" i="5" s="1"/>
  <c r="B33" i="29"/>
  <c r="H4" i="5"/>
  <c r="H67" i="33"/>
  <c r="H72" i="33"/>
  <c r="B31" i="29"/>
  <c r="C31" i="29" s="1"/>
  <c r="H70" i="33"/>
  <c r="B26" i="29"/>
  <c r="H62" i="33"/>
  <c r="H108" i="34"/>
  <c r="X47" i="35"/>
  <c r="W48" i="35" s="1"/>
  <c r="F116" i="34" s="1"/>
  <c r="F111" i="34"/>
  <c r="F110" i="34"/>
  <c r="F106" i="34"/>
  <c r="F114" i="34"/>
  <c r="H106" i="34"/>
  <c r="H115" i="34" s="1"/>
  <c r="H124" i="34" s="1"/>
  <c r="H133" i="34" s="1"/>
  <c r="H142" i="34" s="1"/>
  <c r="H111" i="34"/>
  <c r="H120" i="34" s="1"/>
  <c r="H129" i="34" s="1"/>
  <c r="H138" i="34" s="1"/>
  <c r="H147" i="34" s="1"/>
  <c r="H110" i="34"/>
  <c r="H119" i="34" s="1"/>
  <c r="H128" i="34" s="1"/>
  <c r="H137" i="34" s="1"/>
  <c r="H146" i="34" s="1"/>
  <c r="H112" i="34"/>
  <c r="H121" i="34" s="1"/>
  <c r="H130" i="34" s="1"/>
  <c r="H139" i="34" s="1"/>
  <c r="H148" i="34" s="1"/>
  <c r="F112" i="34"/>
  <c r="B29" i="29"/>
  <c r="C29" i="29" s="1"/>
  <c r="B15" i="1"/>
  <c r="B47" i="1" s="1"/>
  <c r="G129" i="34"/>
  <c r="G138" i="34" s="1"/>
  <c r="G147" i="34" s="1"/>
  <c r="F4" i="5"/>
  <c r="F38" i="4"/>
  <c r="F5" i="5" s="1"/>
  <c r="G4" i="5" l="1"/>
  <c r="E94" i="42"/>
  <c r="I94" i="42" s="1"/>
  <c r="F43" i="4"/>
  <c r="E90" i="42"/>
  <c r="I90" i="42" s="1"/>
  <c r="C33" i="29"/>
  <c r="G16" i="5" s="1"/>
  <c r="C26" i="29"/>
  <c r="F16" i="5" s="1"/>
  <c r="F19" i="5" s="1"/>
  <c r="F23" i="5" s="1"/>
  <c r="E91" i="33"/>
  <c r="E82" i="42"/>
  <c r="I82" i="42" s="1"/>
  <c r="F46" i="4"/>
  <c r="H5" i="5" s="1"/>
  <c r="E92" i="42"/>
  <c r="I92" i="42" s="1"/>
  <c r="B110" i="42"/>
  <c r="G110" i="42"/>
  <c r="B106" i="42"/>
  <c r="G106" i="42"/>
  <c r="B92" i="42"/>
  <c r="G92" i="42"/>
  <c r="G82" i="42"/>
  <c r="B82" i="42"/>
  <c r="G50" i="42"/>
  <c r="B50" i="42"/>
  <c r="G23" i="42"/>
  <c r="B23" i="42"/>
  <c r="G7" i="42"/>
  <c r="B7" i="42"/>
  <c r="B115" i="42"/>
  <c r="G115" i="42"/>
  <c r="B99" i="42"/>
  <c r="G99" i="42"/>
  <c r="G81" i="42"/>
  <c r="B81" i="42"/>
  <c r="G72" i="42"/>
  <c r="B72" i="42"/>
  <c r="B63" i="42"/>
  <c r="G63" i="42"/>
  <c r="G49" i="42"/>
  <c r="B49" i="42"/>
  <c r="B37" i="42"/>
  <c r="G37" i="42"/>
  <c r="G25" i="42"/>
  <c r="B25" i="42"/>
  <c r="G9" i="42"/>
  <c r="B9" i="42"/>
  <c r="B103" i="42"/>
  <c r="G103" i="42"/>
  <c r="B86" i="42"/>
  <c r="G86" i="42"/>
  <c r="B54" i="42"/>
  <c r="G54" i="42"/>
  <c r="G27" i="42"/>
  <c r="B27" i="42"/>
  <c r="G11" i="42"/>
  <c r="B11" i="42"/>
  <c r="B102" i="42"/>
  <c r="G102" i="42"/>
  <c r="B83" i="42"/>
  <c r="G83" i="42"/>
  <c r="G69" i="42"/>
  <c r="B69" i="42"/>
  <c r="G60" i="42"/>
  <c r="B60" i="42"/>
  <c r="B51" i="42"/>
  <c r="G51" i="42"/>
  <c r="B41" i="42"/>
  <c r="G41" i="42"/>
  <c r="G32" i="42"/>
  <c r="B32" i="42"/>
  <c r="G16" i="42"/>
  <c r="B16" i="42"/>
  <c r="B109" i="42"/>
  <c r="G109" i="42"/>
  <c r="B101" i="42"/>
  <c r="G101" i="42"/>
  <c r="G91" i="42"/>
  <c r="B91" i="42"/>
  <c r="G74" i="42"/>
  <c r="B74" i="42"/>
  <c r="G42" i="42"/>
  <c r="B42" i="42"/>
  <c r="G18" i="42"/>
  <c r="B18" i="42"/>
  <c r="G2" i="42"/>
  <c r="B2" i="42"/>
  <c r="B114" i="42"/>
  <c r="G114" i="42"/>
  <c r="B98" i="42"/>
  <c r="G98" i="42"/>
  <c r="G80" i="42"/>
  <c r="B80" i="42"/>
  <c r="B71" i="42"/>
  <c r="G71" i="42"/>
  <c r="G57" i="42"/>
  <c r="B57" i="42"/>
  <c r="G48" i="42"/>
  <c r="B48" i="42"/>
  <c r="G36" i="42"/>
  <c r="B36" i="42"/>
  <c r="G20" i="42"/>
  <c r="B20" i="42"/>
  <c r="G4" i="42"/>
  <c r="B4" i="42"/>
  <c r="B97" i="42"/>
  <c r="G97" i="42"/>
  <c r="B78" i="42"/>
  <c r="G78" i="42"/>
  <c r="B46" i="42"/>
  <c r="G46" i="42"/>
  <c r="B22" i="42"/>
  <c r="G22" i="42"/>
  <c r="B6" i="42"/>
  <c r="G6" i="42"/>
  <c r="B94" i="42"/>
  <c r="G94" i="42"/>
  <c r="G77" i="42"/>
  <c r="B77" i="42"/>
  <c r="G68" i="42"/>
  <c r="B68" i="42"/>
  <c r="B59" i="42"/>
  <c r="G59" i="42"/>
  <c r="G45" i="42"/>
  <c r="B45" i="42"/>
  <c r="G40" i="42"/>
  <c r="B40" i="42"/>
  <c r="G29" i="42"/>
  <c r="B29" i="42"/>
  <c r="G13" i="42"/>
  <c r="B13" i="42"/>
  <c r="B108" i="42"/>
  <c r="G108" i="42"/>
  <c r="B100" i="42"/>
  <c r="G100" i="42"/>
  <c r="G90" i="42"/>
  <c r="B90" i="42"/>
  <c r="G66" i="42"/>
  <c r="B66" i="42"/>
  <c r="G34" i="42"/>
  <c r="B34" i="42"/>
  <c r="G15" i="42"/>
  <c r="B15" i="42"/>
  <c r="B117" i="42"/>
  <c r="G117" i="42"/>
  <c r="B105" i="42"/>
  <c r="G105" i="42"/>
  <c r="B88" i="42"/>
  <c r="G88" i="42"/>
  <c r="B79" i="42"/>
  <c r="G79" i="42"/>
  <c r="G65" i="42"/>
  <c r="B65" i="42"/>
  <c r="G56" i="42"/>
  <c r="B56" i="42"/>
  <c r="B47" i="42"/>
  <c r="G47" i="42"/>
  <c r="G31" i="42"/>
  <c r="B31" i="42"/>
  <c r="G17" i="42"/>
  <c r="B17" i="42"/>
  <c r="B113" i="42"/>
  <c r="G113" i="42"/>
  <c r="B96" i="42"/>
  <c r="G96" i="42"/>
  <c r="B70" i="42"/>
  <c r="G70" i="42"/>
  <c r="B38" i="42"/>
  <c r="G38" i="42"/>
  <c r="G19" i="42"/>
  <c r="B19" i="42"/>
  <c r="G3" i="42"/>
  <c r="B3" i="42"/>
  <c r="G85" i="42"/>
  <c r="B85" i="42"/>
  <c r="G76" i="42"/>
  <c r="B76" i="42"/>
  <c r="B67" i="42"/>
  <c r="G67" i="42"/>
  <c r="G53" i="42"/>
  <c r="B53" i="42"/>
  <c r="G44" i="42"/>
  <c r="B44" i="42"/>
  <c r="G35" i="42"/>
  <c r="B35" i="42"/>
  <c r="G24" i="42"/>
  <c r="B24" i="42"/>
  <c r="G8" i="42"/>
  <c r="B8" i="42"/>
  <c r="B118" i="42"/>
  <c r="G118" i="42"/>
  <c r="B107" i="42"/>
  <c r="G107" i="42"/>
  <c r="G93" i="42"/>
  <c r="B93" i="42"/>
  <c r="B89" i="42"/>
  <c r="G89" i="42"/>
  <c r="G58" i="42"/>
  <c r="B58" i="42"/>
  <c r="G26" i="42"/>
  <c r="B26" i="42"/>
  <c r="G10" i="42"/>
  <c r="B10" i="42"/>
  <c r="B116" i="42"/>
  <c r="G116" i="42"/>
  <c r="B104" i="42"/>
  <c r="G104" i="42"/>
  <c r="B87" i="42"/>
  <c r="G87" i="42"/>
  <c r="G73" i="42"/>
  <c r="B73" i="42"/>
  <c r="G64" i="42"/>
  <c r="B64" i="42"/>
  <c r="B55" i="42"/>
  <c r="G55" i="42"/>
  <c r="G39" i="42"/>
  <c r="B39" i="42"/>
  <c r="G28" i="42"/>
  <c r="B28" i="42"/>
  <c r="G12" i="42"/>
  <c r="B12" i="42"/>
  <c r="B112" i="42"/>
  <c r="G112" i="42"/>
  <c r="B95" i="42"/>
  <c r="G95" i="42"/>
  <c r="B62" i="42"/>
  <c r="G62" i="42"/>
  <c r="B30" i="42"/>
  <c r="G30" i="42"/>
  <c r="B14" i="42"/>
  <c r="G14" i="42"/>
  <c r="B111" i="42"/>
  <c r="G111" i="42"/>
  <c r="G84" i="42"/>
  <c r="B84" i="42"/>
  <c r="B75" i="42"/>
  <c r="G75" i="42"/>
  <c r="G61" i="42"/>
  <c r="B61" i="42"/>
  <c r="G52" i="42"/>
  <c r="B52" i="42"/>
  <c r="B43" i="42"/>
  <c r="G43" i="42"/>
  <c r="B33" i="42"/>
  <c r="G33" i="42"/>
  <c r="G21" i="42"/>
  <c r="B21" i="42"/>
  <c r="G5" i="42"/>
  <c r="B5" i="42"/>
  <c r="H73" i="33"/>
  <c r="G64" i="27"/>
  <c r="F64" i="27"/>
  <c r="H64" i="27"/>
  <c r="B80" i="1"/>
  <c r="B84" i="1" s="1"/>
  <c r="B322" i="1"/>
  <c r="B323" i="1" s="1"/>
  <c r="B396" i="1" s="1"/>
  <c r="B34" i="29"/>
  <c r="B6" i="1"/>
  <c r="B10" i="1" s="1"/>
  <c r="F48" i="4"/>
  <c r="G5" i="5" s="1"/>
  <c r="B171" i="1"/>
  <c r="B338" i="1" s="1"/>
  <c r="J65" i="33"/>
  <c r="B74" i="33" s="1"/>
  <c r="E90" i="33"/>
  <c r="B115" i="1" a="1"/>
  <c r="B115" i="1" s="1"/>
  <c r="G30" i="27"/>
  <c r="F30" i="27"/>
  <c r="F36" i="27" s="1"/>
  <c r="F38" i="27" s="1"/>
  <c r="I30" i="27"/>
  <c r="B95" i="1" a="1"/>
  <c r="B95" i="1" s="1"/>
  <c r="B113" i="1" s="1"/>
  <c r="B114" i="1" s="1"/>
  <c r="B369" i="1" s="1"/>
  <c r="H30" i="27"/>
  <c r="M45" i="6"/>
  <c r="J4" i="6" s="1"/>
  <c r="J40" i="6"/>
  <c r="J42" i="6" s="1"/>
  <c r="F45" i="12"/>
  <c r="F25" i="14"/>
  <c r="F26" i="14" s="1"/>
  <c r="F45" i="14" s="1"/>
  <c r="F44" i="14" s="1"/>
  <c r="F24" i="5" s="1"/>
  <c r="E45" i="12"/>
  <c r="E25" i="14"/>
  <c r="E26" i="14" s="1"/>
  <c r="E45" i="14" s="1"/>
  <c r="E44" i="14" s="1"/>
  <c r="E24" i="5" s="1"/>
  <c r="E25" i="5" s="1"/>
  <c r="E44" i="5" s="1"/>
  <c r="E43" i="5" s="1"/>
  <c r="I44" i="13"/>
  <c r="C25" i="15"/>
  <c r="C45" i="13"/>
  <c r="E30" i="9"/>
  <c r="F19" i="3"/>
  <c r="F35" i="3"/>
  <c r="E46" i="9"/>
  <c r="F18" i="3"/>
  <c r="E29" i="9"/>
  <c r="F25" i="3"/>
  <c r="E36" i="9"/>
  <c r="E28" i="9"/>
  <c r="F17" i="3"/>
  <c r="F33" i="3"/>
  <c r="E44" i="9"/>
  <c r="E23" i="9"/>
  <c r="F12" i="3"/>
  <c r="F30" i="2"/>
  <c r="G25" i="14"/>
  <c r="G26" i="14" s="1"/>
  <c r="G45" i="14" s="1"/>
  <c r="G44" i="14" s="1"/>
  <c r="G24" i="5" s="1"/>
  <c r="G45" i="12"/>
  <c r="I45" i="12"/>
  <c r="I25" i="14"/>
  <c r="I26" i="14" s="1"/>
  <c r="I45" i="14" s="1"/>
  <c r="I44" i="14" s="1"/>
  <c r="I24" i="5" s="1"/>
  <c r="G45" i="13"/>
  <c r="G25" i="15"/>
  <c r="G26" i="15" s="1"/>
  <c r="G45" i="15" s="1"/>
  <c r="G44" i="15" s="1"/>
  <c r="G24" i="6" s="1"/>
  <c r="G25" i="6" s="1"/>
  <c r="G44" i="6" s="1"/>
  <c r="G43" i="6" s="1"/>
  <c r="F15" i="3"/>
  <c r="E26" i="9"/>
  <c r="F31" i="3"/>
  <c r="E42" i="9"/>
  <c r="F14" i="3"/>
  <c r="E25" i="9"/>
  <c r="F34" i="3"/>
  <c r="E45" i="9"/>
  <c r="F13" i="3"/>
  <c r="E24" i="9"/>
  <c r="E40" i="9"/>
  <c r="F29" i="3"/>
  <c r="F39" i="2"/>
  <c r="F8" i="3"/>
  <c r="E19" i="9"/>
  <c r="E43" i="9"/>
  <c r="F32" i="3"/>
  <c r="D25" i="14"/>
  <c r="D26" i="14" s="1"/>
  <c r="D45" i="14" s="1"/>
  <c r="D44" i="14" s="1"/>
  <c r="D24" i="5" s="1"/>
  <c r="E117" i="42" s="1"/>
  <c r="I117" i="42" s="1"/>
  <c r="D45" i="12"/>
  <c r="E25" i="15"/>
  <c r="E26" i="15" s="1"/>
  <c r="E45" i="15" s="1"/>
  <c r="E44" i="15" s="1"/>
  <c r="E24" i="6" s="1"/>
  <c r="E25" i="6" s="1"/>
  <c r="E44" i="6" s="1"/>
  <c r="E43" i="6" s="1"/>
  <c r="E45" i="13"/>
  <c r="D25" i="15"/>
  <c r="D26" i="15" s="1"/>
  <c r="D45" i="15" s="1"/>
  <c r="D44" i="15" s="1"/>
  <c r="D24" i="6" s="1"/>
  <c r="D45" i="13"/>
  <c r="F11" i="3"/>
  <c r="E22" i="9"/>
  <c r="F41" i="3"/>
  <c r="E52" i="9"/>
  <c r="E21" i="9"/>
  <c r="F10" i="3"/>
  <c r="E41" i="9"/>
  <c r="F30" i="3"/>
  <c r="F9" i="3"/>
  <c r="E20" i="9"/>
  <c r="E50" i="9"/>
  <c r="F39" i="3"/>
  <c r="F44" i="2"/>
  <c r="F21" i="3"/>
  <c r="E32" i="9"/>
  <c r="F38" i="3"/>
  <c r="E49" i="9"/>
  <c r="H25" i="14"/>
  <c r="H26" i="14" s="1"/>
  <c r="H45" i="14" s="1"/>
  <c r="H44" i="14" s="1"/>
  <c r="H24" i="5" s="1"/>
  <c r="H45" i="12"/>
  <c r="F25" i="15"/>
  <c r="F26" i="15" s="1"/>
  <c r="F45" i="15" s="1"/>
  <c r="F44" i="15" s="1"/>
  <c r="F24" i="6" s="1"/>
  <c r="F45" i="13"/>
  <c r="H25" i="15"/>
  <c r="H26" i="15" s="1"/>
  <c r="H45" i="15" s="1"/>
  <c r="H44" i="15" s="1"/>
  <c r="H24" i="6" s="1"/>
  <c r="H25" i="6" s="1"/>
  <c r="H44" i="6" s="1"/>
  <c r="H43" i="6" s="1"/>
  <c r="H45" i="13"/>
  <c r="E18" i="9"/>
  <c r="F7" i="3"/>
  <c r="F40" i="3"/>
  <c r="E51" i="9"/>
  <c r="F22" i="3"/>
  <c r="E33" i="9"/>
  <c r="E27" i="9"/>
  <c r="F16" i="3"/>
  <c r="E34" i="9"/>
  <c r="F23" i="3"/>
  <c r="F44" i="3"/>
  <c r="E55" i="9"/>
  <c r="B110" i="1" a="1"/>
  <c r="B110" i="1" s="1"/>
  <c r="AL47" i="35"/>
  <c r="AP47" i="35" s="1"/>
  <c r="AL48" i="35" s="1"/>
  <c r="AP48" i="35" s="1"/>
  <c r="L24" i="33"/>
  <c r="M25" i="33"/>
  <c r="L25" i="33"/>
  <c r="M22" i="33"/>
  <c r="B179" i="1"/>
  <c r="B180" i="1" s="1"/>
  <c r="B188" i="1" s="1"/>
  <c r="B60" i="1"/>
  <c r="L16" i="33"/>
  <c r="L23" i="33" s="1"/>
  <c r="F48" i="35"/>
  <c r="AF48" i="35" s="1"/>
  <c r="B88" i="1"/>
  <c r="B90" i="1" s="1"/>
  <c r="B34" i="1"/>
  <c r="B64" i="1"/>
  <c r="B68" i="1" s="1"/>
  <c r="G117" i="34"/>
  <c r="G126" i="34" s="1"/>
  <c r="G135" i="34" s="1"/>
  <c r="G144" i="34" s="1"/>
  <c r="AO47" i="35"/>
  <c r="C42" i="4"/>
  <c r="E62" i="42" s="1"/>
  <c r="I62" i="42" s="1"/>
  <c r="H16" i="5"/>
  <c r="C49" i="35"/>
  <c r="E49" i="35" s="1"/>
  <c r="C50" i="35" s="1"/>
  <c r="E50" i="35" s="1"/>
  <c r="I19" i="5"/>
  <c r="I23" i="5" s="1"/>
  <c r="S48" i="35"/>
  <c r="T48" i="35" s="1"/>
  <c r="AH48" i="35" s="1"/>
  <c r="B107" i="1" a="1"/>
  <c r="B107" i="1" s="1"/>
  <c r="F115" i="34"/>
  <c r="D31" i="9"/>
  <c r="E20" i="3"/>
  <c r="E26" i="2"/>
  <c r="E45" i="3"/>
  <c r="D56" i="9"/>
  <c r="E43" i="3"/>
  <c r="D54" i="9"/>
  <c r="F4" i="6"/>
  <c r="F49" i="4"/>
  <c r="F5" i="6" s="1"/>
  <c r="B74" i="1"/>
  <c r="B76" i="1"/>
  <c r="B49" i="1"/>
  <c r="H40" i="33" s="1"/>
  <c r="B59" i="1"/>
  <c r="B159" i="1"/>
  <c r="B160" i="1" s="1"/>
  <c r="B172" i="1" s="1"/>
  <c r="B343" i="1"/>
  <c r="F122" i="34"/>
  <c r="F119" i="34"/>
  <c r="B56" i="1"/>
  <c r="X48" i="35"/>
  <c r="W49" i="35" s="1"/>
  <c r="F121" i="34"/>
  <c r="F123" i="34"/>
  <c r="F117" i="34"/>
  <c r="F120" i="34"/>
  <c r="F118" i="34"/>
  <c r="H117" i="34"/>
  <c r="H126" i="34" s="1"/>
  <c r="H135" i="34" s="1"/>
  <c r="H144" i="34" s="1"/>
  <c r="B123" i="1" a="1"/>
  <c r="B123" i="1" s="1"/>
  <c r="K101" i="42" l="1"/>
  <c r="K54" i="42"/>
  <c r="K67" i="42"/>
  <c r="K113" i="42"/>
  <c r="K79" i="42"/>
  <c r="K105" i="42"/>
  <c r="K59" i="42"/>
  <c r="K6" i="42"/>
  <c r="K46" i="42"/>
  <c r="K102" i="42"/>
  <c r="K63" i="42"/>
  <c r="K115" i="42"/>
  <c r="K104" i="42"/>
  <c r="K5" i="42"/>
  <c r="K52" i="42"/>
  <c r="K26" i="42"/>
  <c r="K8" i="42"/>
  <c r="K35" i="42"/>
  <c r="K99" i="42"/>
  <c r="G19" i="5"/>
  <c r="G23" i="5" s="1"/>
  <c r="K62" i="42"/>
  <c r="H19" i="5"/>
  <c r="H23" i="5" s="1"/>
  <c r="C34" i="29"/>
  <c r="F16" i="6" s="1"/>
  <c r="F19" i="6" s="1"/>
  <c r="F23" i="6" s="1"/>
  <c r="F25" i="6" s="1"/>
  <c r="F44" i="6" s="1"/>
  <c r="F43" i="6" s="1"/>
  <c r="K92" i="42"/>
  <c r="K53" i="42"/>
  <c r="K65" i="42"/>
  <c r="K34" i="42"/>
  <c r="K90" i="42"/>
  <c r="K108" i="42"/>
  <c r="K29" i="42"/>
  <c r="K68" i="42"/>
  <c r="K4" i="42"/>
  <c r="K36" i="42"/>
  <c r="K80" i="42"/>
  <c r="K18" i="42"/>
  <c r="K74" i="42"/>
  <c r="K16" i="42"/>
  <c r="K25" i="42"/>
  <c r="K61" i="42"/>
  <c r="K28" i="42"/>
  <c r="K10" i="42"/>
  <c r="K58" i="42"/>
  <c r="K93" i="42"/>
  <c r="K24" i="42"/>
  <c r="K19" i="42"/>
  <c r="K31" i="42"/>
  <c r="K15" i="42"/>
  <c r="K66" i="42"/>
  <c r="K100" i="42"/>
  <c r="K13" i="42"/>
  <c r="K40" i="42"/>
  <c r="K77" i="42"/>
  <c r="K20" i="42"/>
  <c r="K48" i="42"/>
  <c r="K91" i="42"/>
  <c r="K32" i="42"/>
  <c r="K69" i="42"/>
  <c r="K27" i="42"/>
  <c r="K9" i="42"/>
  <c r="K81" i="42"/>
  <c r="K82" i="42"/>
  <c r="K60" i="42"/>
  <c r="K49" i="42"/>
  <c r="K7" i="42"/>
  <c r="K33" i="42"/>
  <c r="K75" i="42"/>
  <c r="K111" i="42"/>
  <c r="K30" i="42"/>
  <c r="K95" i="42"/>
  <c r="K87" i="42"/>
  <c r="K47" i="42"/>
  <c r="K88" i="42"/>
  <c r="K117" i="42"/>
  <c r="K94" i="42"/>
  <c r="K78" i="42"/>
  <c r="K114" i="42"/>
  <c r="K103" i="42"/>
  <c r="K110" i="42"/>
  <c r="B82" i="1"/>
  <c r="E85" i="33"/>
  <c r="D42" i="4"/>
  <c r="E76" i="42" s="1"/>
  <c r="I76" i="42" s="1"/>
  <c r="K76" i="42" s="1"/>
  <c r="B173" i="1"/>
  <c r="B195" i="1" s="1"/>
  <c r="F49" i="27"/>
  <c r="F47" i="27"/>
  <c r="C44" i="4"/>
  <c r="E64" i="42" s="1"/>
  <c r="I64" i="42" s="1"/>
  <c r="K64" i="42" s="1"/>
  <c r="F40" i="27"/>
  <c r="B144" i="1"/>
  <c r="J17" i="27" s="1"/>
  <c r="H25" i="5"/>
  <c r="H44" i="5" s="1"/>
  <c r="H43" i="5" s="1"/>
  <c r="I45" i="13"/>
  <c r="F8" i="2"/>
  <c r="F25" i="5"/>
  <c r="F44" i="5" s="1"/>
  <c r="F43" i="5" s="1"/>
  <c r="I25" i="5"/>
  <c r="I44" i="5" s="1"/>
  <c r="I43" i="5" s="1"/>
  <c r="G25" i="5"/>
  <c r="G44" i="5" s="1"/>
  <c r="G43" i="5" s="1"/>
  <c r="I25" i="15"/>
  <c r="I26" i="15" s="1"/>
  <c r="I45" i="15" s="1"/>
  <c r="I44" i="15" s="1"/>
  <c r="F47" i="2"/>
  <c r="F45" i="2"/>
  <c r="E48" i="9"/>
  <c r="F37" i="3"/>
  <c r="F28" i="3"/>
  <c r="E39" i="9"/>
  <c r="C26" i="15"/>
  <c r="C45" i="15" s="1"/>
  <c r="C44" i="15" s="1"/>
  <c r="C24" i="6" s="1"/>
  <c r="C25" i="6" s="1"/>
  <c r="C44" i="6" s="1"/>
  <c r="C43" i="6" s="1"/>
  <c r="F42" i="3"/>
  <c r="E53" i="9"/>
  <c r="B124" i="1"/>
  <c r="B125" i="1" s="1"/>
  <c r="B127" i="1" s="1"/>
  <c r="B36" i="1"/>
  <c r="B182" i="1" s="1"/>
  <c r="B183" i="1" s="1"/>
  <c r="B92" i="1"/>
  <c r="M26" i="33"/>
  <c r="B11" i="1" s="1"/>
  <c r="B189" i="1" s="1"/>
  <c r="L22" i="33"/>
  <c r="L26" i="33" s="1"/>
  <c r="B8" i="1" s="1"/>
  <c r="B149" i="1" s="1"/>
  <c r="J28" i="27" s="1"/>
  <c r="B61" i="1"/>
  <c r="B135" i="1" s="1"/>
  <c r="J8" i="27" s="1"/>
  <c r="B116" i="1"/>
  <c r="B117" i="1" s="1"/>
  <c r="B119" i="1" s="1"/>
  <c r="B96" i="1"/>
  <c r="B97" i="1" s="1"/>
  <c r="B365" i="1" s="1"/>
  <c r="B42" i="1"/>
  <c r="B66" i="1"/>
  <c r="J66" i="33"/>
  <c r="AD49" i="35"/>
  <c r="AL49" i="35" s="1"/>
  <c r="AP49" i="35" s="1"/>
  <c r="F49" i="35"/>
  <c r="AF49" i="35" s="1"/>
  <c r="D122" i="34"/>
  <c r="D118" i="34"/>
  <c r="D119" i="34"/>
  <c r="D117" i="34"/>
  <c r="D115" i="34"/>
  <c r="D123" i="34"/>
  <c r="D116" i="34"/>
  <c r="D120" i="34"/>
  <c r="D121" i="34"/>
  <c r="B132" i="1"/>
  <c r="J5" i="27" s="1"/>
  <c r="B53" i="1"/>
  <c r="B276" i="1"/>
  <c r="E24" i="3"/>
  <c r="D35" i="9"/>
  <c r="X49" i="35"/>
  <c r="W50" i="35" s="1"/>
  <c r="X50" i="35" s="1"/>
  <c r="W51" i="35" s="1"/>
  <c r="X51" i="35" s="1"/>
  <c r="F129" i="34"/>
  <c r="F131" i="34"/>
  <c r="F126" i="34"/>
  <c r="F125" i="34"/>
  <c r="F134" i="34" s="1"/>
  <c r="F143" i="34" s="1"/>
  <c r="F128" i="34"/>
  <c r="F130" i="34"/>
  <c r="F127" i="34"/>
  <c r="F124" i="34"/>
  <c r="F133" i="34" s="1"/>
  <c r="F142" i="34" s="1"/>
  <c r="F132" i="34"/>
  <c r="S49" i="35"/>
  <c r="AO48" i="35"/>
  <c r="C51" i="35"/>
  <c r="E51" i="35" s="1"/>
  <c r="F50" i="35"/>
  <c r="AF50" i="35" s="1"/>
  <c r="AD50" i="35"/>
  <c r="H66" i="33" l="1"/>
  <c r="J68" i="33"/>
  <c r="E42" i="4"/>
  <c r="G35" i="27"/>
  <c r="G36" i="27" s="1"/>
  <c r="G47" i="27" s="1"/>
  <c r="F68" i="27"/>
  <c r="F69" i="27" s="1"/>
  <c r="F65" i="27"/>
  <c r="E17" i="9"/>
  <c r="F6" i="3"/>
  <c r="D25" i="3"/>
  <c r="E22" i="42" s="1"/>
  <c r="I22" i="42" s="1"/>
  <c r="K22" i="42" s="1"/>
  <c r="B101" i="1"/>
  <c r="E54" i="9"/>
  <c r="F43" i="3"/>
  <c r="I24" i="6"/>
  <c r="F45" i="3"/>
  <c r="E56" i="9"/>
  <c r="D27" i="2"/>
  <c r="B121" i="1"/>
  <c r="B140" i="1"/>
  <c r="J13" i="27" s="1"/>
  <c r="B129" i="1"/>
  <c r="B28" i="29"/>
  <c r="D125" i="34"/>
  <c r="F139" i="34"/>
  <c r="F148" i="34" s="1"/>
  <c r="F140" i="34"/>
  <c r="F149" i="34" s="1"/>
  <c r="F141" i="34"/>
  <c r="F150" i="34" s="1"/>
  <c r="F137" i="34"/>
  <c r="F146" i="34" s="1"/>
  <c r="F138" i="34"/>
  <c r="F147" i="34" s="1"/>
  <c r="F136" i="34"/>
  <c r="F145" i="34" s="1"/>
  <c r="F135" i="34"/>
  <c r="F144" i="34" s="1"/>
  <c r="D124" i="34"/>
  <c r="D131" i="34"/>
  <c r="D132" i="34"/>
  <c r="D128" i="34"/>
  <c r="D126" i="34"/>
  <c r="D129" i="34"/>
  <c r="D130" i="34"/>
  <c r="T49" i="35"/>
  <c r="AH49" i="35" s="1"/>
  <c r="AL50" i="35"/>
  <c r="AP50" i="35" s="1"/>
  <c r="D127" i="34"/>
  <c r="F51" i="35"/>
  <c r="AF51" i="35" s="1"/>
  <c r="AD51" i="35"/>
  <c r="F42" i="4" l="1"/>
  <c r="D5" i="6" s="1"/>
  <c r="E89" i="42"/>
  <c r="I89" i="42" s="1"/>
  <c r="K89" i="42" s="1"/>
  <c r="C28" i="29"/>
  <c r="D16" i="6" s="1"/>
  <c r="D4" i="6"/>
  <c r="C36" i="9"/>
  <c r="G38" i="27"/>
  <c r="H35" i="27" s="1"/>
  <c r="H36" i="27" s="1"/>
  <c r="H40" i="27" s="1"/>
  <c r="G40" i="27"/>
  <c r="E27" i="2"/>
  <c r="I25" i="6"/>
  <c r="S50" i="35"/>
  <c r="AO49" i="35"/>
  <c r="AL51" i="35"/>
  <c r="AP51" i="35" s="1"/>
  <c r="D19" i="6" l="1"/>
  <c r="D23" i="6" s="1"/>
  <c r="D25" i="6" s="1"/>
  <c r="D44" i="6" s="1"/>
  <c r="D43" i="6" s="1"/>
  <c r="G49" i="27"/>
  <c r="G68" i="27" s="1"/>
  <c r="G69" i="27" s="1"/>
  <c r="H47" i="27"/>
  <c r="H38" i="27"/>
  <c r="E25" i="3"/>
  <c r="D36" i="9"/>
  <c r="I44" i="6"/>
  <c r="E28" i="2"/>
  <c r="D139" i="34"/>
  <c r="D137" i="34"/>
  <c r="D138" i="34"/>
  <c r="D135" i="34"/>
  <c r="D141" i="34"/>
  <c r="D133" i="34"/>
  <c r="T50" i="35"/>
  <c r="AH50" i="35" s="1"/>
  <c r="D140" i="34"/>
  <c r="D136" i="34"/>
  <c r="D134" i="34"/>
  <c r="G65" i="27" l="1"/>
  <c r="I35" i="27"/>
  <c r="I36" i="27" s="1"/>
  <c r="H49" i="27"/>
  <c r="H68" i="27" s="1"/>
  <c r="D37" i="9"/>
  <c r="E26" i="3"/>
  <c r="E49" i="2"/>
  <c r="I43" i="6"/>
  <c r="E48" i="2" s="1"/>
  <c r="E79" i="33" s="1"/>
  <c r="AO50" i="35"/>
  <c r="S51" i="35"/>
  <c r="H69" i="27" l="1"/>
  <c r="H65" i="27"/>
  <c r="I47" i="27"/>
  <c r="I38" i="27"/>
  <c r="B379" i="1" s="1"/>
  <c r="B388" i="1" s="1"/>
  <c r="E46" i="3"/>
  <c r="E80" i="33" s="1"/>
  <c r="D57" i="9"/>
  <c r="E47" i="3"/>
  <c r="D58" i="9"/>
  <c r="D149" i="34"/>
  <c r="D143" i="34"/>
  <c r="D142" i="34"/>
  <c r="D145" i="34"/>
  <c r="D147" i="34"/>
  <c r="D150" i="34"/>
  <c r="D146" i="34"/>
  <c r="D148" i="34"/>
  <c r="T51" i="35"/>
  <c r="D144" i="34"/>
  <c r="I49" i="27" l="1"/>
  <c r="J35" i="27"/>
  <c r="AO51" i="35"/>
  <c r="AH51" i="35"/>
  <c r="I65" i="27" l="1"/>
  <c r="I68" i="27"/>
  <c r="I69" i="27" s="1"/>
  <c r="B65" i="33"/>
  <c r="B40" i="1" l="1"/>
  <c r="B41" i="1" s="1"/>
  <c r="Q337" i="36" l="1"/>
  <c r="B57" i="1"/>
  <c r="B58" i="1" s="1"/>
  <c r="B134" i="1" s="1"/>
  <c r="J7" i="27" s="1"/>
  <c r="B43" i="1"/>
  <c r="B126" i="1"/>
  <c r="B128" i="1" s="1"/>
  <c r="B130" i="1" s="1"/>
  <c r="B118" i="1"/>
  <c r="B120" i="1" s="1"/>
  <c r="B122" i="1" s="1"/>
  <c r="B104" i="1"/>
  <c r="B105" i="1"/>
  <c r="B89" i="1"/>
  <c r="B91" i="1" s="1"/>
  <c r="B93" i="1" s="1"/>
  <c r="B81" i="1"/>
  <c r="B83" i="1" s="1"/>
  <c r="B85" i="1" s="1"/>
  <c r="B65" i="1"/>
  <c r="B67" i="1" s="1"/>
  <c r="B69" i="1" s="1"/>
  <c r="B73" i="1" l="1"/>
  <c r="B75" i="1" s="1"/>
  <c r="B77" i="1" s="1"/>
  <c r="B191" i="1" s="1"/>
  <c r="B139" i="1"/>
  <c r="J12" i="27" s="1"/>
  <c r="B193" i="1"/>
  <c r="B136" i="1"/>
  <c r="J9" i="27" s="1"/>
  <c r="B190" i="1"/>
  <c r="B106" i="1"/>
  <c r="B146" i="1"/>
  <c r="J19" i="27" s="1"/>
  <c r="B371" i="1"/>
  <c r="B185" i="1"/>
  <c r="B197" i="1"/>
  <c r="B199" i="1" s="1"/>
  <c r="B250" i="1"/>
  <c r="B251" i="1" s="1"/>
  <c r="B234" i="1"/>
  <c r="B237" i="1" s="1"/>
  <c r="B45" i="1"/>
  <c r="B176" i="1" s="1"/>
  <c r="B177" i="1" s="1"/>
  <c r="B187" i="1" s="1"/>
  <c r="B231" i="1"/>
  <c r="B232" i="1" s="1"/>
  <c r="B192" i="1"/>
  <c r="B138" i="1"/>
  <c r="J11" i="27" s="1"/>
  <c r="B370" i="1"/>
  <c r="B184" i="1"/>
  <c r="B145" i="1"/>
  <c r="J18" i="27" s="1"/>
  <c r="B203" i="1"/>
  <c r="B205" i="1" s="1"/>
  <c r="B209" i="1" s="1"/>
  <c r="B210" i="1" s="1"/>
  <c r="B218" i="1"/>
  <c r="B137" i="1" l="1"/>
  <c r="J10" i="27" s="1"/>
  <c r="AJ337" i="36"/>
  <c r="AK337" i="36"/>
  <c r="AI337" i="36"/>
  <c r="B222" i="1"/>
  <c r="B224" i="1" s="1"/>
  <c r="B269" i="1"/>
  <c r="B238" i="1"/>
  <c r="B239" i="1" s="1"/>
  <c r="B241" i="1" s="1"/>
  <c r="B243" i="1" s="1"/>
  <c r="B245" i="1" s="1"/>
  <c r="B258" i="1"/>
  <c r="B109" i="1"/>
  <c r="B111" i="1" s="1"/>
  <c r="B108" i="1"/>
  <c r="B186" i="1"/>
  <c r="B194" i="1" s="1"/>
  <c r="B219" i="1"/>
  <c r="B220" i="1"/>
  <c r="B273" i="1"/>
  <c r="H43" i="33"/>
  <c r="B383" i="1"/>
  <c r="J31" i="27"/>
  <c r="B271" i="1"/>
  <c r="B260" i="1"/>
  <c r="B270" i="1" l="1"/>
  <c r="B259" i="1"/>
  <c r="B221" i="1"/>
  <c r="B223" i="1" s="1"/>
  <c r="B225" i="1" s="1"/>
  <c r="B226" i="1" s="1"/>
  <c r="B213" i="1"/>
  <c r="B196" i="1"/>
  <c r="B142" i="1"/>
  <c r="J15" i="27" s="1"/>
  <c r="B367" i="1"/>
  <c r="B368" i="1"/>
  <c r="B143" i="1"/>
  <c r="J16" i="27" s="1"/>
  <c r="B200" i="1" l="1"/>
  <c r="B201" i="1" s="1"/>
  <c r="B263" i="1"/>
  <c r="B254" i="1"/>
  <c r="B265" i="1"/>
  <c r="B264" i="1" l="1"/>
  <c r="B274" i="1" s="1"/>
  <c r="B214" i="1"/>
  <c r="H44" i="33" l="1"/>
  <c r="B374" i="1"/>
  <c r="B391" i="1"/>
  <c r="D13" i="5"/>
  <c r="E106" i="42" s="1"/>
  <c r="I106" i="42" s="1"/>
  <c r="K106" i="42" s="1"/>
  <c r="D16" i="2" l="1"/>
  <c r="C25" i="9" s="1"/>
  <c r="D14" i="3"/>
  <c r="E11" i="42" s="1"/>
  <c r="I11" i="42" s="1"/>
  <c r="K11" i="42" s="1"/>
  <c r="W337" i="36" l="1"/>
  <c r="B98" i="1"/>
  <c r="B99" i="1" l="1"/>
  <c r="B100" i="1" s="1"/>
  <c r="B102" i="1" s="1"/>
  <c r="X337" i="36" l="1"/>
  <c r="B366" i="1"/>
  <c r="B373" i="1" s="1"/>
  <c r="B141" i="1"/>
  <c r="J14" i="27" s="1"/>
  <c r="D39" i="5" l="1"/>
  <c r="B375" i="1"/>
  <c r="B376" i="1" s="1"/>
  <c r="D43" i="2" l="1"/>
  <c r="D41" i="3"/>
  <c r="D40" i="5"/>
  <c r="D42" i="3" l="1"/>
  <c r="E38" i="42" s="1"/>
  <c r="I38" i="42" s="1"/>
  <c r="K38" i="42" s="1"/>
  <c r="E37" i="42"/>
  <c r="I37" i="42" s="1"/>
  <c r="K37" i="42" s="1"/>
  <c r="D42" i="5"/>
  <c r="D45" i="2"/>
  <c r="C54" i="9" s="1"/>
  <c r="D43" i="3"/>
  <c r="E39" i="42" s="1"/>
  <c r="I39" i="42" s="1"/>
  <c r="K39" i="42" s="1"/>
  <c r="D44" i="2"/>
  <c r="C52" i="9"/>
  <c r="G44" i="2" l="1"/>
  <c r="F53" i="9" s="1"/>
  <c r="C53" i="9"/>
  <c r="D45" i="3"/>
  <c r="E41" i="42" s="1"/>
  <c r="I41" i="42" s="1"/>
  <c r="K41" i="42" s="1"/>
  <c r="D47" i="2"/>
  <c r="C56" i="9" s="1"/>
  <c r="B50" i="1" l="1"/>
  <c r="B52" i="1" s="1"/>
  <c r="B54" i="1" s="1"/>
  <c r="B133" i="1" l="1"/>
  <c r="J6" i="27" s="1"/>
  <c r="J30" i="27" s="1"/>
  <c r="B277" i="1"/>
  <c r="B278" i="1" s="1"/>
  <c r="B304" i="1" s="1"/>
  <c r="B306" i="1" s="1"/>
  <c r="B411" i="1" s="1"/>
  <c r="H41" i="33"/>
  <c r="E107" i="33" s="1"/>
  <c r="B150" i="1" l="1"/>
  <c r="B212" i="1" s="1"/>
  <c r="B215" i="1" s="1"/>
  <c r="B253" i="1" s="1"/>
  <c r="B261" i="1" s="1"/>
  <c r="B318" i="1" s="1"/>
  <c r="B320" i="1" s="1"/>
  <c r="B280" i="1"/>
  <c r="B410" i="1" s="1"/>
  <c r="B415" i="1" s="1"/>
  <c r="E87" i="33" s="1"/>
  <c r="B309" i="1"/>
  <c r="C11" i="4"/>
  <c r="E45" i="42" s="1"/>
  <c r="I45" i="42" s="1"/>
  <c r="K45" i="42" s="1"/>
  <c r="B382" i="1"/>
  <c r="B310" i="1"/>
  <c r="J33" i="27"/>
  <c r="H42" i="33" l="1"/>
  <c r="B378" i="1"/>
  <c r="C10" i="4"/>
  <c r="E44" i="42" s="1"/>
  <c r="I44" i="42" s="1"/>
  <c r="K44" i="42" s="1"/>
  <c r="B288" i="1"/>
  <c r="B289" i="1" s="1"/>
  <c r="B294" i="1" s="1"/>
  <c r="B293" i="1"/>
  <c r="B292" i="1"/>
  <c r="H45" i="33" s="1"/>
  <c r="B325" i="1"/>
  <c r="B327" i="1" s="1"/>
  <c r="B329" i="1" s="1"/>
  <c r="B333" i="1" s="1"/>
  <c r="B334" i="1" s="1"/>
  <c r="B335" i="1"/>
  <c r="B417" i="1"/>
  <c r="B311" i="1"/>
  <c r="B312" i="1" s="1"/>
  <c r="B394" i="1"/>
  <c r="B347" i="1" l="1"/>
  <c r="H48" i="33" s="1"/>
  <c r="B73" i="33" s="1"/>
  <c r="B297" i="1"/>
  <c r="B299" i="1" s="1"/>
  <c r="D14" i="5" s="1"/>
  <c r="E107" i="42" s="1"/>
  <c r="I107" i="42" s="1"/>
  <c r="K107" i="42" s="1"/>
  <c r="B295" i="1"/>
  <c r="B296" i="1" s="1"/>
  <c r="B359" i="1" s="1"/>
  <c r="B361" i="1" s="1"/>
  <c r="H56" i="33" s="1"/>
  <c r="B393" i="1"/>
  <c r="B416" i="1"/>
  <c r="B420" i="1" s="1"/>
  <c r="B300" i="1"/>
  <c r="B339" i="1"/>
  <c r="B340" i="1" s="1"/>
  <c r="B395" i="1" s="1"/>
  <c r="B336" i="1"/>
  <c r="B337" i="1" s="1"/>
  <c r="B344" i="1" s="1"/>
  <c r="B345" i="1" s="1"/>
  <c r="C30" i="4"/>
  <c r="E51" i="42" s="1"/>
  <c r="I51" i="42" s="1"/>
  <c r="K51" i="42" s="1"/>
  <c r="B392" i="1" l="1"/>
  <c r="B301" i="1"/>
  <c r="B302" i="1" s="1"/>
  <c r="J32" i="27" s="1"/>
  <c r="B355" i="1"/>
  <c r="H53" i="33" s="1"/>
  <c r="H46" i="33"/>
  <c r="B72" i="33" s="1"/>
  <c r="B346" i="1"/>
  <c r="C35" i="4" s="1"/>
  <c r="E56" i="42" s="1"/>
  <c r="I56" i="42" s="1"/>
  <c r="K56" i="42" s="1"/>
  <c r="D17" i="2"/>
  <c r="C26" i="9" s="1"/>
  <c r="D15" i="3"/>
  <c r="E12" i="42" s="1"/>
  <c r="I12" i="42" s="1"/>
  <c r="K12" i="42" s="1"/>
  <c r="H47" i="33"/>
  <c r="C29" i="4"/>
  <c r="C34" i="4" l="1"/>
  <c r="E55" i="42" s="1"/>
  <c r="I55" i="42" s="1"/>
  <c r="K55" i="42" s="1"/>
  <c r="E50" i="42"/>
  <c r="I50" i="42" s="1"/>
  <c r="K50" i="42" s="1"/>
  <c r="B350" i="1"/>
  <c r="B390" i="1" s="1"/>
  <c r="D35" i="4"/>
  <c r="E86" i="33"/>
  <c r="B381" i="1"/>
  <c r="D34" i="4"/>
  <c r="C36" i="4" l="1"/>
  <c r="E57" i="42" s="1"/>
  <c r="I57" i="42" s="1"/>
  <c r="K57" i="42" s="1"/>
  <c r="C50" i="4"/>
  <c r="E70" i="42" s="1"/>
  <c r="I70" i="42" s="1"/>
  <c r="K70" i="42" s="1"/>
  <c r="B23" i="29"/>
  <c r="C23" i="29" s="1"/>
  <c r="E72" i="42"/>
  <c r="I72" i="42" s="1"/>
  <c r="K72" i="42" s="1"/>
  <c r="E34" i="4"/>
  <c r="E71" i="42"/>
  <c r="I71" i="42" s="1"/>
  <c r="K71" i="42" s="1"/>
  <c r="B354" i="1"/>
  <c r="B356" i="1" s="1"/>
  <c r="E35" i="4"/>
  <c r="B22" i="29"/>
  <c r="D36" i="4"/>
  <c r="E73" i="42" s="1"/>
  <c r="I73" i="42" s="1"/>
  <c r="K73" i="42" s="1"/>
  <c r="J74" i="33" l="1"/>
  <c r="F35" i="4"/>
  <c r="E85" i="42"/>
  <c r="I85" i="42" s="1"/>
  <c r="K85" i="42" s="1"/>
  <c r="F34" i="4"/>
  <c r="E84" i="42"/>
  <c r="I84" i="42" s="1"/>
  <c r="K84" i="42" s="1"/>
  <c r="C22" i="29"/>
  <c r="C24" i="29" s="1"/>
  <c r="H54" i="33"/>
  <c r="E36" i="4"/>
  <c r="H52" i="33"/>
  <c r="B358" i="1"/>
  <c r="B24" i="29"/>
  <c r="D50" i="4"/>
  <c r="E83" i="42" s="1"/>
  <c r="I83" i="42" s="1"/>
  <c r="K83" i="42" s="1"/>
  <c r="E50" i="4" l="1"/>
  <c r="E96" i="42" s="1"/>
  <c r="I96" i="42" s="1"/>
  <c r="K96" i="42" s="1"/>
  <c r="E86" i="42"/>
  <c r="I86" i="42" s="1"/>
  <c r="K86" i="42" s="1"/>
  <c r="C35" i="29"/>
  <c r="C38" i="29" s="1"/>
  <c r="D16" i="5"/>
  <c r="E109" i="42" s="1"/>
  <c r="I109" i="42" s="1"/>
  <c r="K109" i="42" s="1"/>
  <c r="D4" i="5"/>
  <c r="F36" i="4"/>
  <c r="F50" i="4" s="1"/>
  <c r="H55" i="33"/>
  <c r="B362" i="1"/>
  <c r="B363" i="1" s="1"/>
  <c r="H57" i="33" s="1"/>
  <c r="D7" i="2"/>
  <c r="H74" i="33"/>
  <c r="D50" i="2"/>
  <c r="C60" i="9" s="1"/>
  <c r="B35" i="29"/>
  <c r="D17" i="3" l="1"/>
  <c r="E14" i="42" s="1"/>
  <c r="I14" i="42" s="1"/>
  <c r="K14" i="42" s="1"/>
  <c r="D19" i="2"/>
  <c r="C28" i="9" s="1"/>
  <c r="D5" i="3"/>
  <c r="E2" i="42" s="1"/>
  <c r="I2" i="42" s="1"/>
  <c r="K2" i="42" s="1"/>
  <c r="E97" i="42"/>
  <c r="I97" i="42" s="1"/>
  <c r="K97" i="42" s="1"/>
  <c r="D5" i="5"/>
  <c r="C16" i="9"/>
  <c r="D6" i="3" l="1"/>
  <c r="E3" i="42" s="1"/>
  <c r="I3" i="42" s="1"/>
  <c r="K3" i="42" s="1"/>
  <c r="E98" i="42"/>
  <c r="I98" i="42" s="1"/>
  <c r="K98" i="42" s="1"/>
  <c r="D19" i="5"/>
  <c r="D8" i="2"/>
  <c r="G8" i="2" s="1"/>
  <c r="F17" i="9" s="1"/>
  <c r="D20" i="3" l="1"/>
  <c r="E17" i="42" s="1"/>
  <c r="I17" i="42" s="1"/>
  <c r="K17" i="42" s="1"/>
  <c r="E112" i="42"/>
  <c r="I112" i="42" s="1"/>
  <c r="K112" i="42" s="1"/>
  <c r="D22" i="2"/>
  <c r="C31" i="9" s="1"/>
  <c r="D23" i="5"/>
  <c r="C17" i="9"/>
  <c r="J34" i="27" l="1"/>
  <c r="B385" i="1" s="1"/>
  <c r="B397" i="1" s="1"/>
  <c r="B398" i="1" s="1"/>
  <c r="E116" i="42"/>
  <c r="I116" i="42" s="1"/>
  <c r="K116" i="42" s="1"/>
  <c r="D26" i="2"/>
  <c r="C35" i="9" s="1"/>
  <c r="J36" i="27"/>
  <c r="J38" i="27" s="1"/>
  <c r="J49" i="27" s="1"/>
  <c r="D24" i="3"/>
  <c r="E21" i="42" s="1"/>
  <c r="I21" i="42" s="1"/>
  <c r="K21" i="42" s="1"/>
  <c r="D25" i="5"/>
  <c r="B386" i="1"/>
  <c r="D44" i="5" l="1"/>
  <c r="D49" i="2" s="1"/>
  <c r="C58" i="9" s="1"/>
  <c r="E118" i="42"/>
  <c r="I118" i="42" s="1"/>
  <c r="K118" i="42" s="1"/>
  <c r="D26" i="3"/>
  <c r="E23" i="42" s="1"/>
  <c r="I23" i="42" s="1"/>
  <c r="K23" i="42" s="1"/>
  <c r="D28" i="2"/>
  <c r="C37" i="9" s="1"/>
  <c r="J47" i="27"/>
  <c r="J68" i="27"/>
  <c r="J69" i="27" s="1"/>
  <c r="J65" i="27"/>
  <c r="D43" i="5"/>
  <c r="D47" i="3"/>
  <c r="E43" i="42" s="1"/>
  <c r="I43" i="42" s="1"/>
  <c r="K43" i="42" s="1"/>
  <c r="D48" i="2" l="1"/>
  <c r="C57" i="9" s="1"/>
  <c r="D46" i="3"/>
  <c r="E42" i="42" s="1"/>
  <c r="I42" i="42" s="1"/>
  <c r="K42" i="42" s="1"/>
  <c r="J19" i="6"/>
  <c r="J23" i="6" s="1"/>
  <c r="J25" i="6" s="1"/>
  <c r="F7" i="2"/>
  <c r="F5" i="3" s="1"/>
  <c r="E16" i="9" l="1"/>
  <c r="F22" i="2"/>
  <c r="G7" i="2"/>
  <c r="F16" i="9" s="1"/>
  <c r="F26" i="2"/>
  <c r="F20" i="3" l="1"/>
  <c r="E31" i="9"/>
  <c r="F24" i="3"/>
  <c r="E35" i="9"/>
  <c r="J44" i="6"/>
  <c r="F28" i="2"/>
  <c r="J43" i="6" l="1"/>
  <c r="F48" i="2" s="1"/>
  <c r="E81" i="33" s="1"/>
  <c r="F49" i="2"/>
  <c r="F26" i="3"/>
  <c r="E37" i="9"/>
  <c r="E58" i="9" l="1"/>
  <c r="F47" i="3"/>
  <c r="E57" i="9"/>
  <c r="F46" i="3"/>
  <c r="E82" i="33" s="1"/>
</calcChain>
</file>

<file path=xl/comments1.xml><?xml version="1.0" encoding="utf-8"?>
<comments xmlns="http://schemas.openxmlformats.org/spreadsheetml/2006/main">
  <authors>
    <author>Department of Management</author>
  </authors>
  <commentList>
    <comment ref="K3" authorId="0">
      <text>
        <r>
          <rPr>
            <b/>
            <sz val="14"/>
            <color indexed="81"/>
            <rFont val="Tahoma"/>
            <family val="2"/>
          </rPr>
          <t>First Select your School District</t>
        </r>
      </text>
    </comment>
    <comment ref="K9" authorId="0">
      <text>
        <r>
          <rPr>
            <b/>
            <sz val="9"/>
            <color indexed="81"/>
            <rFont val="Tahoma"/>
            <family val="2"/>
          </rPr>
          <t>These cells are preformatted. Please enter entire number without using spaces or additional characters.  Example: 
            5152818485
Do Not Include a "1" in front of your area code.</t>
        </r>
      </text>
    </comment>
  </commentList>
</comments>
</file>

<file path=xl/comments2.xml><?xml version="1.0" encoding="utf-8"?>
<comments xmlns="http://schemas.openxmlformats.org/spreadsheetml/2006/main">
  <authors>
    <author>Loakley</author>
    <author>vlogan</author>
  </authors>
  <commentList>
    <comment ref="D291" authorId="0">
      <text>
        <r>
          <rPr>
            <sz val="8"/>
            <color indexed="81"/>
            <rFont val="Tahoma"/>
            <family val="2"/>
          </rPr>
          <t xml:space="preserve">Check DOM website for current Income Tax Collections. If not available, estimate using line 10.16 from last year's Aid and Levy Worksheet 
</t>
        </r>
      </text>
    </comment>
    <comment ref="D351" authorId="1">
      <text>
        <r>
          <rPr>
            <b/>
            <sz val="8"/>
            <color indexed="81"/>
            <rFont val="Tahoma"/>
            <family val="2"/>
          </rPr>
          <t xml:space="preserve">Cash reserve levy
for SBRC
approved Modified Allowable Growth such
as Open Enrollment Out and special
education deficit.
</t>
        </r>
      </text>
    </comment>
    <comment ref="D352" authorId="1">
      <text>
        <r>
          <rPr>
            <b/>
            <sz val="8"/>
            <color indexed="81"/>
            <rFont val="Tahoma"/>
            <family val="2"/>
          </rPr>
          <t>Cash reserve levy
for cash flow purposes.</t>
        </r>
        <r>
          <rPr>
            <sz val="8"/>
            <color indexed="81"/>
            <rFont val="Tahoma"/>
            <family val="2"/>
          </rPr>
          <t xml:space="preserve">
</t>
        </r>
      </text>
    </comment>
  </commentList>
</comments>
</file>

<file path=xl/comments3.xml><?xml version="1.0" encoding="utf-8"?>
<comments xmlns="http://schemas.openxmlformats.org/spreadsheetml/2006/main">
  <authors>
    <author>Parker, John [LEGIS]</author>
    <author>Parker, John [IDOM]</author>
  </authors>
  <commentList>
    <comment ref="B21" authorId="0">
      <text>
        <r>
          <rPr>
            <b/>
            <sz val="9"/>
            <color indexed="81"/>
            <rFont val="Tahoma"/>
            <family val="2"/>
          </rPr>
          <t>Parker, John [LEGIS]:</t>
        </r>
        <r>
          <rPr>
            <sz val="9"/>
            <color indexed="81"/>
            <rFont val="Tahoma"/>
            <family val="2"/>
          </rPr>
          <t xml:space="preserve">
This has been changed.  When performing the calculation the CPP was less so had to adjust so it made sense</t>
        </r>
      </text>
    </comment>
    <comment ref="AL47" authorId="1">
      <text>
        <r>
          <rPr>
            <b/>
            <sz val="9"/>
            <color indexed="81"/>
            <rFont val="Tahoma"/>
            <family val="2"/>
          </rPr>
          <t>Change to 750 if PTRP continues</t>
        </r>
      </text>
    </comment>
  </commentList>
</comments>
</file>

<file path=xl/sharedStrings.xml><?xml version="1.0" encoding="utf-8"?>
<sst xmlns="http://schemas.openxmlformats.org/spreadsheetml/2006/main" count="9627" uniqueCount="2101">
  <si>
    <t xml:space="preserve">District Cost for Supplementary Weighting    </t>
  </si>
  <si>
    <t>Special Education Instruction District Cost</t>
  </si>
  <si>
    <t>AEA Special Ed Support Cost Per Pupil</t>
  </si>
  <si>
    <t>4.17</t>
  </si>
  <si>
    <t>Formula</t>
  </si>
  <si>
    <t>Board</t>
  </si>
  <si>
    <t>Board/SBRC</t>
  </si>
  <si>
    <t>Board/Vote</t>
  </si>
  <si>
    <t xml:space="preserve">Row 20 </t>
  </si>
  <si>
    <t>Total Revenues &amp; Other Sources</t>
  </si>
  <si>
    <t>Row 1</t>
  </si>
  <si>
    <t xml:space="preserve">Row 2 </t>
  </si>
  <si>
    <t>Row 3</t>
  </si>
  <si>
    <t>Row 10</t>
  </si>
  <si>
    <t>Row 11</t>
  </si>
  <si>
    <t>Unspent Authorized Budget (UAB)</t>
  </si>
  <si>
    <t>4.18</t>
  </si>
  <si>
    <t>4.19</t>
  </si>
  <si>
    <t>4.20</t>
  </si>
  <si>
    <t>4.21</t>
  </si>
  <si>
    <t>4.22</t>
  </si>
  <si>
    <t>AEA Special Ed Support Adjustment (If negative, enter zero)</t>
  </si>
  <si>
    <t>4.23</t>
  </si>
  <si>
    <t>4.24</t>
  </si>
  <si>
    <t>Resident Accredited Nonpublic Students</t>
  </si>
  <si>
    <t>4.25</t>
  </si>
  <si>
    <t>Shared-Time Nonpublic Pupils Counted in Line 1.1</t>
  </si>
  <si>
    <t>4.26</t>
  </si>
  <si>
    <t xml:space="preserve">Total Enrollment Served - AEA Media and Ed Services   </t>
  </si>
  <si>
    <t>4.27</t>
  </si>
  <si>
    <t>4.28</t>
  </si>
  <si>
    <t xml:space="preserve">AEA Media Services District Cost   </t>
  </si>
  <si>
    <t>4.29</t>
  </si>
  <si>
    <t>4.30</t>
  </si>
  <si>
    <t>4.31</t>
  </si>
  <si>
    <t xml:space="preserve">AEA Ed Services District Cost   </t>
  </si>
  <si>
    <t>COMBINED DISTRICT COST SUMMARY</t>
  </si>
  <si>
    <t>5.1</t>
  </si>
  <si>
    <t>5.2</t>
  </si>
  <si>
    <t>5.3</t>
  </si>
  <si>
    <t>5.4</t>
  </si>
  <si>
    <t>5.5</t>
  </si>
  <si>
    <t>5.6</t>
  </si>
  <si>
    <t>5.7</t>
  </si>
  <si>
    <t>5.8</t>
  </si>
  <si>
    <t>5.9</t>
  </si>
  <si>
    <t>This Line is Intentionally Blank</t>
  </si>
  <si>
    <t>5.10</t>
  </si>
  <si>
    <t>5.11</t>
  </si>
  <si>
    <t>5.12</t>
  </si>
  <si>
    <t>5.13</t>
  </si>
  <si>
    <t>Enrollment Audit Adjustment (Line 1.4)</t>
  </si>
  <si>
    <t>Emg Levy (26) / Disaster R (28)</t>
  </si>
  <si>
    <t>5.14</t>
  </si>
  <si>
    <t>Combined District Cost</t>
  </si>
  <si>
    <t>UNIFORM LEVY DOLLARS</t>
  </si>
  <si>
    <t>6.1</t>
  </si>
  <si>
    <t>6.2</t>
  </si>
  <si>
    <t>Uniform Levy Rate</t>
  </si>
  <si>
    <t>6.3</t>
  </si>
  <si>
    <t>6.4</t>
  </si>
  <si>
    <t>6.5</t>
  </si>
  <si>
    <t>6.6</t>
  </si>
  <si>
    <t>6.7</t>
  </si>
  <si>
    <t>6.8</t>
  </si>
  <si>
    <t>Uniform Levy Utility Replacement Adjustment</t>
  </si>
  <si>
    <t>STATE FOUNDATION AID</t>
  </si>
  <si>
    <t>7.1</t>
  </si>
  <si>
    <t>State Regular Program Foundation Cost Per Pupil</t>
  </si>
  <si>
    <t>7.2</t>
  </si>
  <si>
    <t>7.3</t>
  </si>
  <si>
    <t xml:space="preserve">District Foundation Dollars without Special Ed   </t>
  </si>
  <si>
    <t>7.4</t>
  </si>
  <si>
    <t>AEA Professional Development Suppl Budget Adjustment (if negative, enter zero)</t>
  </si>
  <si>
    <t>PROPERTY TAX EQUITY AND RELIEF (PTER) FUNDING</t>
  </si>
  <si>
    <t>0018</t>
  </si>
  <si>
    <t>0027</t>
  </si>
  <si>
    <t>0009</t>
  </si>
  <si>
    <t>0441</t>
  </si>
  <si>
    <t>0063</t>
  </si>
  <si>
    <t>0072</t>
  </si>
  <si>
    <t>0081</t>
  </si>
  <si>
    <t>0099</t>
  </si>
  <si>
    <t>0108</t>
  </si>
  <si>
    <t>0126</t>
  </si>
  <si>
    <t>0135</t>
  </si>
  <si>
    <t>0153</t>
  </si>
  <si>
    <t>0171</t>
  </si>
  <si>
    <t>0225</t>
  </si>
  <si>
    <t>0234</t>
  </si>
  <si>
    <t>0243</t>
  </si>
  <si>
    <t>0261</t>
  </si>
  <si>
    <t>0279</t>
  </si>
  <si>
    <t>0333</t>
  </si>
  <si>
    <t>0355</t>
  </si>
  <si>
    <t>0387</t>
  </si>
  <si>
    <t>0414</t>
  </si>
  <si>
    <t>0423</t>
  </si>
  <si>
    <t>0472</t>
  </si>
  <si>
    <t>0504</t>
  </si>
  <si>
    <t>0513</t>
  </si>
  <si>
    <t>0540</t>
  </si>
  <si>
    <t>0549</t>
  </si>
  <si>
    <t>0576</t>
  </si>
  <si>
    <t>0585</t>
  </si>
  <si>
    <t>0594</t>
  </si>
  <si>
    <t>0603</t>
  </si>
  <si>
    <t>0609</t>
  </si>
  <si>
    <t>0621</t>
  </si>
  <si>
    <t>0720</t>
  </si>
  <si>
    <t>0729</t>
  </si>
  <si>
    <t>0747</t>
  </si>
  <si>
    <t>0657</t>
  </si>
  <si>
    <t>0819</t>
  </si>
  <si>
    <t>0846</t>
  </si>
  <si>
    <t>0873</t>
  </si>
  <si>
    <t>0882</t>
  </si>
  <si>
    <t>0914</t>
  </si>
  <si>
    <t>0916</t>
  </si>
  <si>
    <t>0918</t>
  </si>
  <si>
    <t>0936</t>
  </si>
  <si>
    <t>0977</t>
  </si>
  <si>
    <t>0981</t>
  </si>
  <si>
    <t>0999</t>
  </si>
  <si>
    <t>1044</t>
  </si>
  <si>
    <t>1053</t>
  </si>
  <si>
    <t>1062</t>
  </si>
  <si>
    <t>1071</t>
  </si>
  <si>
    <t>1079</t>
  </si>
  <si>
    <t>1080</t>
  </si>
  <si>
    <t>1082</t>
  </si>
  <si>
    <t>1089</t>
  </si>
  <si>
    <t>1093</t>
  </si>
  <si>
    <t>1095</t>
  </si>
  <si>
    <t>1107</t>
  </si>
  <si>
    <t>1116</t>
  </si>
  <si>
    <t>1134</t>
  </si>
  <si>
    <t>1152</t>
  </si>
  <si>
    <t>1197</t>
  </si>
  <si>
    <t>1206</t>
  </si>
  <si>
    <t>1211</t>
  </si>
  <si>
    <t>1215</t>
  </si>
  <si>
    <t>1218</t>
  </si>
  <si>
    <t>1221</t>
  </si>
  <si>
    <t>1233</t>
  </si>
  <si>
    <t>1278</t>
  </si>
  <si>
    <t>1332</t>
  </si>
  <si>
    <t>1337</t>
  </si>
  <si>
    <t>1350</t>
  </si>
  <si>
    <t>1359</t>
  </si>
  <si>
    <t>1368</t>
  </si>
  <si>
    <t>1413</t>
  </si>
  <si>
    <t>1431</t>
  </si>
  <si>
    <t>1476</t>
  </si>
  <si>
    <t>1503</t>
  </si>
  <si>
    <t>1576</t>
  </si>
  <si>
    <t>1602</t>
  </si>
  <si>
    <t>1611</t>
  </si>
  <si>
    <t>1619</t>
  </si>
  <si>
    <t>1638</t>
  </si>
  <si>
    <t>1675</t>
  </si>
  <si>
    <t>1701</t>
  </si>
  <si>
    <t>1719</t>
  </si>
  <si>
    <t>1737</t>
  </si>
  <si>
    <t>1782</t>
  </si>
  <si>
    <t>1791</t>
  </si>
  <si>
    <t>1863</t>
  </si>
  <si>
    <t>1908</t>
  </si>
  <si>
    <t>1917</t>
  </si>
  <si>
    <t>1926</t>
  </si>
  <si>
    <t>1935</t>
  </si>
  <si>
    <t>1944</t>
  </si>
  <si>
    <t>1953</t>
  </si>
  <si>
    <t>1963</t>
  </si>
  <si>
    <t>1965</t>
  </si>
  <si>
    <t>1970</t>
  </si>
  <si>
    <t>1972</t>
  </si>
  <si>
    <t>1975</t>
  </si>
  <si>
    <t>1989</t>
  </si>
  <si>
    <t>2007</t>
  </si>
  <si>
    <t>2088</t>
  </si>
  <si>
    <t>2097</t>
  </si>
  <si>
    <t>2113</t>
  </si>
  <si>
    <t>2124</t>
  </si>
  <si>
    <t>2151</t>
  </si>
  <si>
    <t>2169</t>
  </si>
  <si>
    <t>2205</t>
  </si>
  <si>
    <t>2295</t>
  </si>
  <si>
    <t>2313</t>
  </si>
  <si>
    <t>2322</t>
  </si>
  <si>
    <t>2369</t>
  </si>
  <si>
    <t>2376</t>
  </si>
  <si>
    <t>2403</t>
  </si>
  <si>
    <t>2457</t>
  </si>
  <si>
    <t>2466</t>
  </si>
  <si>
    <t>2493</t>
  </si>
  <si>
    <t>2502</t>
  </si>
  <si>
    <t>2511</t>
  </si>
  <si>
    <t>2520</t>
  </si>
  <si>
    <t>2556</t>
  </si>
  <si>
    <t>2673</t>
  </si>
  <si>
    <t>2682</t>
  </si>
  <si>
    <t>2709</t>
  </si>
  <si>
    <t>2718</t>
  </si>
  <si>
    <t>2727</t>
  </si>
  <si>
    <t>2754</t>
  </si>
  <si>
    <t>2763</t>
  </si>
  <si>
    <t>2766</t>
  </si>
  <si>
    <t>2772</t>
  </si>
  <si>
    <t>2781</t>
  </si>
  <si>
    <t>2826</t>
  </si>
  <si>
    <t>2834</t>
  </si>
  <si>
    <t>2846</t>
  </si>
  <si>
    <t>2862</t>
  </si>
  <si>
    <t>2977</t>
  </si>
  <si>
    <t>2988</t>
  </si>
  <si>
    <t>3029</t>
  </si>
  <si>
    <t>3033</t>
  </si>
  <si>
    <t>3042</t>
  </si>
  <si>
    <t>3060</t>
  </si>
  <si>
    <t>3105</t>
  </si>
  <si>
    <t>3114</t>
  </si>
  <si>
    <t>3119</t>
  </si>
  <si>
    <t>3141</t>
  </si>
  <si>
    <t>3150</t>
  </si>
  <si>
    <t>3154</t>
  </si>
  <si>
    <t>3186</t>
  </si>
  <si>
    <t>3195</t>
  </si>
  <si>
    <t>3204</t>
  </si>
  <si>
    <t>3231</t>
  </si>
  <si>
    <t>3312</t>
  </si>
  <si>
    <t>3330</t>
  </si>
  <si>
    <t>3348</t>
  </si>
  <si>
    <t>3375</t>
  </si>
  <si>
    <t>3420</t>
  </si>
  <si>
    <t>3465</t>
  </si>
  <si>
    <t>3537</t>
  </si>
  <si>
    <t>3555</t>
  </si>
  <si>
    <t>3582</t>
  </si>
  <si>
    <t>3600</t>
  </si>
  <si>
    <t>3609</t>
  </si>
  <si>
    <t>3645</t>
  </si>
  <si>
    <t>3691</t>
  </si>
  <si>
    <t>3715</t>
  </si>
  <si>
    <t>3744</t>
  </si>
  <si>
    <t>3798</t>
  </si>
  <si>
    <t>3816</t>
  </si>
  <si>
    <t>3841</t>
  </si>
  <si>
    <t>3897</t>
  </si>
  <si>
    <t>3906</t>
  </si>
  <si>
    <t>3942</t>
  </si>
  <si>
    <t>3978</t>
  </si>
  <si>
    <t>4023</t>
  </si>
  <si>
    <t>4033</t>
  </si>
  <si>
    <t>4041</t>
  </si>
  <si>
    <t>4043</t>
  </si>
  <si>
    <t>4068</t>
  </si>
  <si>
    <t>4086</t>
  </si>
  <si>
    <t>4104</t>
  </si>
  <si>
    <t>4122</t>
  </si>
  <si>
    <t>4131</t>
  </si>
  <si>
    <t>4149</t>
  </si>
  <si>
    <t>4203</t>
  </si>
  <si>
    <t>4212</t>
  </si>
  <si>
    <t>4269</t>
  </si>
  <si>
    <t>4271</t>
  </si>
  <si>
    <t>4356</t>
  </si>
  <si>
    <t>4419</t>
  </si>
  <si>
    <t>4437</t>
  </si>
  <si>
    <t>4446</t>
  </si>
  <si>
    <t>4491</t>
  </si>
  <si>
    <t>4505</t>
  </si>
  <si>
    <t>4509</t>
  </si>
  <si>
    <t>4518</t>
  </si>
  <si>
    <t>4527</t>
  </si>
  <si>
    <t>4536</t>
  </si>
  <si>
    <t>4554</t>
  </si>
  <si>
    <t>4572</t>
  </si>
  <si>
    <t>4581</t>
  </si>
  <si>
    <t>4599</t>
  </si>
  <si>
    <t>4617</t>
  </si>
  <si>
    <t>4644</t>
  </si>
  <si>
    <t>4662</t>
  </si>
  <si>
    <t>4689</t>
  </si>
  <si>
    <t>4725</t>
  </si>
  <si>
    <t>4772</t>
  </si>
  <si>
    <t>4773</t>
  </si>
  <si>
    <t>4774</t>
  </si>
  <si>
    <t>4775</t>
  </si>
  <si>
    <t>4776</t>
  </si>
  <si>
    <t>4777</t>
  </si>
  <si>
    <t>4778</t>
  </si>
  <si>
    <t>4779</t>
  </si>
  <si>
    <t>4784</t>
  </si>
  <si>
    <t>4785</t>
  </si>
  <si>
    <t>4787</t>
  </si>
  <si>
    <t>4788</t>
  </si>
  <si>
    <t>4797</t>
  </si>
  <si>
    <t>4824</t>
  </si>
  <si>
    <t>4860</t>
  </si>
  <si>
    <t>4869</t>
  </si>
  <si>
    <t>4878</t>
  </si>
  <si>
    <t>4890</t>
  </si>
  <si>
    <t>4905</t>
  </si>
  <si>
    <t>4978</t>
  </si>
  <si>
    <t>4995</t>
  </si>
  <si>
    <t>5013</t>
  </si>
  <si>
    <t>5049</t>
  </si>
  <si>
    <t>5121</t>
  </si>
  <si>
    <t>5139</t>
  </si>
  <si>
    <t>5157</t>
  </si>
  <si>
    <t>5163</t>
  </si>
  <si>
    <t>5166</t>
  </si>
  <si>
    <t>5184</t>
  </si>
  <si>
    <t>5250</t>
  </si>
  <si>
    <t>5256</t>
  </si>
  <si>
    <t>5283</t>
  </si>
  <si>
    <t>5310</t>
  </si>
  <si>
    <t>5319</t>
  </si>
  <si>
    <t>5323</t>
  </si>
  <si>
    <t>5463</t>
  </si>
  <si>
    <t>5486</t>
  </si>
  <si>
    <t>5508</t>
  </si>
  <si>
    <t>5607</t>
  </si>
  <si>
    <t>5643</t>
  </si>
  <si>
    <t>5697</t>
  </si>
  <si>
    <t>5724</t>
  </si>
  <si>
    <t>5751</t>
  </si>
  <si>
    <t>5805</t>
  </si>
  <si>
    <t>5823</t>
  </si>
  <si>
    <t>5832</t>
  </si>
  <si>
    <t>5877</t>
  </si>
  <si>
    <t>5895</t>
  </si>
  <si>
    <t>5922</t>
  </si>
  <si>
    <t>5949</t>
  </si>
  <si>
    <t>5976</t>
  </si>
  <si>
    <t>5994</t>
  </si>
  <si>
    <t>6003</t>
  </si>
  <si>
    <t>6012</t>
  </si>
  <si>
    <t>6030</t>
  </si>
  <si>
    <t>6039</t>
  </si>
  <si>
    <t>6048</t>
  </si>
  <si>
    <t>6093</t>
  </si>
  <si>
    <t>6094</t>
  </si>
  <si>
    <t>6095</t>
  </si>
  <si>
    <t>6097</t>
  </si>
  <si>
    <t>6098</t>
  </si>
  <si>
    <t>6100</t>
  </si>
  <si>
    <t>6101</t>
  </si>
  <si>
    <t>6102</t>
  </si>
  <si>
    <t>6120</t>
  </si>
  <si>
    <t>6138</t>
  </si>
  <si>
    <t>6165</t>
  </si>
  <si>
    <t>6175</t>
  </si>
  <si>
    <t>6219</t>
  </si>
  <si>
    <t>6246</t>
  </si>
  <si>
    <t>6264</t>
  </si>
  <si>
    <t>6273</t>
  </si>
  <si>
    <t>6408</t>
  </si>
  <si>
    <t>6453</t>
  </si>
  <si>
    <t>6460</t>
  </si>
  <si>
    <t>6462</t>
  </si>
  <si>
    <t>6471</t>
  </si>
  <si>
    <t>6509</t>
  </si>
  <si>
    <t>6512</t>
  </si>
  <si>
    <t>6516</t>
  </si>
  <si>
    <t>6534</t>
  </si>
  <si>
    <t>6561</t>
  </si>
  <si>
    <t>6579</t>
  </si>
  <si>
    <t>6591</t>
  </si>
  <si>
    <t>6592</t>
  </si>
  <si>
    <t>6615</t>
  </si>
  <si>
    <t>6651</t>
  </si>
  <si>
    <t>6660</t>
  </si>
  <si>
    <t>6700</t>
  </si>
  <si>
    <t>6741</t>
  </si>
  <si>
    <t>6759</t>
  </si>
  <si>
    <t>6762</t>
  </si>
  <si>
    <t>6768</t>
  </si>
  <si>
    <t>6795</t>
  </si>
  <si>
    <t>6822</t>
  </si>
  <si>
    <t>6840</t>
  </si>
  <si>
    <t>6854</t>
  </si>
  <si>
    <t>6867</t>
  </si>
  <si>
    <t>6921</t>
  </si>
  <si>
    <t>6930</t>
  </si>
  <si>
    <t>6937</t>
  </si>
  <si>
    <t>6943</t>
  </si>
  <si>
    <t>6950</t>
  </si>
  <si>
    <t>6957</t>
  </si>
  <si>
    <t>6961</t>
  </si>
  <si>
    <t>6969</t>
  </si>
  <si>
    <t>6975</t>
  </si>
  <si>
    <t>6983</t>
  </si>
  <si>
    <t>6985</t>
  </si>
  <si>
    <t>6987</t>
  </si>
  <si>
    <t>6990</t>
  </si>
  <si>
    <t>6992</t>
  </si>
  <si>
    <t>7002</t>
  </si>
  <si>
    <t>7029</t>
  </si>
  <si>
    <t>7038</t>
  </si>
  <si>
    <t>7047</t>
  </si>
  <si>
    <t>7056</t>
  </si>
  <si>
    <t>7092</t>
  </si>
  <si>
    <t>7098</t>
  </si>
  <si>
    <t>7110</t>
  </si>
  <si>
    <t>State Special Ed Program Foundation Cost Per Pupil</t>
  </si>
  <si>
    <t>7.5</t>
  </si>
  <si>
    <t>7.6</t>
  </si>
  <si>
    <t xml:space="preserve">District Special Ed Foundation Dollars  </t>
  </si>
  <si>
    <t>7.7</t>
  </si>
  <si>
    <t>State AEA Special Ed Support Foundation Cost Per Pupil</t>
  </si>
  <si>
    <t>7.8</t>
  </si>
  <si>
    <t>7.9</t>
  </si>
  <si>
    <t>7.10</t>
  </si>
  <si>
    <t xml:space="preserve">District Foundation Dollars without Special Ed (Line 7.3)  </t>
  </si>
  <si>
    <t>7.11</t>
  </si>
  <si>
    <t xml:space="preserve">District Special Ed Foundation Dollars (Line 7.6)  </t>
  </si>
  <si>
    <t>7.12</t>
  </si>
  <si>
    <t>Row 13</t>
  </si>
  <si>
    <t>Enrollment Audit Adjustment - State Aid Portion (Line 1.7)</t>
  </si>
  <si>
    <t>7.13</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</si>
  <si>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</si>
  <si>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</si>
  <si>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</si>
  <si>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</si>
  <si>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</si>
  <si>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</si>
  <si>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</si>
  <si>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</si>
  <si>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</si>
  <si>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</si>
  <si>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</si>
  <si>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</si>
  <si>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</si>
  <si>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</si>
  <si>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</si>
  <si>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</si>
  <si>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</si>
  <si>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</si>
  <si>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</si>
  <si>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</si>
  <si>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</si>
  <si>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</si>
  <si>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</si>
  <si>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</si>
  <si>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</si>
  <si>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</si>
  <si>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</si>
  <si>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</si>
  <si>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</si>
  <si>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</si>
  <si>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</si>
  <si>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</si>
  <si>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 xml:space="preserve">Total Foundation Dollars   </t>
  </si>
  <si>
    <t>7.14</t>
  </si>
  <si>
    <t>7.15</t>
  </si>
  <si>
    <t xml:space="preserve">Unadjusted State Foundation Aid  </t>
  </si>
  <si>
    <t>7.16</t>
  </si>
  <si>
    <t>7.17</t>
  </si>
  <si>
    <t>$300 Minimum Aid Per Pupil</t>
  </si>
  <si>
    <t>7.18</t>
  </si>
  <si>
    <t>Minimum Aid</t>
  </si>
  <si>
    <t>7.19</t>
  </si>
  <si>
    <t>7.20</t>
  </si>
  <si>
    <t>Minimum Aid Adjustment (If Negative, Enter Zero)</t>
  </si>
  <si>
    <t>8.1</t>
  </si>
  <si>
    <t>8.2</t>
  </si>
  <si>
    <t>expenditures, both past and anticipated, will be available at the hearing.</t>
  </si>
  <si>
    <t>8.3</t>
  </si>
  <si>
    <t>8.4</t>
  </si>
  <si>
    <t xml:space="preserve">Additional Dollar Levy   </t>
  </si>
  <si>
    <t>8.5</t>
  </si>
  <si>
    <t>8.6</t>
  </si>
  <si>
    <t>8.7</t>
  </si>
  <si>
    <t>Dollar Increase in Taxable Valuation (If negative, enter zero)</t>
  </si>
  <si>
    <t>/</t>
  </si>
  <si>
    <t>8.8</t>
  </si>
  <si>
    <t>8.9</t>
  </si>
  <si>
    <t>Increase in Taxable Valuation (to 4 Decimals)</t>
  </si>
  <si>
    <t>8.10</t>
  </si>
  <si>
    <t>8.11</t>
  </si>
  <si>
    <t>Reduction in Property Tax Adjustment Aid</t>
  </si>
  <si>
    <t>8.12</t>
  </si>
  <si>
    <t>4.32</t>
  </si>
  <si>
    <t>4.33</t>
  </si>
  <si>
    <t>4.34</t>
  </si>
  <si>
    <t>4.35</t>
  </si>
  <si>
    <t>4.36</t>
  </si>
  <si>
    <t>4.37</t>
  </si>
  <si>
    <t>4.38</t>
  </si>
  <si>
    <t>4.39</t>
  </si>
  <si>
    <t>101% Budget Adjustment</t>
  </si>
  <si>
    <t>21.7</t>
  </si>
  <si>
    <t>Reorganization Equalization Levy</t>
  </si>
  <si>
    <t xml:space="preserve">    Reorganization Equalization Levy </t>
  </si>
  <si>
    <t>8.13</t>
  </si>
  <si>
    <t>Reduction in Property Tax Adjustment Aid (Line 8.11)</t>
  </si>
  <si>
    <t>8.14</t>
  </si>
  <si>
    <t>8.15</t>
  </si>
  <si>
    <t xml:space="preserve">Additional Dollar Levy (Line 8.4)  </t>
  </si>
  <si>
    <t>8.16</t>
  </si>
  <si>
    <t>8.17</t>
  </si>
  <si>
    <t>8.18</t>
  </si>
  <si>
    <t>8.19</t>
  </si>
  <si>
    <t>8.20</t>
  </si>
  <si>
    <t>8.21</t>
  </si>
  <si>
    <t>FINAL STATE FOUNDATION AID</t>
  </si>
  <si>
    <t>9.1</t>
  </si>
  <si>
    <t>9.2</t>
  </si>
  <si>
    <t>9.3</t>
  </si>
  <si>
    <t>9.4</t>
  </si>
  <si>
    <t>9.5</t>
  </si>
  <si>
    <t>9.6</t>
  </si>
  <si>
    <t>9.7</t>
  </si>
  <si>
    <t>9.8</t>
  </si>
  <si>
    <t>State Foundation Aid</t>
  </si>
  <si>
    <t>INSTRUCTIONAL SUPPORT PROGRAM</t>
  </si>
  <si>
    <t>10.1</t>
  </si>
  <si>
    <t>10.2</t>
  </si>
  <si>
    <t>10.3</t>
  </si>
  <si>
    <t xml:space="preserve">Total Regular Program District Cost    </t>
  </si>
  <si>
    <t>10.4</t>
  </si>
  <si>
    <t>Maximum Portion (Can't exceed .1000)</t>
  </si>
  <si>
    <t>10.5</t>
  </si>
  <si>
    <t xml:space="preserve">Unadjusted Instructional Support Program Dollars   </t>
  </si>
  <si>
    <t>10.6</t>
  </si>
  <si>
    <t>10.7</t>
  </si>
  <si>
    <t>10.8</t>
  </si>
  <si>
    <t xml:space="preserve">District Taxable Valuation Per Pupil   </t>
  </si>
  <si>
    <t>10.9</t>
  </si>
  <si>
    <t>State Taxable Valuation Per Pupil</t>
  </si>
  <si>
    <t>10.10</t>
  </si>
  <si>
    <t xml:space="preserve">District Taxable Valuation Per Pupil (Line 10.8)   </t>
  </si>
  <si>
    <t>____Adopted property taxes meet the debt service and loan agreement needs identified on Form 703.  Debt service levy for GO bond payments only.</t>
  </si>
  <si>
    <t>10.11</t>
  </si>
  <si>
    <t>.25</t>
  </si>
  <si>
    <t>10.12</t>
  </si>
  <si>
    <t>State Aid Portion of Program Dollars (Round to 4 Decimals)</t>
  </si>
  <si>
    <t>10.13</t>
  </si>
  <si>
    <t xml:space="preserve">Unadjusted Instructional Support Program Dollars (Line 10.5)   </t>
  </si>
  <si>
    <t>10.14</t>
  </si>
  <si>
    <t xml:space="preserve">Unadjusted Instructional Support State Aid   </t>
  </si>
  <si>
    <t>10.15</t>
  </si>
  <si>
    <t>Instructional Support Income Surtax Rate</t>
  </si>
  <si>
    <t>10.16</t>
  </si>
  <si>
    <t>10.17</t>
  </si>
  <si>
    <t xml:space="preserve">Instructional Support Income Surtax Dollars   </t>
  </si>
  <si>
    <t>10.18</t>
  </si>
  <si>
    <t>10.19</t>
  </si>
  <si>
    <t xml:space="preserve"> Form S-A Publication</t>
  </si>
  <si>
    <t xml:space="preserve"> Form S-A Adopted</t>
  </si>
  <si>
    <t xml:space="preserve">Unadjusted Instructional Support State Aid (Line 10.14)   </t>
  </si>
  <si>
    <t>10.20</t>
  </si>
  <si>
    <t xml:space="preserve">Instructional Support Income Surtax Dollars (Line 10.17)   </t>
  </si>
  <si>
    <t>10.21</t>
  </si>
  <si>
    <t xml:space="preserve">Instructional Support Property &amp; Utility Replacement Tax Dollars   </t>
  </si>
  <si>
    <t>10.22</t>
  </si>
  <si>
    <t>10.23</t>
  </si>
  <si>
    <t>10.24</t>
  </si>
  <si>
    <t>Adjusted Instructional Support State Aid</t>
  </si>
  <si>
    <t>10.25</t>
  </si>
  <si>
    <t>10.26</t>
  </si>
  <si>
    <t xml:space="preserve">Instructional Support Property &amp; Utility Replacement Tax Dollars (Line 10.21)   </t>
  </si>
  <si>
    <t>10.27</t>
  </si>
  <si>
    <t>Adjusted Instructional Support Program Dollars</t>
  </si>
  <si>
    <t>Property Tax Portion of State Cost Per Pupil</t>
  </si>
  <si>
    <t>Adjusted Additional Property Tax Dollar Levy</t>
  </si>
  <si>
    <t>Adjusted Additional Property Tax Levy Rate</t>
  </si>
  <si>
    <t>Taxes Levied on Property (1110-1119)</t>
  </si>
  <si>
    <t>Utility Replacement Excise Tax (1170-1179)</t>
  </si>
  <si>
    <t>Income Surtaxes (1130-1139)</t>
  </si>
  <si>
    <t>Instructional Support State Aid (3112)</t>
  </si>
  <si>
    <t xml:space="preserve">Statewide Maximum Adjusted Additional Property Tax Levy Rate </t>
  </si>
  <si>
    <t>8.22</t>
  </si>
  <si>
    <t>Adjusted Additional Property Tax Levy Rate Reduction (if negative, enter zero)</t>
  </si>
  <si>
    <t>8.23</t>
  </si>
  <si>
    <t>8.24</t>
  </si>
  <si>
    <t>8.25</t>
  </si>
  <si>
    <t>8.26</t>
  </si>
  <si>
    <t>8.27</t>
  </si>
  <si>
    <t>8.28</t>
  </si>
  <si>
    <t>8.29</t>
  </si>
  <si>
    <t>8.31</t>
  </si>
  <si>
    <t>8.30</t>
  </si>
  <si>
    <t>9.9</t>
  </si>
  <si>
    <t>EDUCATIONAL IMPROVEMENT PROGRAM</t>
  </si>
  <si>
    <t>11.1</t>
  </si>
  <si>
    <t>11.2</t>
  </si>
  <si>
    <t>Voted Maximum Portion</t>
  </si>
  <si>
    <t>11.3</t>
  </si>
  <si>
    <t xml:space="preserve">Educational Improvement Program Total Dollars   </t>
  </si>
  <si>
    <t>11.4</t>
  </si>
  <si>
    <t>Ed Improvement Income Surtax Rate</t>
  </si>
  <si>
    <t>11.5</t>
  </si>
  <si>
    <t>11.6</t>
  </si>
  <si>
    <t xml:space="preserve">Ed Improvement Income Surtax Dollars   </t>
  </si>
  <si>
    <t>11.7</t>
  </si>
  <si>
    <t>Emergency Levy (for Disaster Recovery)</t>
  </si>
  <si>
    <t xml:space="preserve">    Emergency Levy (for Disaster Recovery)</t>
  </si>
  <si>
    <t xml:space="preserve">Educational Improvement Program Total Dollars (Line 11.3)   </t>
  </si>
  <si>
    <t>11.8</t>
  </si>
  <si>
    <t xml:space="preserve">Ed Improvement Income Surtax Dollars (Line 11.6)   </t>
  </si>
  <si>
    <t>11.9</t>
  </si>
  <si>
    <t>Ed Improvement Property &amp; Utility Replacement Tax Dollars</t>
  </si>
  <si>
    <t>Increase in State Foundation Cost Per Pupil Percentage</t>
  </si>
  <si>
    <t>Increase in Foundation Cost Per Pupil</t>
  </si>
  <si>
    <t>8.32</t>
  </si>
  <si>
    <t>8.33</t>
  </si>
  <si>
    <t>8.34</t>
  </si>
  <si>
    <t>8.35</t>
  </si>
  <si>
    <t>8.36</t>
  </si>
  <si>
    <t>8.37</t>
  </si>
  <si>
    <t>13.1</t>
  </si>
  <si>
    <t>13.2</t>
  </si>
  <si>
    <t>13.3</t>
  </si>
  <si>
    <t>13.4</t>
  </si>
  <si>
    <t>13.5</t>
  </si>
  <si>
    <t>13.6</t>
  </si>
  <si>
    <t>13.7</t>
  </si>
  <si>
    <t>13.8</t>
  </si>
  <si>
    <t>Supplementary Weighting - Sharing</t>
  </si>
  <si>
    <t>13.9</t>
  </si>
  <si>
    <t>Additional Levy Utility Replacement Adjustment</t>
  </si>
  <si>
    <t>Regular Program District Cost</t>
  </si>
  <si>
    <t>Regular Program Budget Adjustment</t>
  </si>
  <si>
    <t>Supplementary Weighting District Cost</t>
  </si>
  <si>
    <t>Special Ed District Cost</t>
  </si>
  <si>
    <t>Special Ed Positive Balance Reduction</t>
  </si>
  <si>
    <t>Maximum District Cost</t>
  </si>
  <si>
    <t>GRAETTINGER-TERRIL</t>
  </si>
  <si>
    <t>Instructional Support Authority</t>
  </si>
  <si>
    <t>Ed Improvement Authority</t>
  </si>
  <si>
    <t>Other Miscellaneous Income</t>
  </si>
  <si>
    <t>Unspent Auth Budget - Previous Year</t>
  </si>
  <si>
    <t>Maximum Authorized Budget</t>
  </si>
  <si>
    <t>Expenditures</t>
  </si>
  <si>
    <t>CENTER POINT-URBANA</t>
  </si>
  <si>
    <t>COON RAPIDS-BAYARD</t>
  </si>
  <si>
    <t>UNION</t>
  </si>
  <si>
    <t>HUBBARD-RADCLIFFE</t>
  </si>
  <si>
    <t>MOC-FLOYD VALLEY</t>
  </si>
  <si>
    <t>MIDLAND</t>
  </si>
  <si>
    <t>MFL MAR MAC</t>
  </si>
  <si>
    <t>NASHUA-PLAINFIELD</t>
  </si>
  <si>
    <t>NEWELL-FONDA</t>
  </si>
  <si>
    <t>SOUTH O'BRIEN</t>
  </si>
  <si>
    <t>POCAHONTAS AREA</t>
  </si>
  <si>
    <t>PCM</t>
  </si>
  <si>
    <t>PRAIRIE VALLEY</t>
  </si>
  <si>
    <t>SCHALLER-CRESTLAND</t>
  </si>
  <si>
    <t>SIOUX CENTRAL</t>
  </si>
  <si>
    <t>VINTON-SHELLSBURG</t>
  </si>
  <si>
    <t>WEST BEND-MALLARD</t>
  </si>
  <si>
    <t xml:space="preserve">ADEL-DESOTO-MINBURN </t>
  </si>
  <si>
    <t xml:space="preserve">CLEAR CREEK-AMANA </t>
  </si>
  <si>
    <t xml:space="preserve">ENGLISH VALLEYS </t>
  </si>
  <si>
    <t xml:space="preserve">NODAWAY VALLEY </t>
  </si>
  <si>
    <t xml:space="preserve">VAN BUREN </t>
  </si>
  <si>
    <t>Unspent Authorized Budget Worksheet</t>
  </si>
  <si>
    <t>Authority</t>
  </si>
  <si>
    <t>Data Source</t>
  </si>
  <si>
    <t>AidLevy 5.16</t>
  </si>
  <si>
    <t>SBRC</t>
  </si>
  <si>
    <t>Auditor</t>
  </si>
  <si>
    <t>Calculated</t>
  </si>
  <si>
    <t>AidLevy 10.27</t>
  </si>
  <si>
    <t>AidLevy 11.3</t>
  </si>
  <si>
    <t>See Note 1</t>
  </si>
  <si>
    <t>See Note 2</t>
  </si>
  <si>
    <t xml:space="preserve">Total Utility Replacement Adjustment  </t>
  </si>
  <si>
    <t>SUMMARY OF GENERAL FUND LEVIES</t>
  </si>
  <si>
    <t>15.1</t>
  </si>
  <si>
    <t>15.2</t>
  </si>
  <si>
    <t>15.3</t>
  </si>
  <si>
    <t>Total Levy to Fund Combined District Cost</t>
  </si>
  <si>
    <t>15.4</t>
  </si>
  <si>
    <t>Instructional Support Levy  (Line 10.21)</t>
  </si>
  <si>
    <t>15.5</t>
  </si>
  <si>
    <t>Ed Improvement Levy (Line 11.9)</t>
  </si>
  <si>
    <t>15.6</t>
  </si>
  <si>
    <t>15.7</t>
  </si>
  <si>
    <t>15.8</t>
  </si>
  <si>
    <t>Levy to Fund Budget Authority</t>
  </si>
  <si>
    <t>15.9</t>
  </si>
  <si>
    <t>Cash Reserve Levy - SBRC</t>
  </si>
  <si>
    <t>15.10</t>
  </si>
  <si>
    <t>Cash Reserve Levy - Other</t>
  </si>
  <si>
    <t>15.11</t>
  </si>
  <si>
    <t>Use of Fund Balance to Reduce Levy</t>
  </si>
  <si>
    <t>15.12</t>
  </si>
  <si>
    <t>Total General Fund Levy</t>
  </si>
  <si>
    <t>STATE PAYMENTS TO AEA AND DISTRICT</t>
  </si>
  <si>
    <t>16.1</t>
  </si>
  <si>
    <t>16.2</t>
  </si>
  <si>
    <t>16.3</t>
  </si>
  <si>
    <t>16.4</t>
  </si>
  <si>
    <t>16.5</t>
  </si>
  <si>
    <t>State Payments to AEA</t>
  </si>
  <si>
    <t>16.6</t>
  </si>
  <si>
    <t xml:space="preserve"> Title 1 Grants</t>
  </si>
  <si>
    <t>16.7</t>
  </si>
  <si>
    <t>16.8</t>
  </si>
  <si>
    <t>State Payments to District</t>
  </si>
  <si>
    <t>SUMMARY OF GENERAL FUND BUDGET AUTHORITY</t>
  </si>
  <si>
    <t>17.1</t>
  </si>
  <si>
    <t>17.2</t>
  </si>
  <si>
    <t>17.3</t>
  </si>
  <si>
    <t xml:space="preserve">Allowance for Construction Project by SBRC  </t>
  </si>
  <si>
    <t>17.4</t>
  </si>
  <si>
    <t>Adjusted Instructional Support Program Dollars (Line 10.27)</t>
  </si>
  <si>
    <t>17.5</t>
  </si>
  <si>
    <t>Ed Improvement Program (Line 11.3)</t>
  </si>
  <si>
    <t>17.6</t>
  </si>
  <si>
    <t>17.7</t>
  </si>
  <si>
    <t>17.8</t>
  </si>
  <si>
    <t>17.9</t>
  </si>
  <si>
    <t>Estimated Total Maximum General Fund Budget Authority</t>
  </si>
  <si>
    <t>SUMMARY OF FINANCING FOR GENERAL FUND MAXIMUM BUDGET</t>
  </si>
  <si>
    <t>18.1</t>
  </si>
  <si>
    <t>18.2</t>
  </si>
  <si>
    <t xml:space="preserve">Allowance for Construction Project by SBRC (Line 17.3) </t>
  </si>
  <si>
    <t>18.3</t>
  </si>
  <si>
    <t>Levy to Fund Budget Authority (Line 15.8)</t>
  </si>
  <si>
    <t>18.4</t>
  </si>
  <si>
    <t>18.5</t>
  </si>
  <si>
    <t>Adjusted Instructional Support State Aid (Line 10.24)</t>
  </si>
  <si>
    <t>18.6</t>
  </si>
  <si>
    <t>18.7</t>
  </si>
  <si>
    <t>AEA Supplementary Weight for Sharing (Line 3.7)</t>
  </si>
  <si>
    <t xml:space="preserve">Total Utility Replacement Adjustment (Line 13.9)  </t>
  </si>
  <si>
    <t xml:space="preserve">Ed Improvement Income Surtax Dollars (Line 11.6)  </t>
  </si>
  <si>
    <t>18.8</t>
  </si>
  <si>
    <t>18.9</t>
  </si>
  <si>
    <t>18.10</t>
  </si>
  <si>
    <t>18.11</t>
  </si>
  <si>
    <t>Estimated Financing for Total General Fund Maximum Budget</t>
  </si>
  <si>
    <t>19.1</t>
  </si>
  <si>
    <t>19.2</t>
  </si>
  <si>
    <t>19.3</t>
  </si>
  <si>
    <t xml:space="preserve">Maximum Voted PPEL Dollars (Enter loan agreements on Line 1, Form 703)  </t>
  </si>
  <si>
    <t>19.4</t>
  </si>
  <si>
    <t xml:space="preserve">Voted PPEL Income Surtax Rate   </t>
  </si>
  <si>
    <t>19.5</t>
  </si>
  <si>
    <t>19.6</t>
  </si>
  <si>
    <t xml:space="preserve">Voted PPEL Income Surtax Dollars   </t>
  </si>
  <si>
    <t>19.7</t>
  </si>
  <si>
    <t xml:space="preserve">Maximum Voted PPEL Dollars (Line 19.3) </t>
  </si>
  <si>
    <t>19.8</t>
  </si>
  <si>
    <t xml:space="preserve">Voted PPEL Income Surtax Dollars (Line 19.6)  </t>
  </si>
  <si>
    <t>19.9</t>
  </si>
  <si>
    <t>Voted PPEL Levy</t>
  </si>
  <si>
    <t>ALL INCOME SURTAX RATES &amp; GENERAL FUND SURTAX DOLLARS</t>
  </si>
  <si>
    <t>20.1</t>
  </si>
  <si>
    <t>Instructional Support Income Surtax Rate (Line 10.15)</t>
  </si>
  <si>
    <t>20.2</t>
  </si>
  <si>
    <t>Ed Improvement Income Surtax Rate (Line 11.4)</t>
  </si>
  <si>
    <t>20.3</t>
  </si>
  <si>
    <t>20.4</t>
  </si>
  <si>
    <t>20.5</t>
  </si>
  <si>
    <t>AEA Weighted Enrollment with AEA Supplementary Weight for Sharing</t>
  </si>
  <si>
    <t>AEA Weighted Enrollment with AEA Supplementary Weight for Sharing (Line 3.8)</t>
  </si>
  <si>
    <t xml:space="preserve">Voted PPEL Income Surtax Rate (Line 19.4)   </t>
  </si>
  <si>
    <t>20.6</t>
  </si>
  <si>
    <t>Total Income Surtax Rate (cannot exceed .20)</t>
  </si>
  <si>
    <t>20.7</t>
  </si>
  <si>
    <t>20.8</t>
  </si>
  <si>
    <t>20.9</t>
  </si>
  <si>
    <t>20.10</t>
  </si>
  <si>
    <t>20.11</t>
  </si>
  <si>
    <t>Total General Fund Income Surtax Dollars</t>
  </si>
  <si>
    <t>OTHER PROPERTY &amp; UTILITY REPLACEMENT TAXES</t>
  </si>
  <si>
    <t>21.1</t>
  </si>
  <si>
    <t>Management</t>
  </si>
  <si>
    <t>21.2</t>
  </si>
  <si>
    <t>Amana Library</t>
  </si>
  <si>
    <t>21.3</t>
  </si>
  <si>
    <t>Regular Physical Plant &amp; Equipment</t>
  </si>
  <si>
    <t>21.4</t>
  </si>
  <si>
    <t>21.5</t>
  </si>
  <si>
    <t>Public Education and Recreation</t>
  </si>
  <si>
    <t>21.6</t>
  </si>
  <si>
    <t>Debt Service (Complete Form 703)</t>
  </si>
  <si>
    <t>NOTICE OF PUBLIC HEARING</t>
  </si>
  <si>
    <t>Department of Management - Form S-PB-8</t>
  </si>
  <si>
    <t xml:space="preserve"> Taxes Levied on Property</t>
  </si>
  <si>
    <t xml:space="preserve"> Utility Replacement Excise Tax</t>
  </si>
  <si>
    <t xml:space="preserve"> Income Surtaxes</t>
  </si>
  <si>
    <t xml:space="preserve"> Tuition\Transportation Received</t>
  </si>
  <si>
    <t xml:space="preserve"> Earnings on Investments</t>
  </si>
  <si>
    <t xml:space="preserve"> Nutrition Program Sales</t>
  </si>
  <si>
    <t xml:space="preserve"> Student Activities and Sales</t>
  </si>
  <si>
    <t xml:space="preserve"> Other Revenues from Local Sources</t>
  </si>
  <si>
    <t xml:space="preserve"> Revenue from Intermediary Sources</t>
  </si>
  <si>
    <t xml:space="preserve"> State Foundation Aid</t>
  </si>
  <si>
    <t xml:space="preserve"> Instructional Support State Aid</t>
  </si>
  <si>
    <t xml:space="preserve"> Other State Sources</t>
  </si>
  <si>
    <t xml:space="preserve"> Total Revenues</t>
  </si>
  <si>
    <t xml:space="preserve"> General Long-Term Debt Proceeds</t>
  </si>
  <si>
    <t xml:space="preserve"> Proceeds of Fixed Asset Dispositions</t>
  </si>
  <si>
    <t xml:space="preserve"> Total Revenues &amp; Other Sources</t>
  </si>
  <si>
    <t xml:space="preserve"> Beginning Fund Balance</t>
  </si>
  <si>
    <t xml:space="preserve"> Total Resources</t>
  </si>
  <si>
    <t xml:space="preserve"> *Instruction</t>
  </si>
  <si>
    <t xml:space="preserve"> Student Support Services</t>
  </si>
  <si>
    <t xml:space="preserve"> Instructional Staff Support Services</t>
  </si>
  <si>
    <t xml:space="preserve"> General Administration</t>
  </si>
  <si>
    <t xml:space="preserve"> Plant Operation and Maintenance</t>
  </si>
  <si>
    <t xml:space="preserve"> Student Transportation</t>
  </si>
  <si>
    <t xml:space="preserve"> *Total Support Services (lines 24-31)</t>
  </si>
  <si>
    <t>31A</t>
  </si>
  <si>
    <t>Unspent Authorized Budget Worksheet Notes:</t>
  </si>
  <si>
    <t xml:space="preserve"> *Noninstructional Programs</t>
  </si>
  <si>
    <t xml:space="preserve"> Facilities Acquisition and Construction</t>
  </si>
  <si>
    <t xml:space="preserve"> Debt Service</t>
  </si>
  <si>
    <t xml:space="preserve"> AEA Support - Direct to AEA</t>
  </si>
  <si>
    <t xml:space="preserve"> *Total Other Expenditures (lines 33-35)</t>
  </si>
  <si>
    <t>35A</t>
  </si>
  <si>
    <t>Total Expenditures</t>
  </si>
  <si>
    <t>Total Expenditures &amp; Other Uses</t>
  </si>
  <si>
    <t>Ending Fund Balance</t>
  </si>
  <si>
    <t>Total Requirements</t>
  </si>
  <si>
    <t>Location of Public Hearing:</t>
  </si>
  <si>
    <t>Date of Hearing:</t>
  </si>
  <si>
    <t>Time of Hearing:</t>
  </si>
  <si>
    <t xml:space="preserve">District No. </t>
  </si>
  <si>
    <t>Department of Management - Form S-AB</t>
  </si>
  <si>
    <t>Department of Management - Form S-TX</t>
  </si>
  <si>
    <t>District Number</t>
  </si>
  <si>
    <t xml:space="preserve">                                       Total Special Program Funding</t>
  </si>
  <si>
    <t>Instructional Support (A&amp;L line 10.5)</t>
  </si>
  <si>
    <t>Educational Improvement (A&amp;L line 11.3)</t>
  </si>
  <si>
    <t>Voted Physical Plant &amp; Equipment (A&amp;L line 19.3)</t>
  </si>
  <si>
    <t xml:space="preserve">                                   Special  Program Income Surtax Rates</t>
  </si>
  <si>
    <t>Instructional Support (A&amp;L line 10.15)</t>
  </si>
  <si>
    <t>Educational Improvement (A&amp;L line 11.4)</t>
  </si>
  <si>
    <t>Voted Physical Plant &amp; Equipment (A&amp;L line 19.4)</t>
  </si>
  <si>
    <t>Utility Replacement and Property Taxes Adopted</t>
  </si>
  <si>
    <t xml:space="preserve">Utility Replacement </t>
  </si>
  <si>
    <t>AND</t>
  </si>
  <si>
    <t>Property Taxes</t>
  </si>
  <si>
    <t>Replacement</t>
  </si>
  <si>
    <t>Property Tax Dollars</t>
  </si>
  <si>
    <t>Levy Rate</t>
  </si>
  <si>
    <t>Levied</t>
  </si>
  <si>
    <t>Dollars</t>
  </si>
  <si>
    <t xml:space="preserve">Dist Number: </t>
  </si>
  <si>
    <t xml:space="preserve">  Levy to Fund Combined District Cost (A&amp;L line 15.3)</t>
  </si>
  <si>
    <t xml:space="preserve">  +Educational Improvement Levy (A&amp;L line 15.5)</t>
  </si>
  <si>
    <t xml:space="preserve">  +Cash Reserve Levy - SBRC (A&amp;L line 15.9)</t>
  </si>
  <si>
    <t>0.72 Special Ed Weighting in Addition to 1.0</t>
  </si>
  <si>
    <t>1.21 Special Ed Weighting in Addition to 1.0</t>
  </si>
  <si>
    <t xml:space="preserve">  +Cash Reserve Levy - Other (A&amp;L line 15.10)</t>
  </si>
  <si>
    <t xml:space="preserve">  -Use of Fund Balance to Reduce Levy (A&amp;L line 15.11)</t>
  </si>
  <si>
    <t xml:space="preserve">   Voted Physical Plant &amp; Equipment (Loan Agreement)</t>
  </si>
  <si>
    <t xml:space="preserve"> +Voted Physical Plant &amp; Equipment (Capital Project) </t>
  </si>
  <si>
    <t xml:space="preserve">  =Subtotal Voted Physical Plant &amp; Equipment</t>
  </si>
  <si>
    <t xml:space="preserve">  +Regular Physical Plant &amp; Equipment</t>
  </si>
  <si>
    <t xml:space="preserve">  =Total Physical Plant &amp; Equipment</t>
  </si>
  <si>
    <t xml:space="preserve">    Public Education/Recreation (Playground)</t>
  </si>
  <si>
    <t xml:space="preserve">    Debt Service</t>
  </si>
  <si>
    <t xml:space="preserve">    GRAND TOTAL</t>
  </si>
  <si>
    <t>WITHOUT Gas&amp;Elec</t>
  </si>
  <si>
    <t>I certify this budget is in compliance with the following statements:</t>
  </si>
  <si>
    <t>____Adopted property taxes do not exceed published amounts.</t>
  </si>
  <si>
    <t>____Adopted expenditures do not exceed published amounts for any of the four individual expenditure categories, or in total.</t>
  </si>
  <si>
    <t>District Secretary</t>
  </si>
  <si>
    <t>County Auditor</t>
  </si>
  <si>
    <t>Form 703</t>
  </si>
  <si>
    <t>Department of Management - Form S-W1</t>
  </si>
  <si>
    <t>Special Revenue</t>
  </si>
  <si>
    <t>Resources:</t>
  </si>
  <si>
    <t>Requirements:</t>
  </si>
  <si>
    <t xml:space="preserve"> Instruction</t>
  </si>
  <si>
    <t xml:space="preserve"> Noninstructional Programs</t>
  </si>
  <si>
    <t xml:space="preserve"> Debt Service (Principal, interest, fiscal charges)</t>
  </si>
  <si>
    <t>Department of Management - Form S-W2</t>
  </si>
  <si>
    <t>Proprietary</t>
  </si>
  <si>
    <t>Re-estimated</t>
  </si>
  <si>
    <t>Actual</t>
  </si>
  <si>
    <t>Debt Service</t>
  </si>
  <si>
    <t>Department of Management</t>
  </si>
  <si>
    <t>LONG TERM DEBT SCHEDULE</t>
  </si>
  <si>
    <t>Project Name (A)</t>
  </si>
  <si>
    <t>(1)</t>
  </si>
  <si>
    <t>All Voted PPEL Loan agreements on this line</t>
  </si>
  <si>
    <t>(2)</t>
  </si>
  <si>
    <t>(3)</t>
  </si>
  <si>
    <t>(4)</t>
  </si>
  <si>
    <t>(5)</t>
  </si>
  <si>
    <t>(6)</t>
  </si>
  <si>
    <t>(7)</t>
  </si>
  <si>
    <t>(8)</t>
  </si>
  <si>
    <t>(9)</t>
  </si>
  <si>
    <t>(10)</t>
  </si>
  <si>
    <t>(11)</t>
  </si>
  <si>
    <t>(12)</t>
  </si>
  <si>
    <t>(13)</t>
  </si>
  <si>
    <t>(14)</t>
  </si>
  <si>
    <t>(15)</t>
  </si>
  <si>
    <t>(16)</t>
  </si>
  <si>
    <t>(17)</t>
  </si>
  <si>
    <t>(18)</t>
  </si>
  <si>
    <t>Beginning Fund Balance/Ending Fund Balance Comparisons:</t>
  </si>
  <si>
    <t>Income Surtax/Property Tax Comparisons:</t>
  </si>
  <si>
    <t>Special Program Funding/Property Tax Comparisons:</t>
  </si>
  <si>
    <t>Valuation Verification:</t>
  </si>
  <si>
    <t>Required Fields Missing:</t>
  </si>
  <si>
    <t>Department of Management - Form S-PB-6</t>
  </si>
  <si>
    <t xml:space="preserve">Proposed Property Tax Rate (per $1,000 taxable </t>
  </si>
  <si>
    <t>valuation)</t>
  </si>
  <si>
    <t>This document is in 6 point font, the MIMIMUM allowed for legal publications.</t>
  </si>
  <si>
    <t>16.9</t>
  </si>
  <si>
    <t>SECTION 12 IS INTENTIONALLY BLANK</t>
  </si>
  <si>
    <t>SECTION 14 IS INTENTIONALLY BLANK</t>
  </si>
  <si>
    <t xml:space="preserve">____The prescribed Notice of Public Hearing and Proposed Budget Summary (Form S-PB) was lawfully published, with said </t>
  </si>
  <si>
    <t xml:space="preserve">          publication being evidenced by verified and filed proof of publication.</t>
  </si>
  <si>
    <t xml:space="preserve">Uniform Levy Dollars Adjusted for Utility Replacement </t>
  </si>
  <si>
    <t>Additional Levy before Utility Replacement Adjustment</t>
  </si>
  <si>
    <t>Additional Levy Adjusted for Utility Replacement</t>
  </si>
  <si>
    <t>HLV</t>
  </si>
  <si>
    <t xml:space="preserve">Additional Levy Utility Replacement Adjustment (Line 13.3)  </t>
  </si>
  <si>
    <t xml:space="preserve"> IDEA and Other Federal Sources</t>
  </si>
  <si>
    <t xml:space="preserve"> School/Building Administration</t>
  </si>
  <si>
    <t xml:space="preserve"> This row is intentionally left blank</t>
  </si>
  <si>
    <t>Uniform Levy Utility Replacement Adjustment (Line 6.6)</t>
  </si>
  <si>
    <t>____The budget hearing notice was published not less than 10 days, nor more than 20 days, prior to the budget hearing.</t>
  </si>
  <si>
    <t>Estimated Utility</t>
  </si>
  <si>
    <t>General (10)</t>
  </si>
  <si>
    <t>Management (22)</t>
  </si>
  <si>
    <t>PERL (24)</t>
  </si>
  <si>
    <t>Activity (21)</t>
  </si>
  <si>
    <t>Nutrition (61)</t>
  </si>
  <si>
    <t>Oth Entp (62-69)</t>
  </si>
  <si>
    <t>Dist Number:</t>
  </si>
  <si>
    <t>Optional Worksheet</t>
  </si>
  <si>
    <t>Total</t>
  </si>
  <si>
    <t>Form 703A (complete form for each NEW issue)</t>
  </si>
  <si>
    <t>Iowa Department of Management</t>
  </si>
  <si>
    <t>School District Name:</t>
  </si>
  <si>
    <t>District Number:</t>
  </si>
  <si>
    <t>20-YEAR WORKSHEET</t>
  </si>
  <si>
    <t>LONG-TERM DEBT SCHEDULE</t>
  </si>
  <si>
    <t>Project:</t>
  </si>
  <si>
    <t>Amount:</t>
  </si>
  <si>
    <t>Date Voted:</t>
  </si>
  <si>
    <t>Date Sold:</t>
  </si>
  <si>
    <t>Date Certified:</t>
  </si>
  <si>
    <t>BOND</t>
  </si>
  <si>
    <t>PRINCIPAL</t>
  </si>
  <si>
    <t>INTEREST</t>
  </si>
  <si>
    <t>REGISTRATION</t>
  </si>
  <si>
    <t>TOTAL</t>
  </si>
  <si>
    <t>FISCAL YEAR</t>
  </si>
  <si>
    <t>OUTSTANDING</t>
  </si>
  <si>
    <t>DUE</t>
  </si>
  <si>
    <t>COSTS</t>
  </si>
  <si>
    <t>OBLIGATION</t>
  </si>
  <si>
    <t>(A)</t>
  </si>
  <si>
    <t>(B)</t>
  </si>
  <si>
    <t>(C)</t>
  </si>
  <si>
    <t>(D)</t>
  </si>
  <si>
    <t xml:space="preserve">AEA Weighted Enrollment  </t>
  </si>
  <si>
    <t xml:space="preserve">AEA Weighted Enrollment (Line 3.6) </t>
  </si>
  <si>
    <t>2.4</t>
  </si>
  <si>
    <t>2.5</t>
  </si>
  <si>
    <t>2.6</t>
  </si>
  <si>
    <t>2.7</t>
  </si>
  <si>
    <t>2.8</t>
  </si>
  <si>
    <t>2.9</t>
  </si>
  <si>
    <t>2.10</t>
  </si>
  <si>
    <t>2.11</t>
  </si>
  <si>
    <t>2.12</t>
  </si>
  <si>
    <t>(E)</t>
  </si>
  <si>
    <t>(F)</t>
  </si>
  <si>
    <t>FY _____ / _____</t>
  </si>
  <si>
    <t>AMENDMENT OF CURRENT BUDGET</t>
  </si>
  <si>
    <t>Date of Public Hearing:</t>
  </si>
  <si>
    <t>Time of Public Hearing:</t>
  </si>
  <si>
    <t xml:space="preserve">Location of Public Hearing: </t>
  </si>
  <si>
    <t>SOUTHEAST WEBSTER-GRAND</t>
  </si>
  <si>
    <t>Area</t>
  </si>
  <si>
    <t>From</t>
  </si>
  <si>
    <t>To</t>
  </si>
  <si>
    <t>Reasons</t>
  </si>
  <si>
    <t>Instruction</t>
  </si>
  <si>
    <t>Total Support Services</t>
  </si>
  <si>
    <t>Noninstructional Programs</t>
  </si>
  <si>
    <t>Total Other Expenditures</t>
  </si>
  <si>
    <t>Record of Hearing and Adoption of Budget Amendment</t>
  </si>
  <si>
    <t xml:space="preserve">AEA Special Ed Support District Cost without Adjustment  </t>
  </si>
  <si>
    <t>Regular Program District Cost without Adjustment (Line 4.3)</t>
  </si>
  <si>
    <t>AEA Foundation Dollars for Special Ed and Sharing</t>
  </si>
  <si>
    <t>The Board of Directors met in session for the purpose of amending the current school budget.  There was present a quorum</t>
  </si>
  <si>
    <t>Property Tax Adjustment Aid (Line 8.14)</t>
  </si>
  <si>
    <t>law and that the affidavit of publication was on file with the county auditor.  After hearing all taxpayers to be heard,</t>
  </si>
  <si>
    <t xml:space="preserve">the Board adopted the amendment by changing estimates of expenditures in the following areas by the following amounts: </t>
  </si>
  <si>
    <t>Date of Publication:</t>
  </si>
  <si>
    <t>AGWSR</t>
  </si>
  <si>
    <t>AEA</t>
  </si>
  <si>
    <t>DIST</t>
  </si>
  <si>
    <t>NAME</t>
  </si>
  <si>
    <t>GEORGE-LITTLE ROCK</t>
  </si>
  <si>
    <t>line 10.9</t>
  </si>
  <si>
    <t>line 10.23</t>
  </si>
  <si>
    <t>GENERAL OBLIGATION BONDS, REVENUE BONDS, LOANS, LEASE-PURCHASE PAYMENTS</t>
  </si>
  <si>
    <t>line 6.2</t>
  </si>
  <si>
    <t>ADAIR-CASEY</t>
  </si>
  <si>
    <t>AKRON-WESTFIELD</t>
  </si>
  <si>
    <t>ALBERT CITY-TRUESDALE</t>
  </si>
  <si>
    <t>ALBIA</t>
  </si>
  <si>
    <t>ALBURNETT</t>
  </si>
  <si>
    <t>ALDEN</t>
  </si>
  <si>
    <t>ALGONA</t>
  </si>
  <si>
    <t>ALLAMAKEE</t>
  </si>
  <si>
    <t>ALTA</t>
  </si>
  <si>
    <t>AMES</t>
  </si>
  <si>
    <t>ANAMOSA</t>
  </si>
  <si>
    <t>ANDREW</t>
  </si>
  <si>
    <t>ANKENY</t>
  </si>
  <si>
    <t>AR-WE-VA</t>
  </si>
  <si>
    <t>ATLANTIC</t>
  </si>
  <si>
    <t>AUDUBON</t>
  </si>
  <si>
    <t>AURELIA</t>
  </si>
  <si>
    <t>BALLARD</t>
  </si>
  <si>
    <t>BATTLE CREEK-IDA GROVE</t>
  </si>
  <si>
    <t>BAXTER</t>
  </si>
  <si>
    <t>BCLUW</t>
  </si>
  <si>
    <t>BEDFORD</t>
  </si>
  <si>
    <t>BELLE PLAINE</t>
  </si>
  <si>
    <t>BELLEVUE</t>
  </si>
  <si>
    <t>BELMOND-KLEMME</t>
  </si>
  <si>
    <t>BENNETT</t>
  </si>
  <si>
    <t>BENTON</t>
  </si>
  <si>
    <t>BETTENDORF</t>
  </si>
  <si>
    <t>BONDURANT-FARRAR</t>
  </si>
  <si>
    <t>BOONE</t>
  </si>
  <si>
    <t>BOYDEN-HULL</t>
  </si>
  <si>
    <t>WEST HANCOCK</t>
  </si>
  <si>
    <t>BROOKLYN-GUERNSEY-MALCOM</t>
  </si>
  <si>
    <t>NORTH IOWA</t>
  </si>
  <si>
    <t>BURLINGTON</t>
  </si>
  <si>
    <t>CAL</t>
  </si>
  <si>
    <t>CALAMUS/WHEATLAND</t>
  </si>
  <si>
    <t>CAMANCHE</t>
  </si>
  <si>
    <t>CARDINAL</t>
  </si>
  <si>
    <t>CARLISLE</t>
  </si>
  <si>
    <t>CARROLL</t>
  </si>
  <si>
    <t>CEDAR FALLS</t>
  </si>
  <si>
    <t>CEDAR RAPIDS</t>
  </si>
  <si>
    <t>State Payments to AEA  (Line 16.9)</t>
  </si>
  <si>
    <t>CENTERVILLE</t>
  </si>
  <si>
    <t>CENTRAL LEE</t>
  </si>
  <si>
    <t>CENTRAL CLAYTON</t>
  </si>
  <si>
    <t>CENTRAL CITY</t>
  </si>
  <si>
    <t>CENTRAL DECATUR</t>
  </si>
  <si>
    <t>CLAYTON RIDGE</t>
  </si>
  <si>
    <t>CENTRAL LYON</t>
  </si>
  <si>
    <t>CHARITON</t>
  </si>
  <si>
    <t>CHARLES CITY</t>
  </si>
  <si>
    <t>CHARTER OAK-UTE</t>
  </si>
  <si>
    <t>CHEROKEE</t>
  </si>
  <si>
    <t xml:space="preserve">ADDITIONAL DOLLAR LEVY </t>
  </si>
  <si>
    <t>PROPERTY TAX ADJUSTMENT AID</t>
  </si>
  <si>
    <t>ADJUSTED ADDITIONAL PROPERTY TAX LEVY AID</t>
  </si>
  <si>
    <t>ADDITIONAL LEVY BEFORE UTILITY REPLACEMENT ADJUSTMENT</t>
  </si>
  <si>
    <t xml:space="preserve"> Business &amp; Central Administration</t>
  </si>
  <si>
    <t>CLARINDA</t>
  </si>
  <si>
    <t>CLARKE</t>
  </si>
  <si>
    <t>CLARKSVILLE</t>
  </si>
  <si>
    <t>CLAY CENTRAL-EVERLY</t>
  </si>
  <si>
    <t>CLEAR LAKE</t>
  </si>
  <si>
    <t>CLINTON</t>
  </si>
  <si>
    <t>COLFAX-MINGO</t>
  </si>
  <si>
    <t>COLLEGE</t>
  </si>
  <si>
    <t>COLLINS-MAXWELL</t>
  </si>
  <si>
    <t>COLO-NESCO</t>
  </si>
  <si>
    <t>COLUMBUS</t>
  </si>
  <si>
    <t>CORNING</t>
  </si>
  <si>
    <t>COUNCIL BLUFFS</t>
  </si>
  <si>
    <t>CRESTON</t>
  </si>
  <si>
    <t>DALLAS CENTER-GRIMES</t>
  </si>
  <si>
    <t>DANVILLE</t>
  </si>
  <si>
    <t>DAVENPORT</t>
  </si>
  <si>
    <t>DAVIS COUNTY</t>
  </si>
  <si>
    <t>DECORAH</t>
  </si>
  <si>
    <t>DELWOOD</t>
  </si>
  <si>
    <t>DENISON</t>
  </si>
  <si>
    <t>DENVER</t>
  </si>
  <si>
    <t>DES MOINES</t>
  </si>
  <si>
    <t>DIAGONAL</t>
  </si>
  <si>
    <t xml:space="preserve">DIKE-NEW HARTFORD </t>
  </si>
  <si>
    <t>DUBUQUE</t>
  </si>
  <si>
    <t>DUNKERTON</t>
  </si>
  <si>
    <t>BOYER VALLEY</t>
  </si>
  <si>
    <t>DURANT</t>
  </si>
  <si>
    <t>EAGLE GROVE</t>
  </si>
  <si>
    <t>EARLHAM</t>
  </si>
  <si>
    <t>EAST BUCHANAN</t>
  </si>
  <si>
    <t>EAST UNION</t>
  </si>
  <si>
    <t>EASTERN ALLAMAKEE</t>
  </si>
  <si>
    <t>RIVER VALLEY</t>
  </si>
  <si>
    <t>EDGEWOOD-COLESBURG</t>
  </si>
  <si>
    <t>ELDORA-NEW PROVIDENCE</t>
  </si>
  <si>
    <t>EMMETSBURG</t>
  </si>
  <si>
    <t>ESSEX</t>
  </si>
  <si>
    <t>ESTHERVILLE-LINCOLN CENTRAL</t>
  </si>
  <si>
    <t>FAIRFIELD</t>
  </si>
  <si>
    <t>FARRAGUT</t>
  </si>
  <si>
    <t>FOREST CITY</t>
  </si>
  <si>
    <t>FORT DODGE</t>
  </si>
  <si>
    <t>FORT MADISON</t>
  </si>
  <si>
    <t>FREMONT-MILLS</t>
  </si>
  <si>
    <t>GALVA-HOLSTEIN</t>
  </si>
  <si>
    <t>GILBERT</t>
  </si>
  <si>
    <t>GILMORE CITY-BRADGATE</t>
  </si>
  <si>
    <t>GLADBROOK-REINBECK</t>
  </si>
  <si>
    <t>GLENWOOD</t>
  </si>
  <si>
    <t>GLIDDEN-RALSTON</t>
  </si>
  <si>
    <t>GMG</t>
  </si>
  <si>
    <t>GRINNELL-NEWBURG</t>
  </si>
  <si>
    <t>GRISWOLD</t>
  </si>
  <si>
    <t>GRUNDY CENTER</t>
  </si>
  <si>
    <t>GUTHRIE CENTER</t>
  </si>
  <si>
    <t>HAMBURG</t>
  </si>
  <si>
    <t>HAMPTON-DUMONT</t>
  </si>
  <si>
    <t>HARLAN</t>
  </si>
  <si>
    <t>HARMONY</t>
  </si>
  <si>
    <t>HARRIS-LAKE PARK</t>
  </si>
  <si>
    <t>HARTLEY-MELVIN-SANBORN</t>
  </si>
  <si>
    <t>HIGHLAND</t>
  </si>
  <si>
    <t>HINTON</t>
  </si>
  <si>
    <t>HOWARD-WINNESHIEK</t>
  </si>
  <si>
    <t xml:space="preserve">Instructional Support Income Surtax Dollars (Line 10.25)   </t>
  </si>
  <si>
    <t>HUDSON</t>
  </si>
  <si>
    <t>HUMBOLDT</t>
  </si>
  <si>
    <t>INDEPENDENCE</t>
  </si>
  <si>
    <t>INDIANOLA</t>
  </si>
  <si>
    <t>INTERSTATE 35</t>
  </si>
  <si>
    <t>IOWA CITY</t>
  </si>
  <si>
    <t>IOWA FALLS</t>
  </si>
  <si>
    <t>IOWA VALLEY</t>
  </si>
  <si>
    <t>JANESVILLE</t>
  </si>
  <si>
    <t xml:space="preserve">    Estimated expenditures can be found on Worksheet 1, General Fund Column, Row 36 or use the school</t>
  </si>
  <si>
    <t xml:space="preserve">    district's line item budget or best estimate.</t>
  </si>
  <si>
    <t xml:space="preserve">   Estimated Other Miscellaneous Income can be calculated from Worksheet 1, General Fund Column:</t>
  </si>
  <si>
    <t>JESUP</t>
  </si>
  <si>
    <t>JOHNSTON</t>
  </si>
  <si>
    <t>KEOKUK</t>
  </si>
  <si>
    <t>KEOTA</t>
  </si>
  <si>
    <t>KINGSLEY-PIERSON</t>
  </si>
  <si>
    <t>KNOXVILLE</t>
  </si>
  <si>
    <t>LAKE MILLS</t>
  </si>
  <si>
    <t>LAMONI</t>
  </si>
  <si>
    <t>LAURENS-MARATHON</t>
  </si>
  <si>
    <t>LAWTON-BRONSON</t>
  </si>
  <si>
    <t>9.11</t>
  </si>
  <si>
    <t>EAST MARSHALL</t>
  </si>
  <si>
    <t>LE MARS</t>
  </si>
  <si>
    <t>LENOX</t>
  </si>
  <si>
    <t>LEWIS CENTRAL</t>
  </si>
  <si>
    <t>NORTH CEDAR</t>
  </si>
  <si>
    <t>LINN-MAR</t>
  </si>
  <si>
    <t>LISBON</t>
  </si>
  <si>
    <t>LOGAN-MAGNOLIA</t>
  </si>
  <si>
    <t>LONE TREE</t>
  </si>
  <si>
    <t>LOUISA-MUSCATINE</t>
  </si>
  <si>
    <t>LU VERNE</t>
  </si>
  <si>
    <t>LYNNVILLE-SULLY</t>
  </si>
  <si>
    <t>MADRID</t>
  </si>
  <si>
    <t>MANSON-NORTHWEST WEBSTER</t>
  </si>
  <si>
    <t>MAQUOKETA</t>
  </si>
  <si>
    <t>MAQUOKETA VALLEY</t>
  </si>
  <si>
    <t>MARCUS-MERIDEN CLEGHORN</t>
  </si>
  <si>
    <t>MARION</t>
  </si>
  <si>
    <t>MARSHALLTOWN</t>
  </si>
  <si>
    <t>MARTENSDALE-ST MARYS</t>
  </si>
  <si>
    <t>MASON CITY</t>
  </si>
  <si>
    <t>MEDIAPOLIS</t>
  </si>
  <si>
    <t>MELCHER-DALLAS</t>
  </si>
  <si>
    <t>MID-PRAIRIE</t>
  </si>
  <si>
    <t>MISSOURI VALLEY</t>
  </si>
  <si>
    <t>MONTEZUMA</t>
  </si>
  <si>
    <t>MONTICELLO</t>
  </si>
  <si>
    <t>MORAVIA</t>
  </si>
  <si>
    <t>MORMON TRAIL</t>
  </si>
  <si>
    <t>MORNING SUN</t>
  </si>
  <si>
    <t>MOULTON-UDELL</t>
  </si>
  <si>
    <t>Adjustment for Property Tax Repayment due to Property Assessment Appeal</t>
  </si>
  <si>
    <t>MOUNT AYR</t>
  </si>
  <si>
    <t>MOUNT PLEASANT</t>
  </si>
  <si>
    <t>MOUNT VERNON</t>
  </si>
  <si>
    <t>MURRAY</t>
  </si>
  <si>
    <t>MUSCATINE</t>
  </si>
  <si>
    <t>NEVADA</t>
  </si>
  <si>
    <t>NEW HAMPTON</t>
  </si>
  <si>
    <t>NEW LONDON</t>
  </si>
  <si>
    <t>NEWTON</t>
  </si>
  <si>
    <t>NORTHEAST</t>
  </si>
  <si>
    <t>NORTH FAYETTE</t>
  </si>
  <si>
    <t>NORTHEAST HAMILTON</t>
  </si>
  <si>
    <t>NORTH MAHASKA</t>
  </si>
  <si>
    <t xml:space="preserve">Unadjusted Teacher Salary Supplement District Cost </t>
  </si>
  <si>
    <t xml:space="preserve">Unadjusted Professional Development Supplement District Cost </t>
  </si>
  <si>
    <t xml:space="preserve">Unadjusted Early Intervention Supplement District Cost </t>
  </si>
  <si>
    <t>Teacher Salary Supplement Budget Adjustment (if negative, enter zero)</t>
  </si>
  <si>
    <t>Professional Development Supplement Budget Adjustment (if negative, enter zero)</t>
  </si>
  <si>
    <t>Early Intervention Supplement Budget Adjustment (if negative, enter zero)</t>
  </si>
  <si>
    <t>AEA Teacher Salary Supplement Budget Adjustment (if negative, enter zero)</t>
  </si>
  <si>
    <t>7.30</t>
  </si>
  <si>
    <t>7.31</t>
  </si>
  <si>
    <t>7.32</t>
  </si>
  <si>
    <t>7.33</t>
  </si>
  <si>
    <t>7.34</t>
  </si>
  <si>
    <t>Preschool Enrollment Audit Adjustment</t>
  </si>
  <si>
    <t>Total Preschool Foundation Aid</t>
  </si>
  <si>
    <t>Additional District Foundation Dollars from Property Tax Equity and Relief Fund</t>
  </si>
  <si>
    <t xml:space="preserve">Teacher Salary Supplement District Cost </t>
  </si>
  <si>
    <t xml:space="preserve">Professional Development Supplement District Cost </t>
  </si>
  <si>
    <t xml:space="preserve">AEA Teacher Salary Supplement District Cost </t>
  </si>
  <si>
    <t xml:space="preserve"> AEA Professional Development Supplement District Cost </t>
  </si>
  <si>
    <t>AidLevy 4.3/5.1</t>
  </si>
  <si>
    <t>Teacher Salary Supplement District Cost</t>
  </si>
  <si>
    <t>Professional Development Suppl District Cost</t>
  </si>
  <si>
    <t>Early Intervention Supplement District Cost</t>
  </si>
  <si>
    <t>AEA Special Ed Support</t>
  </si>
  <si>
    <t>AEA Special Ed Support Adjustment</t>
  </si>
  <si>
    <t>AEA Media Services</t>
  </si>
  <si>
    <t>AEA Educational Services</t>
  </si>
  <si>
    <t>AEA Teacher Salary Suppl District Cost</t>
  </si>
  <si>
    <t xml:space="preserve">Maximum spending without a decline in Unspent Authorized Budget </t>
  </si>
  <si>
    <t>AEA Professional Dev Suppl District Cost</t>
  </si>
  <si>
    <t>SBRC/DE</t>
  </si>
  <si>
    <t>AEA Special Ed Positive Balance</t>
  </si>
  <si>
    <t>Allowance for Construction Projects</t>
  </si>
  <si>
    <t>Unspent Allowance for Construction</t>
  </si>
  <si>
    <t>AEA Prorata Reduction</t>
  </si>
  <si>
    <t>NORTH LINN</t>
  </si>
  <si>
    <t>NORTH KOSSUTH</t>
  </si>
  <si>
    <t>NORTH POLK</t>
  </si>
  <si>
    <t xml:space="preserve">Total Supplementary Weighting (Line 3.13)  </t>
  </si>
  <si>
    <t>District Weighted Enrollment without Special Ed Weightings (Line 3.17)</t>
  </si>
  <si>
    <t>District Weighted Enrollment (Line 3.15)</t>
  </si>
  <si>
    <t>NORTH SCOTT</t>
  </si>
  <si>
    <t>NORTH TAMA</t>
  </si>
  <si>
    <t>NORTH WINNESHIEK</t>
  </si>
  <si>
    <t>NORTHWOOD-KENSETT</t>
  </si>
  <si>
    <t>NORWALK</t>
  </si>
  <si>
    <t>RIVERSIDE</t>
  </si>
  <si>
    <t>ODEBOLT-ARTHUR</t>
  </si>
  <si>
    <t>OELWEIN</t>
  </si>
  <si>
    <t>OGDEN</t>
  </si>
  <si>
    <t>OKOBOJI</t>
  </si>
  <si>
    <t>OLIN</t>
  </si>
  <si>
    <t>ORIENT-MACKSBURG</t>
  </si>
  <si>
    <t>OSAGE</t>
  </si>
  <si>
    <t>OSKALOOSA</t>
  </si>
  <si>
    <t>OTTUMWA</t>
  </si>
  <si>
    <t>PANORAMA</t>
  </si>
  <si>
    <t>PATON-CHURDAN</t>
  </si>
  <si>
    <t>PEKIN</t>
  </si>
  <si>
    <t>PELLA</t>
  </si>
  <si>
    <t>PERRY</t>
  </si>
  <si>
    <t>PLEASANT VALLEY</t>
  </si>
  <si>
    <t>PLEASANTVILLE</t>
  </si>
  <si>
    <t>POSTVILLE</t>
  </si>
  <si>
    <t>RED OAK</t>
  </si>
  <si>
    <t>REMSEN-UNION</t>
  </si>
  <si>
    <t>RICEVILLE</t>
  </si>
  <si>
    <t>ROCK VALLEY</t>
  </si>
  <si>
    <t>ROLAND-STORY</t>
  </si>
  <si>
    <t>RUDD-ROCKFORD-MARBLE ROCK</t>
  </si>
  <si>
    <t>RUTHVEN-AYRSHIRE</t>
  </si>
  <si>
    <t>ST ANSGAR</t>
  </si>
  <si>
    <t>SAYDEL</t>
  </si>
  <si>
    <t>SCHLESWIG</t>
  </si>
  <si>
    <t>SERGEANT BLUFF-LUTON</t>
  </si>
  <si>
    <t>SEYMOUR</t>
  </si>
  <si>
    <t>SHELDON</t>
  </si>
  <si>
    <t>SHENANDOAH</t>
  </si>
  <si>
    <t>SIBLEY-OCHEYEDAN</t>
  </si>
  <si>
    <t>SIDNEY</t>
  </si>
  <si>
    <t>SIGOURNEY</t>
  </si>
  <si>
    <t>SIOUX CENTER</t>
  </si>
  <si>
    <t>SIOUX CITY</t>
  </si>
  <si>
    <t>SOLON</t>
  </si>
  <si>
    <t>SOUTHEAST WARREN</t>
  </si>
  <si>
    <t>SOUTH HAMILTON</t>
  </si>
  <si>
    <t>SOUTH PAGE</t>
  </si>
  <si>
    <t>SOUTH TAMA</t>
  </si>
  <si>
    <t>SOUTH WINNESHIEK</t>
  </si>
  <si>
    <t>SOUTHEAST POLK</t>
  </si>
  <si>
    <t>SPENCER</t>
  </si>
  <si>
    <t>SPIRIT LAKE</t>
  </si>
  <si>
    <t>SPRINGVILLE</t>
  </si>
  <si>
    <t>STANTON</t>
  </si>
  <si>
    <t>STARMONT</t>
  </si>
  <si>
    <t>STORM LAKE</t>
  </si>
  <si>
    <t>STRATFORD</t>
  </si>
  <si>
    <t>WEST CENTRAL VALLEY</t>
  </si>
  <si>
    <t>TIPTON</t>
  </si>
  <si>
    <t>TREYNOR</t>
  </si>
  <si>
    <t>TRI-CENTER</t>
  </si>
  <si>
    <t>TRI-COUNTY</t>
  </si>
  <si>
    <t>TRIPOLI</t>
  </si>
  <si>
    <t>TURKEY VALLEY</t>
  </si>
  <si>
    <t>TWIN CEDARS</t>
  </si>
  <si>
    <t>TWIN RIVERS</t>
  </si>
  <si>
    <t xml:space="preserve">Proposed Tax Rate (per $1,000 taxable valuation) </t>
  </si>
  <si>
    <t xml:space="preserve">and time.  At the hearing, any resident or taxpayer may present objections to, or arguments in favor of, any part of the </t>
  </si>
  <si>
    <t xml:space="preserve">proposed budget.  This notice represents a summary of the supporting detail of revenues and expenditures on file with the </t>
  </si>
  <si>
    <t>district secretary.  A copy of the details will be furnished upon request.</t>
  </si>
  <si>
    <t>UNDERWOOD</t>
  </si>
  <si>
    <t>UNITED</t>
  </si>
  <si>
    <t>URBANDALE</t>
  </si>
  <si>
    <t xml:space="preserve">Unadjusted AEA Teacher Salary Supplement District Cost </t>
  </si>
  <si>
    <t xml:space="preserve">Unadjusted AEA Professional Development Supplement District Cost </t>
  </si>
  <si>
    <t>5.16</t>
  </si>
  <si>
    <t>5.17</t>
  </si>
  <si>
    <t>5.18</t>
  </si>
  <si>
    <t>Total AEA Foundation Dollars</t>
  </si>
  <si>
    <t>7.24</t>
  </si>
  <si>
    <t>7.25</t>
  </si>
  <si>
    <t>7.26</t>
  </si>
  <si>
    <t>16.11</t>
  </si>
  <si>
    <t>16.12</t>
  </si>
  <si>
    <t>REGULAR PROGRAM DISTRICT COST CALCULATIONS</t>
  </si>
  <si>
    <t>OTHER DISTRICT COST CALCULATIONS</t>
  </si>
  <si>
    <t>AEA DISTRICT COST CALCULATIONS</t>
  </si>
  <si>
    <t>COST PER PUPIL AMOUNTS</t>
  </si>
  <si>
    <t>7.27</t>
  </si>
  <si>
    <t>7.28</t>
  </si>
  <si>
    <t>7.29</t>
  </si>
  <si>
    <t>VALLEY</t>
  </si>
  <si>
    <t>VAN METER</t>
  </si>
  <si>
    <t>VILLISCA</t>
  </si>
  <si>
    <t>WACO</t>
  </si>
  <si>
    <t>WAPELLO</t>
  </si>
  <si>
    <t>WAPSIE VALLEY</t>
  </si>
  <si>
    <t>WASHINGTON</t>
  </si>
  <si>
    <t>WATERLOO</t>
  </si>
  <si>
    <t>WAUKEE</t>
  </si>
  <si>
    <t>WAVERLY-SHELL ROCK</t>
  </si>
  <si>
    <t>WAYNE</t>
  </si>
  <si>
    <t>WEBSTER CITY</t>
  </si>
  <si>
    <t>WEST BRANCH</t>
  </si>
  <si>
    <t>WEST BURLINGTON</t>
  </si>
  <si>
    <t>WEST CENTRAL</t>
  </si>
  <si>
    <t>WEST DELAWARE CO</t>
  </si>
  <si>
    <t>WEST DES MOINES</t>
  </si>
  <si>
    <t>WESTERN DUBUQUE CO</t>
  </si>
  <si>
    <t xml:space="preserve">the above-noted location and time.  At the hearing, any resident or taxpayer may present objections  </t>
  </si>
  <si>
    <t>to, or arguments in favor of, any part of the proposed budget.  This notice represents a summary of</t>
  </si>
  <si>
    <t xml:space="preserve">the supporting detail of revenues and expenditures on file with the district secretary.  A copy </t>
  </si>
  <si>
    <t>of the details will be furnished upon request.</t>
  </si>
  <si>
    <t xml:space="preserve">The Board of Directors will conduct a public hearing at the above-noted time and place for the </t>
  </si>
  <si>
    <t xml:space="preserve">purpose of amending the current school budget by changing estimates of expenditures in the following </t>
  </si>
  <si>
    <t>areas by the following amounts:</t>
  </si>
  <si>
    <t xml:space="preserve">This change in estimates of expenditures will be financed from increased receipts and balances not </t>
  </si>
  <si>
    <t xml:space="preserve">budgeted or considered in the current budget.  There will be no increase in taxes to be paid in the </t>
  </si>
  <si>
    <t xml:space="preserve">or arguments in favor of, any part of the proposed amendment.  A detailed statement of additional </t>
  </si>
  <si>
    <t>3.16</t>
  </si>
  <si>
    <t>3.17</t>
  </si>
  <si>
    <t>AEA Supplementary Weight for Sharing</t>
  </si>
  <si>
    <t>4.40</t>
  </si>
  <si>
    <t>4.41</t>
  </si>
  <si>
    <t>4.42</t>
  </si>
  <si>
    <t>AEA Sharing District Cost</t>
  </si>
  <si>
    <t>AEA Statewide State Aid Reduction</t>
  </si>
  <si>
    <t>5.15</t>
  </si>
  <si>
    <t>7.21</t>
  </si>
  <si>
    <t>7.22</t>
  </si>
  <si>
    <t>7.23</t>
  </si>
  <si>
    <t>PRESCHOOL FOUNDATION AID</t>
  </si>
  <si>
    <t>Preschool Foundation Aid</t>
  </si>
  <si>
    <t>9.10</t>
  </si>
  <si>
    <t>16.10</t>
  </si>
  <si>
    <t>line 1.3 x272</t>
  </si>
  <si>
    <t>line 8.10 x274</t>
  </si>
  <si>
    <t>line 1.1 x249</t>
  </si>
  <si>
    <t>line 3.1 x266</t>
  </si>
  <si>
    <t>line 3.2 x265</t>
  </si>
  <si>
    <t>line 3.3 x264</t>
  </si>
  <si>
    <t>line 3.9 x268</t>
  </si>
  <si>
    <t>line 3.10 x273</t>
  </si>
  <si>
    <t>line 3.11 x269</t>
  </si>
  <si>
    <t>line 3.12 x446</t>
  </si>
  <si>
    <t>line 6.4 x386</t>
  </si>
  <si>
    <t>line 6.5 x387</t>
  </si>
  <si>
    <t>line 13.1 x388</t>
  </si>
  <si>
    <t>line 13.2 x389</t>
  </si>
  <si>
    <t>line 3.7 x259</t>
  </si>
  <si>
    <t xml:space="preserve">receipts other than taxes, balances on hand at the close of the preceding fiscal year, and proposed </t>
  </si>
  <si>
    <t>WEST HARRISON</t>
  </si>
  <si>
    <t>WEST LIBERTY</t>
  </si>
  <si>
    <t>WEST LYON</t>
  </si>
  <si>
    <t>WEST MARSHALL</t>
  </si>
  <si>
    <t>WEST MONONA</t>
  </si>
  <si>
    <t>WEST SIOUX</t>
  </si>
  <si>
    <t>WESTWOOD</t>
  </si>
  <si>
    <t>WHITING</t>
  </si>
  <si>
    <t>WILLIAMSBURG</t>
  </si>
  <si>
    <t>WILTON</t>
  </si>
  <si>
    <t>WINFIELD-MT UNION</t>
  </si>
  <si>
    <t>WINTERSET</t>
  </si>
  <si>
    <t>WOODBINE</t>
  </si>
  <si>
    <t>WOODBURY CENTRAL</t>
  </si>
  <si>
    <t>WOODWARD-GRANGER</t>
  </si>
  <si>
    <t>line 8.6 x335/336</t>
  </si>
  <si>
    <t>AEA/Dist No.</t>
  </si>
  <si>
    <t>BUDGET ENROLLMENT</t>
  </si>
  <si>
    <t>*</t>
  </si>
  <si>
    <t>1.1</t>
  </si>
  <si>
    <t>1.2</t>
  </si>
  <si>
    <t>X</t>
  </si>
  <si>
    <t>1.3</t>
  </si>
  <si>
    <t>=</t>
  </si>
  <si>
    <t>1.4</t>
  </si>
  <si>
    <t>Enrollment Audit Adjustment</t>
  </si>
  <si>
    <t>1.5</t>
  </si>
  <si>
    <t>1.6</t>
  </si>
  <si>
    <t>1.7</t>
  </si>
  <si>
    <t>Enrollment Audit Adjustment - State Aid Portion</t>
  </si>
  <si>
    <t>2.1</t>
  </si>
  <si>
    <t>+</t>
  </si>
  <si>
    <t>2.2</t>
  </si>
  <si>
    <t>2.3</t>
  </si>
  <si>
    <t>WEIGHTED ENROLLMENT</t>
  </si>
  <si>
    <t>**</t>
  </si>
  <si>
    <t>3.1</t>
  </si>
  <si>
    <t>3.2</t>
  </si>
  <si>
    <t>3.3</t>
  </si>
  <si>
    <t xml:space="preserve">Early Intervention Supplement District Cost </t>
  </si>
  <si>
    <t>2.74 Special Ed Weighting in Addition to 1.0</t>
  </si>
  <si>
    <t>3.4</t>
  </si>
  <si>
    <t>Total Special Ed Weighting in Addition to 1.0</t>
  </si>
  <si>
    <t>3.5</t>
  </si>
  <si>
    <t>Budget Enrollment (Line 1.1)</t>
  </si>
  <si>
    <t>3.6</t>
  </si>
  <si>
    <t>***</t>
  </si>
  <si>
    <t>3.7</t>
  </si>
  <si>
    <t>3.8</t>
  </si>
  <si>
    <t>Supplementary Weighting - At-Risk Formula</t>
  </si>
  <si>
    <t>3.9</t>
  </si>
  <si>
    <t>3.10</t>
  </si>
  <si>
    <t>Supplementary Weighting - Reorganization Incentives</t>
  </si>
  <si>
    <t>3.11</t>
  </si>
  <si>
    <t xml:space="preserve">Total Supplementary Weighting   </t>
  </si>
  <si>
    <t>3.12</t>
  </si>
  <si>
    <t>3.13</t>
  </si>
  <si>
    <t>District Weighted Enrollment</t>
  </si>
  <si>
    <t>-</t>
  </si>
  <si>
    <t>3.14</t>
  </si>
  <si>
    <t>Total Special Ed Weighting in Addition to 1.0 (Line 3.4)</t>
  </si>
  <si>
    <t>3.15</t>
  </si>
  <si>
    <t>APLINGTON-PARKERSBURG</t>
  </si>
  <si>
    <t xml:space="preserve"> </t>
  </si>
  <si>
    <t>District Weighted Enrollment without Special Ed Weightings</t>
  </si>
  <si>
    <t>4.1</t>
  </si>
  <si>
    <t>4.2</t>
  </si>
  <si>
    <t>4.3</t>
  </si>
  <si>
    <t>4.4</t>
  </si>
  <si>
    <t>4.5</t>
  </si>
  <si>
    <t>4.6</t>
  </si>
  <si>
    <t>4.7</t>
  </si>
  <si>
    <t>4.8</t>
  </si>
  <si>
    <t>line 2.4 x531</t>
  </si>
  <si>
    <t>line 2.7 x535</t>
  </si>
  <si>
    <t>line 2.10 x539</t>
  </si>
  <si>
    <t>6096</t>
  </si>
  <si>
    <t xml:space="preserve"> xx/xx/xx</t>
  </si>
  <si>
    <t>1</t>
  </si>
  <si>
    <t>2) Expenditures:</t>
  </si>
  <si>
    <t>AidLevy 5.17</t>
  </si>
  <si>
    <t xml:space="preserve"> Transfers In</t>
  </si>
  <si>
    <t>Transfers Out</t>
  </si>
  <si>
    <t xml:space="preserve"> Transfers In/Special Items/Upward Adj</t>
  </si>
  <si>
    <t>Transfers Out/Special Items/Down Adj</t>
  </si>
  <si>
    <t>CAM</t>
  </si>
  <si>
    <t>CENTRAL SPRINGS</t>
  </si>
  <si>
    <t>EAST MILLS</t>
  </si>
  <si>
    <t>IKM-MANNING</t>
  </si>
  <si>
    <t>NORTH BUTLER</t>
  </si>
  <si>
    <t>WEST FORK</t>
  </si>
  <si>
    <t>3168</t>
  </si>
  <si>
    <t>EAST SAC COUNTY</t>
  </si>
  <si>
    <t>Sales Tax (33)</t>
  </si>
  <si>
    <t>Other Cap Proj</t>
  </si>
  <si>
    <t>This Column is Blank</t>
  </si>
  <si>
    <t>PPEL (36)</t>
  </si>
  <si>
    <t>(40)</t>
  </si>
  <si>
    <t>Preschool Budget Enrollment (Actual Enrollment X 50%)</t>
  </si>
  <si>
    <t>Capital Projects (30-39)</t>
  </si>
  <si>
    <t xml:space="preserve">Capital Projects (30-39) </t>
  </si>
  <si>
    <t>MAPLE VALLEY-ANTHON OTO</t>
  </si>
  <si>
    <t>EDDYVILLE-BLAKESBURG-FREMONT</t>
  </si>
  <si>
    <t>(19)</t>
  </si>
  <si>
    <t>(20)</t>
  </si>
  <si>
    <t>(21)</t>
  </si>
  <si>
    <t>(22)</t>
  </si>
  <si>
    <t>(23)</t>
  </si>
  <si>
    <t>(24)</t>
  </si>
  <si>
    <t>(25)</t>
  </si>
  <si>
    <t>(26)</t>
  </si>
  <si>
    <t>Totals (Lines 3-25)</t>
  </si>
  <si>
    <t>Prorata Reduction to State Appropriation Amount</t>
  </si>
  <si>
    <t xml:space="preserve">  =Total General Fund Levy (A&amp;L line 15.12)</t>
  </si>
  <si>
    <t>15.13</t>
  </si>
  <si>
    <t>15.14</t>
  </si>
  <si>
    <t>15.15</t>
  </si>
  <si>
    <t>15.16</t>
  </si>
  <si>
    <t>15.17</t>
  </si>
  <si>
    <t>15.18</t>
  </si>
  <si>
    <t>15.19</t>
  </si>
  <si>
    <t>15.20</t>
  </si>
  <si>
    <t>15.21</t>
  </si>
  <si>
    <t>Subtotal General Fund Levy Rate</t>
  </si>
  <si>
    <t>Instructional Support Levy Rate</t>
  </si>
  <si>
    <t>Total General Fund Levy Rate</t>
  </si>
  <si>
    <t xml:space="preserve">Subtotal General Fund Levy without Instructional Support </t>
  </si>
  <si>
    <t xml:space="preserve">  =Subtotal General Fund Levy (A&amp;L line 15.14) </t>
  </si>
  <si>
    <t xml:space="preserve">  +Instructional Support Levy (A&amp;L line 15.13)</t>
  </si>
  <si>
    <t>Subtotal General Fund Levy Rate (Line 15.16)</t>
  </si>
  <si>
    <t>Warnings (for your review):</t>
  </si>
  <si>
    <t>EASTON VALLEY</t>
  </si>
  <si>
    <t>Enter Regular Program State Percent of Growth</t>
  </si>
  <si>
    <t>Enter Teacher Salary Supplement State Percent of Growth</t>
  </si>
  <si>
    <t>Enter Professional Development Supplement State Percent of Growth</t>
  </si>
  <si>
    <t>Enter Early Intervention Supplement State Percent of Growth</t>
  </si>
  <si>
    <t>4.9</t>
  </si>
  <si>
    <t>4.10</t>
  </si>
  <si>
    <t>4.11</t>
  </si>
  <si>
    <t>4.12</t>
  </si>
  <si>
    <t>4.13</t>
  </si>
  <si>
    <t>4.14</t>
  </si>
  <si>
    <t>4.15</t>
  </si>
  <si>
    <t>4.16</t>
  </si>
  <si>
    <t>Regular Program Budget Adjustment Adopted (Line 4.8)</t>
  </si>
  <si>
    <t xml:space="preserve">District Cost for Supplementary Weighting (Line 4.11)   </t>
  </si>
  <si>
    <t>Special Education Instruction District Cost (Line 4.14)</t>
  </si>
  <si>
    <t>Unadjusted Teacher Salary Supplement District Cost (Line 4.17)</t>
  </si>
  <si>
    <t>Teacher Salary Supplement District Cost (Line 4.22)</t>
  </si>
  <si>
    <t>Unadjusted Professional Development Supplement District Cost (Line 4.25)</t>
  </si>
  <si>
    <t xml:space="preserve">Professional Development Supplement District Cost (Line 4.30) </t>
  </si>
  <si>
    <t>Unadjusted Early Intervention Supplement District Cost (Line 4.33)</t>
  </si>
  <si>
    <t>Early Intervention Supplement District Cost (Line 4.38)</t>
  </si>
  <si>
    <t>6.9</t>
  </si>
  <si>
    <t>6.10</t>
  </si>
  <si>
    <t>6.11</t>
  </si>
  <si>
    <t>6.12</t>
  </si>
  <si>
    <t>Uniform Levy Rate (Line 6.2)</t>
  </si>
  <si>
    <t>6.13</t>
  </si>
  <si>
    <t>6.14</t>
  </si>
  <si>
    <t>6.15</t>
  </si>
  <si>
    <t>6.16</t>
  </si>
  <si>
    <t>6.17</t>
  </si>
  <si>
    <t>6.18</t>
  </si>
  <si>
    <t>6.19</t>
  </si>
  <si>
    <t xml:space="preserve">Uniform Levy Dollars Adjusted for Utility Replacement (Line 6.8) </t>
  </si>
  <si>
    <t>6.20</t>
  </si>
  <si>
    <t>PROPERTY TAX REPLACEMENT PAYMENT (PTRP)</t>
  </si>
  <si>
    <t>Property Tax Replacement Amount Per Pupil</t>
  </si>
  <si>
    <t>Property Tax Replacement Payment (PTRP)</t>
  </si>
  <si>
    <t>Property Tax Replacement Payment (PTRP) (Line 8.19)</t>
  </si>
  <si>
    <t>Adjusted Additional Property Tax Dollar Levy less PTRP</t>
  </si>
  <si>
    <t>8.38</t>
  </si>
  <si>
    <t>8.39</t>
  </si>
  <si>
    <t>8.40</t>
  </si>
  <si>
    <t>8.41</t>
  </si>
  <si>
    <t>8.42</t>
  </si>
  <si>
    <t>8.43</t>
  </si>
  <si>
    <t>8.44</t>
  </si>
  <si>
    <t>8.45</t>
  </si>
  <si>
    <t xml:space="preserve">Adjusted Additional Property Tax Levy Aid (Line 8.31) </t>
  </si>
  <si>
    <t xml:space="preserve">Additional Levy before Utility Replacement Adjustment (Line 8.45)  </t>
  </si>
  <si>
    <t>9.12</t>
  </si>
  <si>
    <t>Additional District Foundation Dollars from PTER Fund (Line 8.36)</t>
  </si>
  <si>
    <t>ADDITIONAL LEVY - C&amp;I STATE REPLACEMENT ADJUSTMENT</t>
  </si>
  <si>
    <t>13.10</t>
  </si>
  <si>
    <t>Additional Levy Adjusted for Utility Replacement (Line 13.6)</t>
  </si>
  <si>
    <t>13.11</t>
  </si>
  <si>
    <t>13.12</t>
  </si>
  <si>
    <t xml:space="preserve">Additional Tax Rate Adjusted for Utility Replacement   </t>
  </si>
  <si>
    <t>13.13</t>
  </si>
  <si>
    <t>13.14</t>
  </si>
  <si>
    <t>13.15</t>
  </si>
  <si>
    <t>13.16</t>
  </si>
  <si>
    <t>13.17</t>
  </si>
  <si>
    <t>13.18</t>
  </si>
  <si>
    <t>13.19</t>
  </si>
  <si>
    <t>13.20</t>
  </si>
  <si>
    <t>13.21</t>
  </si>
  <si>
    <t>13.22</t>
  </si>
  <si>
    <t>13.23</t>
  </si>
  <si>
    <t>13.24</t>
  </si>
  <si>
    <t>13.25</t>
  </si>
  <si>
    <t>Total C&amp;I State Replacement Adjustment</t>
  </si>
  <si>
    <t>State Foundation Aid (Line 9.12)</t>
  </si>
  <si>
    <t>Total C&amp;I State Replacement Adjustment (Line 13.25)</t>
  </si>
  <si>
    <t>AidLevy-b288</t>
  </si>
  <si>
    <t>line 8.39 x365</t>
  </si>
  <si>
    <t>line 9.10 x305</t>
  </si>
  <si>
    <t>line 4.18 x532</t>
  </si>
  <si>
    <t>line 4.26 x536</t>
  </si>
  <si>
    <t>line 4.34 x540</t>
  </si>
  <si>
    <t>line 6.14 x600</t>
  </si>
  <si>
    <t>line 6.15 x601</t>
  </si>
  <si>
    <t>line 13.15 x604</t>
  </si>
  <si>
    <t>line 13.16 x605</t>
  </si>
  <si>
    <t>Levy Rate from</t>
  </si>
  <si>
    <t>Estimated</t>
  </si>
  <si>
    <t>C&amp;I Replacement</t>
  </si>
  <si>
    <t xml:space="preserve">    GRAND TOTAL State Replacement Estimate</t>
  </si>
  <si>
    <t xml:space="preserve">  Subtotal General Fund Levy </t>
  </si>
  <si>
    <t xml:space="preserve">  +Instructional Support Levy </t>
  </si>
  <si>
    <t xml:space="preserve">  =Total General Fund Levy </t>
  </si>
  <si>
    <t>line 4.4 x214</t>
  </si>
  <si>
    <r>
      <t>1) Miscellaneous Income</t>
    </r>
    <r>
      <rPr>
        <sz val="12"/>
        <rFont val="Times New Roman"/>
        <family val="1"/>
      </rPr>
      <t>:</t>
    </r>
  </si>
  <si>
    <t>SBRC Modified Supplemental Amt Other #1</t>
  </si>
  <si>
    <t>SBRC Modified Supplemental Amt Other #2</t>
  </si>
  <si>
    <t>TaxCert page</t>
  </si>
  <si>
    <r>
      <t xml:space="preserve">5. </t>
    </r>
    <r>
      <rPr>
        <b/>
        <sz val="10"/>
        <rFont val="Arial"/>
        <family val="2"/>
      </rPr>
      <t>Estimated</t>
    </r>
    <r>
      <rPr>
        <sz val="10"/>
        <rFont val="Arial"/>
        <family val="2"/>
      </rPr>
      <t xml:space="preserve"> Non-TIF Valuation Reduction (row 1 minus row 3)</t>
    </r>
  </si>
  <si>
    <r>
      <t xml:space="preserve">6. </t>
    </r>
    <r>
      <rPr>
        <b/>
        <sz val="10"/>
        <rFont val="Arial"/>
        <family val="2"/>
      </rPr>
      <t>Estimated</t>
    </r>
    <r>
      <rPr>
        <sz val="10"/>
        <rFont val="Arial"/>
        <family val="2"/>
      </rPr>
      <t xml:space="preserve"> TIF Valuation Reduction (row 2 minus row 4)</t>
    </r>
  </si>
  <si>
    <r>
      <t xml:space="preserve">7. </t>
    </r>
    <r>
      <rPr>
        <b/>
        <sz val="10"/>
        <rFont val="Arial"/>
        <family val="2"/>
      </rPr>
      <t>Estimated</t>
    </r>
    <r>
      <rPr>
        <sz val="10"/>
        <rFont val="Arial"/>
        <family val="2"/>
      </rPr>
      <t xml:space="preserve"> Debt Service, PPEL, ISL Valuation Reduction (row 5 plus row 6)</t>
    </r>
  </si>
  <si>
    <t xml:space="preserve">Uniform Levy Dollars </t>
  </si>
  <si>
    <t>Commercial</t>
  </si>
  <si>
    <t>Industrial</t>
  </si>
  <si>
    <t>AidLevy 4.8/5.2</t>
  </si>
  <si>
    <t>AidLevy 4.11/5.3</t>
  </si>
  <si>
    <t>AidLevy 4.14/5.4</t>
  </si>
  <si>
    <t>AidLevy 4.22/5.5</t>
  </si>
  <si>
    <t>AidLevy 4.30/5.6</t>
  </si>
  <si>
    <t>AidLevy 4.38/5.7</t>
  </si>
  <si>
    <t>AidLevy 4.66/5.13</t>
  </si>
  <si>
    <t>AidLevy 4.74/5.14</t>
  </si>
  <si>
    <t>NORTH UNION</t>
  </si>
  <si>
    <t>CLARION-GOLDFIELD-DOWS</t>
  </si>
  <si>
    <t>EXIRA-ELK HORN-KIMBALLTON</t>
  </si>
  <si>
    <t>GREENE COUNTY</t>
  </si>
  <si>
    <t>SOUTH CENTRAL CALHOUN</t>
  </si>
  <si>
    <t>SUMNER-FREDERICKSBURG</t>
  </si>
  <si>
    <t>Clearfield</t>
  </si>
  <si>
    <t>Entrp(23)Equal(25) Lib(29)SpecRev(27)</t>
  </si>
  <si>
    <t>Additional District Foundation Dollars from PTER  Fund (Line 8.36)</t>
  </si>
  <si>
    <t xml:space="preserve">Department of Management - Form S-W2                        </t>
  </si>
  <si>
    <t xml:space="preserve"> Commercial &amp; Industrial State Replacement</t>
  </si>
  <si>
    <t xml:space="preserve"> IDEA &amp; Other Federal Sources</t>
  </si>
  <si>
    <t>District Secretary _______________________________________</t>
  </si>
  <si>
    <t xml:space="preserve">   Management</t>
  </si>
  <si>
    <t xml:space="preserve">   Amana Library </t>
  </si>
  <si>
    <t xml:space="preserve">   Voted Physical Plant &amp; Equipment</t>
  </si>
  <si>
    <t xml:space="preserve">   Regular Physical Plant &amp; Equipment</t>
  </si>
  <si>
    <t xml:space="preserve">   Reorganization Equalization Levy </t>
  </si>
  <si>
    <t xml:space="preserve">   Emergency Levy (for Disaster Recovery)</t>
  </si>
  <si>
    <t xml:space="preserve">   Public Education/Recreation (Playground)</t>
  </si>
  <si>
    <t xml:space="preserve">   Debt Service</t>
  </si>
  <si>
    <t>Commercial and Industrial State Replacement (3803)</t>
  </si>
  <si>
    <t>Enter Teacher Leadership Supplement State Percent of Growth</t>
  </si>
  <si>
    <t>2.13</t>
  </si>
  <si>
    <t>2.14</t>
  </si>
  <si>
    <t>2.15</t>
  </si>
  <si>
    <t xml:space="preserve">Unadjusted Teacher Leadership Supplement District Cost </t>
  </si>
  <si>
    <t>Unadjusted Teacher Leadership Supplement District Cost (Line 4.41)</t>
  </si>
  <si>
    <t>Teacher Leadership Supplement Budget Adjustment (if negative, enter zero)</t>
  </si>
  <si>
    <t xml:space="preserve">Teacher Leadership Supplement District Cost </t>
  </si>
  <si>
    <t>line 4.42 x553</t>
  </si>
  <si>
    <t xml:space="preserve">AEA Special Ed Support District Cost without Adjustment (Line 4.49) </t>
  </si>
  <si>
    <t xml:space="preserve">Total Enrollment Served - AEA Media and Ed Services (Line 4.58)   </t>
  </si>
  <si>
    <t>AEA Special Ed Support Cost Per Pupil (Line 4.47)</t>
  </si>
  <si>
    <t>Unadjusted AEA Teacher Salary Supplement District Cost (Line 4.69)</t>
  </si>
  <si>
    <t>4.75</t>
  </si>
  <si>
    <t>4.76</t>
  </si>
  <si>
    <t>4.77</t>
  </si>
  <si>
    <t>4.78</t>
  </si>
  <si>
    <t>4.79</t>
  </si>
  <si>
    <t>Unadjusted AEA Professional Development Supplement District Cost (Line 4.77)</t>
  </si>
  <si>
    <t>4.80</t>
  </si>
  <si>
    <t>4.81</t>
  </si>
  <si>
    <t>4.82</t>
  </si>
  <si>
    <t>5.19</t>
  </si>
  <si>
    <t>Teacher Leadership Supplement District Cost (Line 4.46)</t>
  </si>
  <si>
    <t xml:space="preserve">AEA Special Ed Support District Cost without Adjustment (Line 4.49)  </t>
  </si>
  <si>
    <t>AEA Special Ed Support Adjustment (Line 4.54)</t>
  </si>
  <si>
    <t xml:space="preserve">AEA Media Services District Cost (Line 4.60)   </t>
  </si>
  <si>
    <t xml:space="preserve">AEA Ed Services District Cost (Line 4.63) </t>
  </si>
  <si>
    <t>AEA Sharing District Cost (Line 4.66)</t>
  </si>
  <si>
    <t>AEA Teacher Salary Supplement District Cost (Line 4.74)</t>
  </si>
  <si>
    <t>AEA Professional Development Supplement District Cost (Line 4.82)</t>
  </si>
  <si>
    <t>Uniform Levy Dollars Before Utility Repl and C&amp;I Adjustments (Line 6.3)</t>
  </si>
  <si>
    <t>Previous Year Uniform Levy C&amp;I State Replacement Paid</t>
  </si>
  <si>
    <t>Previous Year Uniform Levy C&amp;I State Replacement Paid Minus Budgeted</t>
  </si>
  <si>
    <t>Total Uniform Levy C&amp;I State Replacement Adjustment</t>
  </si>
  <si>
    <t>Uniform Levy Dollars Adjusted for Utility Replacement &amp; C&amp;I Adjustment</t>
  </si>
  <si>
    <t>Uniform Levy Dollars Adj for Utility Replacement &amp; C&amp;I Adjustment (Line 6.20)</t>
  </si>
  <si>
    <t>Unadjusted State Foundation Aid (Line 7.22)</t>
  </si>
  <si>
    <t>7.35</t>
  </si>
  <si>
    <t>Preschool Foundation Aid (Line 7.30)</t>
  </si>
  <si>
    <t>Combined District Cost (Line 5.19)</t>
  </si>
  <si>
    <t xml:space="preserve">Total Foundation Dollars (Line 7.20)   </t>
  </si>
  <si>
    <t>Minimum Aid Adjustment (Line 7.27)</t>
  </si>
  <si>
    <t>AEA Statewide State Aid Reduction (Line 5.16)</t>
  </si>
  <si>
    <t xml:space="preserve">Unadjusted State Foundation Aid (Line 7.22)  </t>
  </si>
  <si>
    <t>Total Preschool Foundation Aid (Line 7.35)</t>
  </si>
  <si>
    <t>Previous Year Additional Levy C&amp;I State Replacement Paid</t>
  </si>
  <si>
    <t>Previous Year Additional Levy C&amp;I State Replacement Paid Minus Budgeted</t>
  </si>
  <si>
    <t>Total Additional Levy C&amp;I State Replacement Adjustment</t>
  </si>
  <si>
    <t>Additional Levy Adjusted for Utility Replacement &amp; C&amp;I State Replacement</t>
  </si>
  <si>
    <t>AidLevy-b334</t>
  </si>
  <si>
    <t>AidLevy-b335</t>
  </si>
  <si>
    <t>Additional Levy Dollars Adjusted for Utility Repl &amp; C&amp;I State Repl (Line 13.22)</t>
  </si>
  <si>
    <t>AEA Special Ed Support District Cost without Adjustment  (Line 4.49)</t>
  </si>
  <si>
    <t xml:space="preserve">AEA Media Services District Cost  (Line 4.60) </t>
  </si>
  <si>
    <t xml:space="preserve">AEA Ed Services District Cost  (Line 4.63) </t>
  </si>
  <si>
    <t>AidLevy 4.46/5.8</t>
  </si>
  <si>
    <t>AidLevy 4.49/5.9</t>
  </si>
  <si>
    <t>AidLevy 4.54/5.10</t>
  </si>
  <si>
    <t>AidLevy 4.60/5.11</t>
  </si>
  <si>
    <t>AidLevy 4.63/5.12</t>
  </si>
  <si>
    <t>AidLevy 4.82/5.15</t>
  </si>
  <si>
    <t>AidLevy 5.18</t>
  </si>
  <si>
    <t>AidLevy 7.35</t>
  </si>
  <si>
    <t>Teacher Leadership Supplement District Cost</t>
  </si>
  <si>
    <t>CENTRAL DE WITT</t>
  </si>
  <si>
    <t>AidLevy-b302</t>
  </si>
  <si>
    <t>line 4.50 x218</t>
  </si>
  <si>
    <t>line 4.51 x219</t>
  </si>
  <si>
    <t>line 5.16 x300</t>
  </si>
  <si>
    <t>line 4.56 x270</t>
  </si>
  <si>
    <t>line 4.57 x271</t>
  </si>
  <si>
    <t>AidLevy-b319</t>
  </si>
  <si>
    <t>AidLevy-320</t>
  </si>
  <si>
    <t>AidLevy-b276</t>
  </si>
  <si>
    <t>line 7.28 x251</t>
  </si>
  <si>
    <t>line 4.70 x544</t>
  </si>
  <si>
    <t>line 4.78 x548</t>
  </si>
  <si>
    <t>line 2.13 x552</t>
  </si>
  <si>
    <t>Total Additional Levy C&amp;I State Replacement Adjustment (Line 13.19)</t>
  </si>
  <si>
    <t>Total Uniform Levy C&amp;I State Replacement Adjustment (Line 6.18)</t>
  </si>
  <si>
    <t>Special Ed Deficit Modified Suppl Amt</t>
  </si>
  <si>
    <t>SBRC Modified Suppl Amt Dropout Prev</t>
  </si>
  <si>
    <t>Supplementary Weighting - ELL</t>
  </si>
  <si>
    <t>Uniform Levy Commercial &amp; Industrial State Replacement Estimate</t>
  </si>
  <si>
    <t>Uniform Levy Commercial &amp; Industrial State Replacement Est (Line 6.13)</t>
  </si>
  <si>
    <t>Additional Levy Commercial &amp; Industrial State Replacement Estimate</t>
  </si>
  <si>
    <t>Additional Levy Commercial &amp; Industrial State Replacement Est (Line 13.14)</t>
  </si>
  <si>
    <t>Beginning in FY 2015, Commercial and Industrial property valuations are reduced through a rollback.  The rollback is 95% in FY 2015 and 90% in subsequent years.  The state is reimbursing local governments, including school districts, for the lost property taxes.  This worksheet can be used to estimate those C&amp;I State Replacement payments for budgeting purposes.</t>
  </si>
  <si>
    <t xml:space="preserve">         (Line 32 = Legal Limit on General Fund Spending)</t>
  </si>
  <si>
    <t>GARNER-HAYFIELD-VENTURA</t>
  </si>
  <si>
    <t>VOTED PHYSICAL PLANT &amp; EQUIPMENT (VPPEL)</t>
  </si>
  <si>
    <t>FY17 Property Tax Portion of State Cost Per Pupil</t>
  </si>
  <si>
    <t>101% of FY16 Regular Program District Cost</t>
  </si>
  <si>
    <t>Audited Change in October 2014 Preschool Budget Enrollment</t>
  </si>
  <si>
    <t xml:space="preserve">District Income Tax Paid in 2014 (Line 10.16) </t>
  </si>
  <si>
    <t>Base Property Tax Portion of State Cost Per Pupil</t>
  </si>
  <si>
    <t>UNIFORM LEVY - UTILITY REPLACEMENT ADJUSTMENT</t>
  </si>
  <si>
    <t>UNIFORM LEVY - C&amp;I STATE REPLACEMENT ADJUSTMENT</t>
  </si>
  <si>
    <t xml:space="preserve">ADDITIONAL LEVY - UTILITY REPLACEMENT ADJUSTMENT </t>
  </si>
  <si>
    <t>Uniform Levy Dollars before Utility Repl and C&amp;I State Repl Adj  (Line 6.3)</t>
  </si>
  <si>
    <t>State Foundation Aid including AEA Flowthrough (3111, 3113, 3116, 3117, 3204, 3214, 3216, 3373, 3376)</t>
  </si>
  <si>
    <t xml:space="preserve">as required by law.  The Board found that the notice of time and place of hearing had been published as required by </t>
  </si>
  <si>
    <t>Non-GO</t>
  </si>
  <si>
    <r>
      <t xml:space="preserve">Form includes </t>
    </r>
    <r>
      <rPr>
        <b/>
        <sz val="10"/>
        <rFont val="Times New Roman"/>
        <family val="1"/>
      </rPr>
      <t>ALL</t>
    </r>
    <r>
      <rPr>
        <sz val="10"/>
        <rFont val="Times New Roman"/>
        <family val="1"/>
      </rPr>
      <t xml:space="preserve"> long term debt.  Row 1 FINAL COLUMN is only Loans paid by VPPEL Tax.  Rows 3-25 FINAL COLUMN is only GO Debt paid by Debt Service Tax.</t>
    </r>
  </si>
  <si>
    <t>Corwith-Wesley</t>
  </si>
  <si>
    <t>VPPEL Loan Paid by VPPEL Taxes or GO Bond Amount Paid by Budget Year Debt Service Taxes =(J)</t>
  </si>
  <si>
    <t>Unspent Authorized Budget</t>
  </si>
  <si>
    <t>Less Categorical Restricted Balances</t>
  </si>
  <si>
    <t>Special Education</t>
  </si>
  <si>
    <t>Miscellaneous Categoricals</t>
  </si>
  <si>
    <t>Total Categorical Restricted Balances</t>
  </si>
  <si>
    <t>Equals Remaining:</t>
  </si>
  <si>
    <t>Regular Program Amount of Unspent Authorized Budget</t>
  </si>
  <si>
    <t>Remaining Regular Program Percent of Unspent Authorized Budget</t>
  </si>
  <si>
    <t>Categorical Percent of Unspent Authorized Budget</t>
  </si>
  <si>
    <t>Unspent Authorized Budget Worksheet - Categorical Detail</t>
  </si>
  <si>
    <t>Home School Assistance Program (1113)</t>
  </si>
  <si>
    <t>Limited English Proficiency (1112)</t>
  </si>
  <si>
    <t>At-Risk and Dropout Prevention (1116/1119)</t>
  </si>
  <si>
    <t>Talented and Gifted (1118)</t>
  </si>
  <si>
    <t>Four-Year-Old Preschool (3117)</t>
  </si>
  <si>
    <t>Teacher Salary Supplement (3204)</t>
  </si>
  <si>
    <t>Professional Development General (3376)</t>
  </si>
  <si>
    <t>Professional Development Core (3373)</t>
  </si>
  <si>
    <t>Early Intervention Block Grant (3216)</t>
  </si>
  <si>
    <t>Teacher Leadership Compensation (3387/3116)</t>
  </si>
  <si>
    <t xml:space="preserve">Voted PPEL Rate Limit </t>
  </si>
  <si>
    <t>AHSTW</t>
  </si>
  <si>
    <t>First Name:</t>
  </si>
  <si>
    <t>Last Name:</t>
  </si>
  <si>
    <t>Phone Number:</t>
  </si>
  <si>
    <t>Extension:</t>
  </si>
  <si>
    <t>E-Mail Address:</t>
  </si>
  <si>
    <t>Department of Management Startup Instructions</t>
  </si>
  <si>
    <t>User Input</t>
  </si>
  <si>
    <t>Budget Year</t>
  </si>
  <si>
    <t>Prior Year</t>
  </si>
  <si>
    <t>School District</t>
  </si>
  <si>
    <t>DoM Reference</t>
  </si>
  <si>
    <t>UserInput</t>
  </si>
  <si>
    <t>DOM Lines</t>
  </si>
  <si>
    <t>FiscalYear</t>
  </si>
  <si>
    <t>SPG</t>
  </si>
  <si>
    <t>CPP</t>
  </si>
  <si>
    <t>Additional_Dollar</t>
  </si>
  <si>
    <t>SCPP</t>
  </si>
  <si>
    <t>SCPP_AEA</t>
  </si>
  <si>
    <t>TS_CPP</t>
  </si>
  <si>
    <t>TS_SCPP</t>
  </si>
  <si>
    <t>PD_CPP</t>
  </si>
  <si>
    <t>PD_SCPP</t>
  </si>
  <si>
    <t>EI_CPP</t>
  </si>
  <si>
    <t>EI_SCPP</t>
  </si>
  <si>
    <t>TL_CPP</t>
  </si>
  <si>
    <t>TL_SCPP</t>
  </si>
  <si>
    <t>AEA_SPED_CPP</t>
  </si>
  <si>
    <t>AEA_SPED_SCPP</t>
  </si>
  <si>
    <t>AEAMED_CPP</t>
  </si>
  <si>
    <t>AEAMED_SCPP</t>
  </si>
  <si>
    <t>AEAED_CPP</t>
  </si>
  <si>
    <t>AEAED_SCPP</t>
  </si>
  <si>
    <t>TS_AEA_CPP</t>
  </si>
  <si>
    <t>TS_AEA_SCPP</t>
  </si>
  <si>
    <t>PD_AEA_CPP</t>
  </si>
  <si>
    <t>PD_AEA_SCPP</t>
  </si>
  <si>
    <t>RPFL</t>
  </si>
  <si>
    <t>RPFL_CPP</t>
  </si>
  <si>
    <t>RPSPEDFL</t>
  </si>
  <si>
    <t>AEA_SPED_FL</t>
  </si>
  <si>
    <t>Budg_Adj</t>
  </si>
  <si>
    <t>ULR</t>
  </si>
  <si>
    <t>MIN_AID</t>
  </si>
  <si>
    <t>PT_SCPP</t>
  </si>
  <si>
    <t>PT_PCT</t>
  </si>
  <si>
    <t>SMAAPTLR</t>
  </si>
  <si>
    <t>AEA_SPED_FL_CPP</t>
  </si>
  <si>
    <t>PTRP_PP</t>
  </si>
  <si>
    <t>StateTaxableValuation_PP</t>
  </si>
  <si>
    <t>TAG_PP</t>
  </si>
  <si>
    <t>FY2007</t>
  </si>
  <si>
    <t>FY2008</t>
  </si>
  <si>
    <t>FY2009</t>
  </si>
  <si>
    <t>FY2010</t>
  </si>
  <si>
    <t>FY2011</t>
  </si>
  <si>
    <t>FY2012</t>
  </si>
  <si>
    <t>FY2013</t>
  </si>
  <si>
    <t>FY2014</t>
  </si>
  <si>
    <t>FY2015</t>
  </si>
  <si>
    <t>Name</t>
  </si>
  <si>
    <t>AEASPE</t>
  </si>
  <si>
    <t>AEAMED</t>
  </si>
  <si>
    <t>AEAED</t>
  </si>
  <si>
    <t>AEA_TS</t>
  </si>
  <si>
    <t>AEA_PD</t>
  </si>
  <si>
    <t xml:space="preserve">KEYSTONE AEA 1           </t>
  </si>
  <si>
    <t>PRAIRIE LAKES AEA 8</t>
  </si>
  <si>
    <t>AEA 267</t>
  </si>
  <si>
    <t>MISSISSIPPI BEND AEA 9</t>
  </si>
  <si>
    <t>GRANT WOOD AEA 10</t>
  </si>
  <si>
    <t>HEARTLAND AEA 11</t>
  </si>
  <si>
    <t>NORTHWEST AEA 12</t>
  </si>
  <si>
    <t>LOESS HILLS AEA 13</t>
  </si>
  <si>
    <t>GREEN VALLEY AEA 14</t>
  </si>
  <si>
    <t>SOUTHERN PRAIRIE AEA 1</t>
  </si>
  <si>
    <t>GREAT RIVER AEA 16</t>
  </si>
  <si>
    <t>NORTHWEST AEA</t>
  </si>
  <si>
    <t>GREAT PRAIRIE AEA 15</t>
  </si>
  <si>
    <t>KEYSTONE AEA 1</t>
  </si>
  <si>
    <t>GREEN HILLS AEA 13</t>
  </si>
  <si>
    <t>TS_SPG</t>
  </si>
  <si>
    <t>PD_SPG</t>
  </si>
  <si>
    <t>EI_SPG</t>
  </si>
  <si>
    <t>TL_SPG</t>
  </si>
  <si>
    <t>6091</t>
  </si>
  <si>
    <t>Forecast Year 1</t>
  </si>
  <si>
    <t>Forecast Year 2</t>
  </si>
  <si>
    <t>Forecast Year 3</t>
  </si>
  <si>
    <t>Forecast Year 4</t>
  </si>
  <si>
    <t>____This budget was certified on or before April 17, 2017.</t>
  </si>
  <si>
    <t>SCPP - FY 2013</t>
  </si>
  <si>
    <t>Foundation Dollars - FY 2013</t>
  </si>
  <si>
    <t>SCPP - FY 2017</t>
  </si>
  <si>
    <t>Foundation Dollars - FY 2017</t>
  </si>
  <si>
    <t>Voted Maximum Portion - Educational Improvement</t>
  </si>
  <si>
    <t>Aid and Levy Inputs</t>
  </si>
  <si>
    <t>Aid and Levy Results</t>
  </si>
  <si>
    <t>Tax Cert Results</t>
  </si>
  <si>
    <t>Rate</t>
  </si>
  <si>
    <t>Total Dollars</t>
  </si>
  <si>
    <t xml:space="preserve">ADOPTION OF BUDGET AND TAXES </t>
  </si>
  <si>
    <t>GO</t>
  </si>
  <si>
    <r>
      <t xml:space="preserve">Type of Issue - Indicate 
</t>
    </r>
    <r>
      <rPr>
        <b/>
        <i/>
        <sz val="10"/>
        <rFont val="Times New Roman"/>
        <family val="1"/>
      </rPr>
      <t xml:space="preserve">GO </t>
    </r>
    <r>
      <rPr>
        <b/>
        <sz val="10"/>
        <rFont val="Times New Roman"/>
        <family val="1"/>
      </rPr>
      <t xml:space="preserve">(General Obligation Bond) or 
</t>
    </r>
    <r>
      <rPr>
        <b/>
        <i/>
        <sz val="10"/>
        <rFont val="Times New Roman"/>
        <family val="1"/>
      </rPr>
      <t xml:space="preserve">Non-GO 
</t>
    </r>
    <r>
      <rPr>
        <b/>
        <sz val="10"/>
        <rFont val="Times New Roman"/>
        <family val="1"/>
      </rPr>
      <t xml:space="preserve">(C) </t>
    </r>
  </si>
  <si>
    <t>Date   General Obligation Bond Certified to County Auditor 
(D)</t>
  </si>
  <si>
    <t>Amount Paid from Other Sources &amp; Fund Balance in Appropriate Fund 
-(I)</t>
  </si>
  <si>
    <t>Amount of Issue 
(B)</t>
  </si>
  <si>
    <t>RPSPED_CPP</t>
  </si>
  <si>
    <t>AEASPED_CPP</t>
  </si>
  <si>
    <t>Non-TIF</t>
  </si>
  <si>
    <t>TIF</t>
  </si>
  <si>
    <t>Totals</t>
  </si>
  <si>
    <t>Taxable Valuation (Column A)</t>
  </si>
  <si>
    <t>Increment -TIF (Column B)</t>
  </si>
  <si>
    <t>Debt Service, PPEL, ISL (Column C)</t>
  </si>
  <si>
    <t>Taxable Valuation (Column D)</t>
  </si>
  <si>
    <t>Increment -TIF (Column E)</t>
  </si>
  <si>
    <t>Debt Service, PPEL, ISL (Column F)</t>
  </si>
  <si>
    <t>Valuation Inputs</t>
  </si>
  <si>
    <t>Extra Data</t>
  </si>
  <si>
    <t>PriorYearBudgetAdjustment</t>
  </si>
  <si>
    <t>CE_Audit_PPY</t>
  </si>
  <si>
    <t>SW_Audit_PPY</t>
  </si>
  <si>
    <t>CE_Audit_PY</t>
  </si>
  <si>
    <t>SW_Audit_PY</t>
  </si>
  <si>
    <t>Total - x277 - Line 1.4</t>
  </si>
  <si>
    <t>State Aid - x278 - Line 1.7</t>
  </si>
  <si>
    <t>line 7.31 x257</t>
  </si>
  <si>
    <t>Audited Change in Enrollment</t>
  </si>
  <si>
    <t>PriorPriorYearBudget Adjustment</t>
  </si>
  <si>
    <t>DE_DIST</t>
  </si>
  <si>
    <t>Prescott</t>
  </si>
  <si>
    <t>Walnut</t>
  </si>
  <si>
    <t>General Fund Balance</t>
  </si>
  <si>
    <t>Activity Fund Balance</t>
  </si>
  <si>
    <t>Management Fund Balance</t>
  </si>
  <si>
    <t>PERL Fund Balance</t>
  </si>
  <si>
    <t>Entre/Equal/SupportTrust/Library FundBalance</t>
  </si>
  <si>
    <t>Emergency/DisasterRecovery Fund Balance</t>
  </si>
  <si>
    <t>Sales Tax Fund Balance</t>
  </si>
  <si>
    <t>PPEL Fund Balance</t>
  </si>
  <si>
    <t>Capital Project FundBalance</t>
  </si>
  <si>
    <t>Debt Service Fund Balance</t>
  </si>
  <si>
    <t>Nutrition Fund Balance</t>
  </si>
  <si>
    <t>Other Enterprise FundBalance</t>
  </si>
  <si>
    <t>Total Fund Balance</t>
  </si>
  <si>
    <t>Property Tax Revenue</t>
  </si>
  <si>
    <t>Utility Excise ReplacementTax Revenue</t>
  </si>
  <si>
    <t>Income Surtax Revenue</t>
  </si>
  <si>
    <t>Tuition/TransportationRevenue</t>
  </si>
  <si>
    <t>Interest Revenue</t>
  </si>
  <si>
    <t>Nutrition Revenue</t>
  </si>
  <si>
    <t>Activities Revenue</t>
  </si>
  <si>
    <t>Other Local SourcesRevenue</t>
  </si>
  <si>
    <t>Intermediary Revenue</t>
  </si>
  <si>
    <t>State Aid Revenue</t>
  </si>
  <si>
    <t>Instructional SupportRevenue</t>
  </si>
  <si>
    <t>Other State Revenue</t>
  </si>
  <si>
    <t>Commercial and IndustrialReplacement Revenue</t>
  </si>
  <si>
    <t>Title I Revenue</t>
  </si>
  <si>
    <t>IDEA/Other Fed Revenue</t>
  </si>
  <si>
    <t>Total Revenues</t>
  </si>
  <si>
    <t>General Long-term DebtProceeds</t>
  </si>
  <si>
    <t>TransfersIn/Other Financing</t>
  </si>
  <si>
    <t>Fixed Asset Disposition</t>
  </si>
  <si>
    <t>Total Revenues &amp; OtherSources</t>
  </si>
  <si>
    <t>Beginning Fund Balance</t>
  </si>
  <si>
    <t>Instruction Expenditures</t>
  </si>
  <si>
    <t>Student Support Services</t>
  </si>
  <si>
    <t>Instruction Staff Support</t>
  </si>
  <si>
    <t>General Administration</t>
  </si>
  <si>
    <t>Building Administration</t>
  </si>
  <si>
    <t>Business &amp; CentralAdministration</t>
  </si>
  <si>
    <t>Plant Operation &amp; Maintenance</t>
  </si>
  <si>
    <t>Student Transportation</t>
  </si>
  <si>
    <t>Noninstructional Expenditures</t>
  </si>
  <si>
    <t>Facilities Acq &amp; Construction</t>
  </si>
  <si>
    <t>AEA Support</t>
  </si>
  <si>
    <t>Transfers Out/OtherFinancing</t>
  </si>
  <si>
    <t>So EFB Match</t>
  </si>
  <si>
    <t>Difference</t>
  </si>
  <si>
    <t>Calculated Total Requirements</t>
  </si>
  <si>
    <t>Calculated Total Resources With BFB</t>
  </si>
  <si>
    <t>Redo Calculations Every year</t>
  </si>
  <si>
    <t>District</t>
  </si>
  <si>
    <t>L501_Sum</t>
  </si>
  <si>
    <t>L502_Sum</t>
  </si>
  <si>
    <t>L503_Sum</t>
  </si>
  <si>
    <t>L504_Sum</t>
  </si>
  <si>
    <t>L505_Sum</t>
  </si>
  <si>
    <t>L506_Sum</t>
  </si>
  <si>
    <t>L507_Sum</t>
  </si>
  <si>
    <t>L508_Sum</t>
  </si>
  <si>
    <t>L509_Sum</t>
  </si>
  <si>
    <t>L510_Sum</t>
  </si>
  <si>
    <t>L511_Sum</t>
  </si>
  <si>
    <t>L512_Sum</t>
  </si>
  <si>
    <t>L513_Sum</t>
  </si>
  <si>
    <t>L514_Sum</t>
  </si>
  <si>
    <t>L515_Sum</t>
  </si>
  <si>
    <t>L517_Sum</t>
  </si>
  <si>
    <t>'SBRC #1'n_Sum</t>
  </si>
  <si>
    <t>'SBRC #2'n_Sum</t>
  </si>
  <si>
    <t>'Spec Ed Def'n_Sum</t>
  </si>
  <si>
    <t>'Spec Ed Pos'n_Sum</t>
  </si>
  <si>
    <t>'AEA Spec Ed Red'n_Sum</t>
  </si>
  <si>
    <t>'Constr All'n_Sum</t>
  </si>
  <si>
    <t>'Unsp Constr'n_Sum</t>
  </si>
  <si>
    <t>L518_Sum</t>
  </si>
  <si>
    <t>L516_Sum</t>
  </si>
  <si>
    <t>MaximumDC_Sum</t>
  </si>
  <si>
    <t>L735_Sum</t>
  </si>
  <si>
    <t>L1027_Sum</t>
  </si>
  <si>
    <t>L1103_Sum</t>
  </si>
  <si>
    <t>'Misc Inc'n_Sum</t>
  </si>
  <si>
    <t>'UAB Prev FY12'n_Sum</t>
  </si>
  <si>
    <t>MaxAuthBud_Sum</t>
  </si>
  <si>
    <t>Exp_Sum</t>
  </si>
  <si>
    <t>UAB_Sum</t>
  </si>
  <si>
    <t>ADEL-DESOTO-MINBURN</t>
  </si>
  <si>
    <t>CLEAR CREEK-AMANA</t>
  </si>
  <si>
    <t>DIKE-NEW HARTFORD</t>
  </si>
  <si>
    <t>ENGLISH VALLEYS</t>
  </si>
  <si>
    <t>NODAWAY VALLEY</t>
  </si>
  <si>
    <t>07</t>
  </si>
  <si>
    <t>11</t>
  </si>
  <si>
    <t>13</t>
  </si>
  <si>
    <t>VAN BUREN</t>
  </si>
  <si>
    <t>FY13</t>
  </si>
  <si>
    <t>Person responsible for completing the FY 2018 School Budget Workbook</t>
  </si>
  <si>
    <t>Information to help fill out budget</t>
  </si>
  <si>
    <t>CashReserveLimit</t>
  </si>
  <si>
    <t>Maximum Cash Reserve Levy</t>
  </si>
  <si>
    <t>15.9 + 15.10</t>
  </si>
  <si>
    <t>Error Messages and Warnings to Correct Before Filing</t>
  </si>
  <si>
    <t>Property Tax</t>
  </si>
  <si>
    <t>Dollars Calculated</t>
  </si>
  <si>
    <t xml:space="preserve">State Aid </t>
  </si>
  <si>
    <t>Approved Weight</t>
  </si>
  <si>
    <t>TOTAL PRAIRIE LAKES AEA</t>
  </si>
  <si>
    <t xml:space="preserve">POCAHONTAS AREA </t>
  </si>
  <si>
    <t xml:space="preserve">GREENE COUNTY </t>
  </si>
  <si>
    <t xml:space="preserve">CLARION-GOLDFIELD-DOWS </t>
  </si>
  <si>
    <t xml:space="preserve">NORTH UNION </t>
  </si>
  <si>
    <t xml:space="preserve">ALGONA </t>
  </si>
  <si>
    <t>Minimum $30,000; Maximum $200,000</t>
  </si>
  <si>
    <t>Calculation is special ed enrollment X supplementary weight</t>
  </si>
  <si>
    <t>State Aid</t>
  </si>
  <si>
    <t>Grand TOTAL:</t>
  </si>
  <si>
    <t>line 4.58</t>
  </si>
  <si>
    <t xml:space="preserve">line 3.7 </t>
  </si>
  <si>
    <t xml:space="preserve">line 4.58 </t>
  </si>
  <si>
    <t>Cost PP</t>
  </si>
  <si>
    <t>Enrollment</t>
  </si>
  <si>
    <t>Weight</t>
  </si>
  <si>
    <t>Suppl Weight</t>
  </si>
  <si>
    <t>Special Ed Support</t>
  </si>
  <si>
    <t>Spec Ed</t>
  </si>
  <si>
    <t>Budget</t>
  </si>
  <si>
    <t>PRELIMINARY 01/05/2017</t>
  </si>
  <si>
    <t>Operational Sharing Weight - FY 2018 - Aid and Levy line 3.7</t>
  </si>
  <si>
    <t>Disolutions</t>
  </si>
  <si>
    <t>dist</t>
  </si>
  <si>
    <t>Control</t>
  </si>
  <si>
    <t>Notes</t>
  </si>
  <si>
    <t xml:space="preserve">Estimate Line 8.28 - Maximum Levy Rate </t>
  </si>
  <si>
    <t>Used 2% from forecast got 3.12217 to spend 33,724,545</t>
  </si>
  <si>
    <t>Estimate lower so used 3.10000 for A&amp;L - districts like to see rates as low as possible and do not mind if the formula raises the rate</t>
  </si>
  <si>
    <t>Estimate for Line 10.9 - Statewide Taxable valuation Per pupil</t>
  </si>
  <si>
    <t>Used 159,683,286,949 as statewide valuation to get a per pupil amount - from the desktop vals system as of 1-18-2017</t>
  </si>
  <si>
    <t>Caclulated 329,144 per pupil statewide</t>
  </si>
  <si>
    <t>Estimate higher so state aid portion is at a higher level so property tax is lower - districts like to see it</t>
  </si>
  <si>
    <t>Use 330,000 as the estimate</t>
  </si>
  <si>
    <t>MaximumDropoutPercent</t>
  </si>
  <si>
    <t>Instructional Support Income Surtax Rate (Lower Surtax Rate if Highlighted)</t>
  </si>
  <si>
    <t>Ed Improvement Income Surtax Rate (Lower Surtax Rate if Highlighted)</t>
  </si>
  <si>
    <t>Voted PPEL Income Surtax Rate  (Lower Surtax Rate if Highlighted)</t>
  </si>
  <si>
    <t>ControlCounty</t>
  </si>
  <si>
    <t>Reorganizations</t>
  </si>
  <si>
    <t>DE_DIST
Sub1</t>
  </si>
  <si>
    <t>DE_DIST
Sub2</t>
  </si>
  <si>
    <t>Dissolutions</t>
  </si>
  <si>
    <t>Titonka</t>
  </si>
  <si>
    <t>Sentral</t>
  </si>
  <si>
    <t>Dows</t>
  </si>
  <si>
    <t>Elk Horn-Kimbalton</t>
  </si>
  <si>
    <t>East Greene</t>
  </si>
  <si>
    <t>Rockwell City-Lytton</t>
  </si>
  <si>
    <t>Fredericksburg</t>
  </si>
  <si>
    <t>Ventura</t>
  </si>
  <si>
    <t>Farragut</t>
  </si>
  <si>
    <t>Click here to view Taxable Valuations By Individual Levy Authority</t>
  </si>
  <si>
    <t>Click here to view Taxable Valuations by Class by Levy Authority</t>
  </si>
  <si>
    <t>Click here to view 100% Valuations by Class by Levy Authority</t>
  </si>
  <si>
    <t xml:space="preserve">4. Commercial &amp; Industrial TIF Taxable Valuation (from InputsResults tab) </t>
  </si>
  <si>
    <t xml:space="preserve">3. Commercial &amp; Industrial Non-TIF Taxable Valuation (from InputsResults tab) </t>
  </si>
  <si>
    <t xml:space="preserve">2. Commercial &amp; Industrial TIF 100% Valuation (from InputsResults tab) </t>
  </si>
  <si>
    <t xml:space="preserve">1. Commercial &amp; Industrial Non-TIF 100% Valuation (from InputsResults tab) </t>
  </si>
  <si>
    <t>C&amp;I_EstimatedPayment</t>
  </si>
  <si>
    <t>DistNum</t>
  </si>
  <si>
    <t>Beginning in FY 2018, Commercial and Industrial replacement payments paid by the State of Iowa to local governments becomes limited by the total amount of payments made in FY 2017.  The limitation may cause all payments to local governments to be pro-rated.  The amount of proration necessary for the budget year will not be known until August, but the dropdown below will allow the estimated commercial &amp; industrial replacement payments to be reduced by a selected proration percentage.  The estimated FY 2017 payment amount is included in case you would like to prorate the FY 2018 replacement to be close to the FY 2017 estimate.</t>
  </si>
  <si>
    <t>Year</t>
  </si>
  <si>
    <t>Field</t>
  </si>
  <si>
    <t>AmountAdds on 3 zeros</t>
  </si>
  <si>
    <t>Export Area</t>
  </si>
  <si>
    <t>GettingReadytoExport</t>
  </si>
  <si>
    <t>Export</t>
  </si>
  <si>
    <t>Export Tab</t>
  </si>
  <si>
    <t>Just take area in column K and paste it into a text document</t>
  </si>
  <si>
    <t>Double check control counties and may have to join them in because you were using ones from FY17 and they may have changed.</t>
  </si>
  <si>
    <t>Had to multiply the rates by 100,000,000 so it would put in enough zeros.  I also had to round the PPEL amounts and grand total rate to 5 decimal places.</t>
  </si>
  <si>
    <t>Maximum Regular Physical Plant &amp; Equipment Levy</t>
  </si>
  <si>
    <t>6633</t>
  </si>
  <si>
    <t>6750</t>
  </si>
  <si>
    <t>5328</t>
  </si>
</sst>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43" formatCode="_(* #,##0.00_);_(* \(#,##0.00\);_(* &quot;-&quot;??_);_(@_)"/>
    <numFmt numFmtId="164" formatCode="#,###"/>
    <numFmt numFmtId="165" formatCode="#.00000"/>
    <numFmt numFmtId="166" formatCode="#.00"/>
    <numFmt numFmtId="167" formatCode="0.0"/>
    <numFmt numFmtId="168" formatCode="0.000"/>
    <numFmt numFmtId="169" formatCode="0000"/>
    <numFmt numFmtId="170" formatCode="00000"/>
    <numFmt numFmtId="171" formatCode="00"/>
    <numFmt numFmtId="172" formatCode="mmmm\ d\,\ yyyy"/>
    <numFmt numFmtId="173" formatCode="#,###.00;[Red]\(#,###.00\)"/>
    <numFmt numFmtId="174" formatCode="#.00000;[Red]#.00000"/>
    <numFmt numFmtId="175" formatCode="#,###.0;[Red]\(#,###.0\)"/>
    <numFmt numFmtId="176" formatCode="#,##0;[Red]\(#,##0\)"/>
    <numFmt numFmtId="177" formatCode="#,###;[Red]\(#,###\)"/>
    <numFmt numFmtId="178" formatCode="#,###.000;[Red]\(#,###.000\)"/>
    <numFmt numFmtId="179" formatCode=".0000;[Red]\(.0000\)"/>
    <numFmt numFmtId="180" formatCode=".00;[Red]\(.00\)"/>
    <numFmt numFmtId="181" formatCode="000"/>
    <numFmt numFmtId="182" formatCode="0.0%"/>
    <numFmt numFmtId="183" formatCode="0.0000"/>
    <numFmt numFmtId="184" formatCode="0.0000000"/>
    <numFmt numFmtId="185" formatCode="#,##0.0"/>
    <numFmt numFmtId="186" formatCode="m/d/yy"/>
    <numFmt numFmtId="187" formatCode="[$-409]mmmm\ d\,\ yyyy;@"/>
    <numFmt numFmtId="188" formatCode="0.00000"/>
    <numFmt numFmtId="189" formatCode="#,##0.000"/>
    <numFmt numFmtId="190" formatCode="mm\/dd/yy"/>
    <numFmt numFmtId="191" formatCode="[&lt;=9999999]###\-####;\(###\)\ ###\-####"/>
    <numFmt numFmtId="192" formatCode="&quot;ext.&quot;\ #"/>
    <numFmt numFmtId="193" formatCode="#,###.000;[Red]\(#,##0.000\)"/>
    <numFmt numFmtId="194" formatCode="#,##0.00;[Red]\(#,##0.00\)"/>
    <numFmt numFmtId="195" formatCode="_(* #,##0_);_(* \(#,##0\);_(* &quot;-&quot;??_);_(@_)"/>
    <numFmt numFmtId="196" formatCode="#,##0.000;[Red]\(#,###.000\)"/>
    <numFmt numFmtId="197" formatCode="#,##0.0;[Red]\(#,##0.0\)"/>
    <numFmt numFmtId="198" formatCode="#,##0.0;[Red]\(#,###.00\)"/>
    <numFmt numFmtId="199" formatCode="#,##0.00;[Red]\(#,###.00\)"/>
    <numFmt numFmtId="200" formatCode="#,##0.0;[Red]\(#,###.0\)"/>
    <numFmt numFmtId="201" formatCode="0.0000;[Red]\(#.0000\)"/>
    <numFmt numFmtId="202" formatCode="#,##0.000000;[Red]\(#,##0.000000\)"/>
    <numFmt numFmtId="203" formatCode="&quot;$&quot;#,##0"/>
    <numFmt numFmtId="204" formatCode="&quot;$&quot;#,##0.00"/>
  </numFmts>
  <fonts count="135" x14ac:knownFonts="1">
    <font>
      <sz val="8"/>
      <name val="Courier New"/>
    </font>
    <font>
      <sz val="11"/>
      <color theme="1"/>
      <name val="Calibri"/>
      <family val="2"/>
      <scheme val="minor"/>
    </font>
    <font>
      <sz val="8"/>
      <name val="Courier New"/>
      <family val="3"/>
    </font>
    <font>
      <sz val="14"/>
      <name val="Times New Roman"/>
      <family val="1"/>
    </font>
    <font>
      <sz val="10"/>
      <name val="Times New Roman"/>
      <family val="1"/>
    </font>
    <font>
      <sz val="8"/>
      <name val="Arial"/>
      <family val="2"/>
    </font>
    <font>
      <b/>
      <sz val="10"/>
      <name val="Times New Roman"/>
      <family val="1"/>
    </font>
    <font>
      <b/>
      <i/>
      <sz val="10"/>
      <name val="Times New Roman"/>
      <family val="1"/>
    </font>
    <font>
      <i/>
      <sz val="10"/>
      <name val="Times New Roman"/>
      <family val="1"/>
    </font>
    <font>
      <b/>
      <sz val="12"/>
      <name val="Times New Roman"/>
      <family val="1"/>
    </font>
    <font>
      <sz val="8"/>
      <name val="Arial"/>
      <family val="2"/>
    </font>
    <font>
      <sz val="8"/>
      <name val="Times New Roman"/>
      <family val="1"/>
    </font>
    <font>
      <sz val="10"/>
      <name val="MS Sans Serif"/>
      <family val="2"/>
    </font>
    <font>
      <sz val="9"/>
      <name val="Times New Roman"/>
      <family val="1"/>
    </font>
    <font>
      <b/>
      <sz val="11"/>
      <name val="Times New Roman"/>
      <family val="1"/>
    </font>
    <font>
      <sz val="11"/>
      <name val="Times New Roman"/>
      <family val="1"/>
    </font>
    <font>
      <b/>
      <sz val="10"/>
      <name val="Times New Roman"/>
      <family val="1"/>
    </font>
    <font>
      <sz val="10"/>
      <color indexed="12"/>
      <name val="Times New Roman"/>
      <family val="1"/>
    </font>
    <font>
      <sz val="10"/>
      <color indexed="12"/>
      <name val="Times New Roman"/>
      <family val="1"/>
    </font>
    <font>
      <sz val="10"/>
      <name val="Times New Roman"/>
      <family val="1"/>
    </font>
    <font>
      <b/>
      <sz val="10"/>
      <name val="Times New Roman"/>
      <family val="1"/>
    </font>
    <font>
      <sz val="9"/>
      <name val="Times New Roman"/>
      <family val="1"/>
    </font>
    <font>
      <sz val="10"/>
      <color indexed="12"/>
      <name val="Times New Roman"/>
      <family val="1"/>
    </font>
    <font>
      <sz val="12"/>
      <name val="Times New Roman"/>
      <family val="1"/>
    </font>
    <font>
      <sz val="6"/>
      <name val="Times New Roman"/>
      <family val="1"/>
    </font>
    <font>
      <b/>
      <sz val="6"/>
      <name val="Times New Roman"/>
      <family val="1"/>
    </font>
    <font>
      <sz val="9"/>
      <name val="Arial"/>
      <family val="2"/>
    </font>
    <font>
      <b/>
      <sz val="9"/>
      <name val="Times New Roman"/>
      <family val="1"/>
    </font>
    <font>
      <sz val="9"/>
      <color indexed="12"/>
      <name val="Times New Roman"/>
      <family val="1"/>
    </font>
    <font>
      <sz val="9"/>
      <color indexed="10"/>
      <name val="Times New Roman"/>
      <family val="1"/>
    </font>
    <font>
      <b/>
      <i/>
      <sz val="9"/>
      <name val="Times New Roman"/>
      <family val="1"/>
    </font>
    <font>
      <sz val="9"/>
      <color indexed="9"/>
      <name val="Times New Roman"/>
      <family val="1"/>
    </font>
    <font>
      <sz val="12"/>
      <name val="Courier New"/>
      <family val="3"/>
    </font>
    <font>
      <b/>
      <sz val="18"/>
      <name val="Times New Roman"/>
      <family val="1"/>
    </font>
    <font>
      <sz val="8"/>
      <name val="Times New Roman"/>
      <family val="1"/>
    </font>
    <font>
      <sz val="9"/>
      <name val="Times New Roman"/>
      <family val="1"/>
    </font>
    <font>
      <b/>
      <sz val="12"/>
      <name val="Times New Roman"/>
      <family val="1"/>
    </font>
    <font>
      <sz val="10"/>
      <name val="Arial"/>
      <family val="2"/>
    </font>
    <font>
      <u/>
      <sz val="10"/>
      <color indexed="12"/>
      <name val="Arial"/>
      <family val="2"/>
    </font>
    <font>
      <sz val="10"/>
      <name val="Arial Narrow"/>
      <family val="2"/>
    </font>
    <font>
      <b/>
      <sz val="10"/>
      <name val="Arial"/>
      <family val="2"/>
    </font>
    <font>
      <b/>
      <sz val="9"/>
      <name val="Arial"/>
      <family val="2"/>
    </font>
    <font>
      <sz val="9"/>
      <color indexed="12"/>
      <name val="Arial"/>
      <family val="2"/>
    </font>
    <font>
      <b/>
      <sz val="11"/>
      <name val="Arial"/>
      <family val="2"/>
    </font>
    <font>
      <b/>
      <sz val="8"/>
      <name val="Times New Roman"/>
      <family val="1"/>
    </font>
    <font>
      <sz val="8"/>
      <name val="Courier New"/>
      <family val="3"/>
    </font>
    <font>
      <sz val="8"/>
      <color indexed="81"/>
      <name val="Tahoma"/>
      <family val="2"/>
    </font>
    <font>
      <b/>
      <sz val="8"/>
      <color indexed="81"/>
      <name val="Tahoma"/>
      <family val="2"/>
    </font>
    <font>
      <sz val="10"/>
      <color indexed="12"/>
      <name val="Times New Roman"/>
      <family val="1"/>
    </font>
    <font>
      <sz val="8"/>
      <name val="Times New Roman"/>
      <family val="1"/>
    </font>
    <font>
      <sz val="10"/>
      <name val="Times New Roman"/>
      <family val="1"/>
    </font>
    <font>
      <sz val="6"/>
      <name val="Courier New"/>
      <family val="3"/>
    </font>
    <font>
      <sz val="6"/>
      <name val="Times New Roman"/>
      <family val="1"/>
    </font>
    <font>
      <sz val="10"/>
      <color indexed="9"/>
      <name val="Times New Roman"/>
      <family val="1"/>
    </font>
    <font>
      <b/>
      <sz val="6"/>
      <name val="Times New Roman"/>
      <family val="1"/>
    </font>
    <font>
      <sz val="8"/>
      <name val="Courier New"/>
      <family val="3"/>
    </font>
    <font>
      <sz val="10"/>
      <color indexed="8"/>
      <name val="Arial"/>
      <family val="2"/>
    </font>
    <font>
      <b/>
      <i/>
      <sz val="10"/>
      <name val="Times New Roman"/>
      <family val="1"/>
    </font>
    <font>
      <b/>
      <sz val="12"/>
      <color indexed="10"/>
      <name val="Arial"/>
      <family val="2"/>
    </font>
    <font>
      <u/>
      <sz val="16"/>
      <color indexed="12"/>
      <name val="Arial"/>
      <family val="2"/>
    </font>
    <font>
      <sz val="8"/>
      <color indexed="10"/>
      <name val="Courier New"/>
      <family val="3"/>
    </font>
    <font>
      <sz val="20"/>
      <name val="Times New Roman"/>
      <family val="1"/>
    </font>
    <font>
      <sz val="9.5"/>
      <name val="Times New Roman"/>
      <family val="1"/>
    </font>
    <font>
      <u/>
      <sz val="20"/>
      <color indexed="12"/>
      <name val="Arial"/>
      <family val="2"/>
    </font>
    <font>
      <sz val="12"/>
      <name val="Times New Roman"/>
      <family val="1"/>
    </font>
    <font>
      <b/>
      <sz val="16"/>
      <name val="Times New Roman"/>
      <family val="1"/>
    </font>
    <font>
      <i/>
      <sz val="8"/>
      <name val="Arial"/>
      <family val="2"/>
    </font>
    <font>
      <sz val="8"/>
      <name val="Cambria"/>
      <family val="1"/>
    </font>
    <font>
      <b/>
      <sz val="12"/>
      <name val="Arial"/>
      <family val="2"/>
    </font>
    <font>
      <b/>
      <i/>
      <sz val="10"/>
      <name val="Arial"/>
      <family val="2"/>
    </font>
    <font>
      <sz val="13"/>
      <name val="Times New Roman"/>
      <family val="1"/>
    </font>
    <font>
      <b/>
      <sz val="9.5"/>
      <name val="Times New Roman"/>
      <family val="1"/>
    </font>
    <font>
      <sz val="10"/>
      <name val="Cambria"/>
      <family val="1"/>
    </font>
    <font>
      <sz val="9"/>
      <color indexed="81"/>
      <name val="Tahoma"/>
      <family val="2"/>
    </font>
    <font>
      <b/>
      <sz val="9"/>
      <color indexed="81"/>
      <name val="Tahoma"/>
      <family val="2"/>
    </font>
    <font>
      <b/>
      <sz val="10"/>
      <color indexed="12"/>
      <name val="Times New Roman"/>
      <family val="1"/>
    </font>
    <font>
      <u/>
      <sz val="10"/>
      <color indexed="12"/>
      <name val="Times New Roman"/>
      <family val="1"/>
    </font>
    <font>
      <sz val="10"/>
      <name val="Arial"/>
      <family val="2"/>
    </font>
    <font>
      <sz val="8"/>
      <name val="Courier New"/>
      <family val="3"/>
    </font>
    <font>
      <sz val="10"/>
      <color rgb="FF000000"/>
      <name val="Times New Roman"/>
      <family val="1"/>
    </font>
    <font>
      <sz val="8"/>
      <color theme="1"/>
      <name val="Courier New"/>
      <family val="3"/>
    </font>
    <font>
      <sz val="2"/>
      <color theme="0"/>
      <name val="Times New Roman"/>
      <family val="1"/>
    </font>
    <font>
      <sz val="9"/>
      <color theme="0"/>
      <name val="Times New Roman"/>
      <family val="1"/>
    </font>
    <font>
      <sz val="10"/>
      <color rgb="FF0000FF"/>
      <name val="Times New Roman"/>
      <family val="1"/>
    </font>
    <font>
      <sz val="8"/>
      <color rgb="FF0000FF"/>
      <name val="Times New Roman"/>
      <family val="1"/>
    </font>
    <font>
      <sz val="11"/>
      <color rgb="FF000000"/>
      <name val="Calibri"/>
      <family val="2"/>
      <scheme val="minor"/>
    </font>
    <font>
      <sz val="8"/>
      <name val="Courier New"/>
      <family val="3"/>
    </font>
    <font>
      <sz val="14"/>
      <color rgb="FF0000FF"/>
      <name val="Times New Roman"/>
      <family val="1"/>
    </font>
    <font>
      <sz val="8"/>
      <color theme="1"/>
      <name val="Courier New"/>
      <family val="3"/>
    </font>
    <font>
      <b/>
      <sz val="8"/>
      <name val="Courier New"/>
      <family val="3"/>
    </font>
    <font>
      <b/>
      <sz val="8"/>
      <color theme="1"/>
      <name val="Courier New"/>
      <family val="3"/>
    </font>
    <font>
      <sz val="10"/>
      <color rgb="FFFF0000"/>
      <name val="Times New Roman"/>
      <family val="1"/>
    </font>
    <font>
      <sz val="7"/>
      <name val="Courier New"/>
      <family val="3"/>
    </font>
    <font>
      <u/>
      <sz val="10"/>
      <name val="Times New Roman"/>
      <family val="1"/>
    </font>
    <font>
      <b/>
      <sz val="12"/>
      <color rgb="FFFF0000"/>
      <name val="Times New Roman"/>
      <family val="1"/>
    </font>
    <font>
      <sz val="9.5"/>
      <color rgb="FF0000FF"/>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font>
    <font>
      <sz val="12"/>
      <color theme="1"/>
      <name val="Calibri"/>
      <family val="2"/>
    </font>
    <font>
      <sz val="12"/>
      <color theme="0"/>
      <name val="Calibri"/>
      <family val="2"/>
    </font>
    <font>
      <sz val="12"/>
      <color rgb="FF9C0006"/>
      <name val="Calibri"/>
      <family val="2"/>
    </font>
    <font>
      <b/>
      <sz val="12"/>
      <color rgb="FFFA7D00"/>
      <name val="Calibri"/>
      <family val="2"/>
    </font>
    <font>
      <b/>
      <sz val="12"/>
      <color theme="0"/>
      <name val="Calibri"/>
      <family val="2"/>
    </font>
    <font>
      <i/>
      <sz val="12"/>
      <color rgb="FF7F7F7F"/>
      <name val="Calibri"/>
      <family val="2"/>
    </font>
    <font>
      <sz val="12"/>
      <color rgb="FF006100"/>
      <name val="Calibri"/>
      <family val="2"/>
    </font>
    <font>
      <b/>
      <sz val="15"/>
      <color theme="3"/>
      <name val="Calibri"/>
      <family val="2"/>
    </font>
    <font>
      <b/>
      <sz val="13"/>
      <color theme="3"/>
      <name val="Calibri"/>
      <family val="2"/>
    </font>
    <font>
      <b/>
      <sz val="11"/>
      <color theme="3"/>
      <name val="Calibri"/>
      <family val="2"/>
    </font>
    <font>
      <sz val="12"/>
      <color rgb="FF3F3F76"/>
      <name val="Calibri"/>
      <family val="2"/>
    </font>
    <font>
      <sz val="12"/>
      <color rgb="FFFA7D00"/>
      <name val="Calibri"/>
      <family val="2"/>
    </font>
    <font>
      <sz val="12"/>
      <color rgb="FF9C6500"/>
      <name val="Calibri"/>
      <family val="2"/>
    </font>
    <font>
      <b/>
      <sz val="12"/>
      <color rgb="FF3F3F3F"/>
      <name val="Calibri"/>
      <family val="2"/>
    </font>
    <font>
      <sz val="12"/>
      <color rgb="FFFF0000"/>
      <name val="Calibri"/>
      <family val="2"/>
    </font>
    <font>
      <sz val="8"/>
      <color theme="1"/>
      <name val="Courier New"/>
      <family val="2"/>
    </font>
    <font>
      <sz val="8"/>
      <color theme="1"/>
      <name val="Courier New"/>
      <family val="3"/>
    </font>
    <font>
      <b/>
      <sz val="10"/>
      <name val="Courier New"/>
      <family val="3"/>
    </font>
    <font>
      <b/>
      <i/>
      <sz val="10"/>
      <name val="Courier New"/>
      <family val="3"/>
    </font>
    <font>
      <b/>
      <sz val="14"/>
      <color indexed="81"/>
      <name val="Tahoma"/>
      <family val="2"/>
    </font>
    <font>
      <b/>
      <sz val="10"/>
      <name val="MS Sans Serif"/>
      <family val="2"/>
    </font>
    <font>
      <sz val="8"/>
      <color theme="1"/>
      <name val="Courier New"/>
      <family val="3"/>
    </font>
  </fonts>
  <fills count="47">
    <fill>
      <patternFill patternType="none"/>
    </fill>
    <fill>
      <patternFill patternType="gray125"/>
    </fill>
    <fill>
      <patternFill patternType="solid">
        <fgColor indexed="43"/>
        <bgColor indexed="64"/>
      </patternFill>
    </fill>
    <fill>
      <patternFill patternType="solid">
        <fgColor rgb="FFFFFF00"/>
        <bgColor indexed="64"/>
      </patternFill>
    </fill>
    <fill>
      <patternFill patternType="solid">
        <fgColor rgb="FFFFFF99"/>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FFF66"/>
        <bgColor indexed="64"/>
      </patternFill>
    </fill>
    <fill>
      <patternFill patternType="solid">
        <fgColor rgb="FFFF000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theme="7" tint="0.79998168889431442"/>
      </patternFill>
    </fill>
    <fill>
      <patternFill patternType="solid">
        <fgColor rgb="FFFFC000"/>
        <bgColor indexed="64"/>
      </patternFill>
    </fill>
    <fill>
      <patternFill patternType="solid">
        <fgColor theme="5" tint="0.39997558519241921"/>
        <bgColor indexed="64"/>
      </patternFill>
    </fill>
    <fill>
      <patternFill patternType="solid">
        <fgColor theme="8" tint="0.79998168889431442"/>
        <bgColor indexed="64"/>
      </patternFill>
    </fill>
  </fills>
  <borders count="53">
    <border>
      <left/>
      <right/>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7" tint="0.39997558519241921"/>
      </top>
      <bottom style="thin">
        <color theme="7" tint="0.39997558519241921"/>
      </bottom>
      <diagonal/>
    </border>
  </borders>
  <cellStyleXfs count="151">
    <xf numFmtId="0" fontId="0" fillId="0" borderId="0"/>
    <xf numFmtId="0" fontId="38" fillId="0" borderId="0" applyNumberFormat="0" applyFill="0" applyBorder="0" applyAlignment="0" applyProtection="0">
      <alignment vertical="top"/>
      <protection locked="0"/>
    </xf>
    <xf numFmtId="0" fontId="79" fillId="0" borderId="0"/>
    <xf numFmtId="0" fontId="45" fillId="0" borderId="0"/>
    <xf numFmtId="0" fontId="77" fillId="0" borderId="0"/>
    <xf numFmtId="0" fontId="56" fillId="0" borderId="0"/>
    <xf numFmtId="0" fontId="37" fillId="0" borderId="0"/>
    <xf numFmtId="0" fontId="37" fillId="0" borderId="0"/>
    <xf numFmtId="0" fontId="12" fillId="0" borderId="0"/>
    <xf numFmtId="43" fontId="86" fillId="0" borderId="0" applyFont="0" applyFill="0" applyBorder="0" applyAlignment="0" applyProtection="0"/>
    <xf numFmtId="0" fontId="2" fillId="0" borderId="0"/>
    <xf numFmtId="0" fontId="2" fillId="0" borderId="0"/>
    <xf numFmtId="0" fontId="37" fillId="0" borderId="0"/>
    <xf numFmtId="43" fontId="2" fillId="0" borderId="0" applyFont="0" applyFill="0" applyBorder="0" applyAlignment="0" applyProtection="0"/>
    <xf numFmtId="0" fontId="96" fillId="0" borderId="0" applyNumberFormat="0" applyFill="0" applyBorder="0" applyAlignment="0" applyProtection="0"/>
    <xf numFmtId="0" fontId="97" fillId="0" borderId="43" applyNumberFormat="0" applyFill="0" applyAlignment="0" applyProtection="0"/>
    <xf numFmtId="0" fontId="98" fillId="0" borderId="44" applyNumberFormat="0" applyFill="0" applyAlignment="0" applyProtection="0"/>
    <xf numFmtId="0" fontId="99" fillId="0" borderId="45" applyNumberFormat="0" applyFill="0" applyAlignment="0" applyProtection="0"/>
    <xf numFmtId="0" fontId="99" fillId="0" borderId="0" applyNumberFormat="0" applyFill="0" applyBorder="0" applyAlignment="0" applyProtection="0"/>
    <xf numFmtId="0" fontId="100" fillId="12" borderId="0" applyNumberFormat="0" applyBorder="0" applyAlignment="0" applyProtection="0"/>
    <xf numFmtId="0" fontId="101" fillId="13" borderId="0" applyNumberFormat="0" applyBorder="0" applyAlignment="0" applyProtection="0"/>
    <xf numFmtId="0" fontId="102" fillId="14" borderId="0" applyNumberFormat="0" applyBorder="0" applyAlignment="0" applyProtection="0"/>
    <xf numFmtId="0" fontId="103" fillId="15" borderId="46" applyNumberFormat="0" applyAlignment="0" applyProtection="0"/>
    <xf numFmtId="0" fontId="104" fillId="16" borderId="47" applyNumberFormat="0" applyAlignment="0" applyProtection="0"/>
    <xf numFmtId="0" fontId="105" fillId="16" borderId="46" applyNumberFormat="0" applyAlignment="0" applyProtection="0"/>
    <xf numFmtId="0" fontId="106" fillId="0" borderId="48" applyNumberFormat="0" applyFill="0" applyAlignment="0" applyProtection="0"/>
    <xf numFmtId="0" fontId="107" fillId="17" borderId="49" applyNumberFormat="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10" fillId="0" borderId="51" applyNumberFormat="0" applyFill="0" applyAlignment="0" applyProtection="0"/>
    <xf numFmtId="0" fontId="11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11" fillId="22" borderId="0" applyNumberFormat="0" applyBorder="0" applyAlignment="0" applyProtection="0"/>
    <xf numFmtId="0" fontId="11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11" fillId="26" borderId="0" applyNumberFormat="0" applyBorder="0" applyAlignment="0" applyProtection="0"/>
    <xf numFmtId="0" fontId="11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11" fillId="30" borderId="0" applyNumberFormat="0" applyBorder="0" applyAlignment="0" applyProtection="0"/>
    <xf numFmtId="0" fontId="11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11" fillId="34" borderId="0" applyNumberFormat="0" applyBorder="0" applyAlignment="0" applyProtection="0"/>
    <xf numFmtId="0" fontId="11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11" fillId="38" borderId="0" applyNumberFormat="0" applyBorder="0" applyAlignment="0" applyProtection="0"/>
    <xf numFmtId="0" fontId="11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11" fillId="42" borderId="0" applyNumberFormat="0" applyBorder="0" applyAlignment="0" applyProtection="0"/>
    <xf numFmtId="0" fontId="1" fillId="0" borderId="0"/>
    <xf numFmtId="0" fontId="1" fillId="18" borderId="50" applyNumberFormat="0" applyFont="0" applyAlignment="0" applyProtection="0"/>
    <xf numFmtId="0" fontId="37" fillId="0" borderId="0"/>
    <xf numFmtId="0" fontId="1" fillId="0" borderId="0"/>
    <xf numFmtId="0" fontId="1" fillId="0" borderId="0"/>
    <xf numFmtId="0" fontId="79" fillId="0" borderId="0"/>
    <xf numFmtId="0" fontId="113" fillId="28"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40" borderId="0" applyNumberFormat="0" applyBorder="0" applyAlignment="0" applyProtection="0"/>
    <xf numFmtId="0" fontId="113" fillId="20" borderId="0" applyNumberFormat="0" applyBorder="0" applyAlignment="0" applyProtection="0"/>
    <xf numFmtId="0" fontId="1" fillId="32" borderId="0" applyNumberFormat="0" applyBorder="0" applyAlignment="0" applyProtection="0"/>
    <xf numFmtId="0" fontId="114" fillId="19" borderId="0" applyNumberFormat="0" applyBorder="0" applyAlignment="0" applyProtection="0"/>
    <xf numFmtId="0" fontId="111" fillId="22" borderId="0" applyNumberFormat="0" applyBorder="0" applyAlignment="0" applyProtection="0"/>
    <xf numFmtId="0" fontId="113" fillId="32" borderId="0" applyNumberFormat="0" applyBorder="0" applyAlignment="0" applyProtection="0"/>
    <xf numFmtId="0" fontId="111" fillId="19" borderId="0" applyNumberFormat="0" applyBorder="0" applyAlignment="0" applyProtection="0"/>
    <xf numFmtId="0" fontId="1" fillId="24" borderId="0" applyNumberFormat="0" applyBorder="0" applyAlignment="0" applyProtection="0"/>
    <xf numFmtId="0" fontId="114" fillId="34" borderId="0" applyNumberFormat="0" applyBorder="0" applyAlignment="0" applyProtection="0"/>
    <xf numFmtId="0" fontId="1" fillId="21" borderId="0" applyNumberFormat="0" applyBorder="0" applyAlignment="0" applyProtection="0"/>
    <xf numFmtId="0" fontId="113" fillId="41" borderId="0" applyNumberFormat="0" applyBorder="0" applyAlignment="0" applyProtection="0"/>
    <xf numFmtId="0" fontId="113" fillId="29" borderId="0" applyNumberFormat="0" applyBorder="0" applyAlignment="0" applyProtection="0"/>
    <xf numFmtId="0" fontId="111" fillId="38" borderId="0" applyNumberFormat="0" applyBorder="0" applyAlignment="0" applyProtection="0"/>
    <xf numFmtId="0" fontId="113" fillId="24" borderId="0" applyNumberFormat="0" applyBorder="0" applyAlignment="0" applyProtection="0"/>
    <xf numFmtId="0" fontId="1" fillId="33" borderId="0" applyNumberFormat="0" applyBorder="0" applyAlignment="0" applyProtection="0"/>
    <xf numFmtId="0" fontId="113" fillId="33" borderId="0" applyNumberFormat="0" applyBorder="0" applyAlignment="0" applyProtection="0"/>
    <xf numFmtId="0" fontId="111" fillId="23" borderId="0" applyNumberFormat="0" applyBorder="0" applyAlignment="0" applyProtection="0"/>
    <xf numFmtId="0" fontId="114" fillId="30" borderId="0" applyNumberFormat="0" applyBorder="0" applyAlignment="0" applyProtection="0"/>
    <xf numFmtId="0" fontId="111" fillId="34" borderId="0" applyNumberFormat="0" applyBorder="0" applyAlignment="0" applyProtection="0"/>
    <xf numFmtId="0" fontId="114" fillId="22"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14" fillId="42" borderId="0" applyNumberFormat="0" applyBorder="0" applyAlignment="0" applyProtection="0"/>
    <xf numFmtId="0" fontId="111" fillId="26" borderId="0" applyNumberFormat="0" applyBorder="0" applyAlignment="0" applyProtection="0"/>
    <xf numFmtId="0" fontId="113" fillId="36" borderId="0" applyNumberFormat="0" applyBorder="0" applyAlignment="0" applyProtection="0"/>
    <xf numFmtId="0" fontId="113" fillId="21" borderId="0" applyNumberFormat="0" applyBorder="0" applyAlignment="0" applyProtection="0"/>
    <xf numFmtId="0" fontId="1" fillId="36" borderId="0" applyNumberFormat="0" applyBorder="0" applyAlignment="0" applyProtection="0"/>
    <xf numFmtId="0" fontId="111" fillId="42" borderId="0" applyNumberFormat="0" applyBorder="0" applyAlignment="0" applyProtection="0"/>
    <xf numFmtId="0" fontId="111" fillId="30" borderId="0" applyNumberFormat="0" applyBorder="0" applyAlignment="0" applyProtection="0"/>
    <xf numFmtId="0" fontId="1" fillId="41" borderId="0" applyNumberFormat="0" applyBorder="0" applyAlignment="0" applyProtection="0"/>
    <xf numFmtId="0" fontId="113" fillId="25" borderId="0" applyNumberFormat="0" applyBorder="0" applyAlignment="0" applyProtection="0"/>
    <xf numFmtId="0" fontId="114" fillId="38" borderId="0" applyNumberFormat="0" applyBorder="0" applyAlignment="0" applyProtection="0"/>
    <xf numFmtId="0" fontId="114" fillId="26" borderId="0" applyNumberFormat="0" applyBorder="0" applyAlignment="0" applyProtection="0"/>
    <xf numFmtId="0" fontId="113" fillId="37" borderId="0" applyNumberFormat="0" applyBorder="0" applyAlignment="0" applyProtection="0"/>
    <xf numFmtId="0" fontId="1" fillId="20" borderId="0" applyNumberFormat="0" applyBorder="0" applyAlignment="0" applyProtection="0"/>
    <xf numFmtId="0" fontId="113" fillId="40" borderId="0" applyNumberFormat="0" applyBorder="0" applyAlignment="0" applyProtection="0"/>
    <xf numFmtId="0" fontId="114" fillId="23" borderId="0" applyNumberFormat="0" applyBorder="0" applyAlignment="0" applyProtection="0"/>
    <xf numFmtId="0" fontId="111" fillId="27" borderId="0" applyNumberFormat="0" applyBorder="0" applyAlignment="0" applyProtection="0"/>
    <xf numFmtId="0" fontId="114" fillId="27" borderId="0" applyNumberFormat="0" applyBorder="0" applyAlignment="0" applyProtection="0"/>
    <xf numFmtId="0" fontId="111" fillId="31" borderId="0" applyNumberFormat="0" applyBorder="0" applyAlignment="0" applyProtection="0"/>
    <xf numFmtId="0" fontId="114" fillId="31" borderId="0" applyNumberFormat="0" applyBorder="0" applyAlignment="0" applyProtection="0"/>
    <xf numFmtId="0" fontId="111" fillId="35" borderId="0" applyNumberFormat="0" applyBorder="0" applyAlignment="0" applyProtection="0"/>
    <xf numFmtId="0" fontId="114" fillId="35" borderId="0" applyNumberFormat="0" applyBorder="0" applyAlignment="0" applyProtection="0"/>
    <xf numFmtId="0" fontId="111" fillId="39" borderId="0" applyNumberFormat="0" applyBorder="0" applyAlignment="0" applyProtection="0"/>
    <xf numFmtId="0" fontId="114" fillId="39" borderId="0" applyNumberFormat="0" applyBorder="0" applyAlignment="0" applyProtection="0"/>
    <xf numFmtId="0" fontId="101" fillId="13" borderId="0" applyNumberFormat="0" applyBorder="0" applyAlignment="0" applyProtection="0"/>
    <xf numFmtId="0" fontId="115" fillId="13" borderId="0" applyNumberFormat="0" applyBorder="0" applyAlignment="0" applyProtection="0"/>
    <xf numFmtId="0" fontId="105" fillId="16" borderId="46" applyNumberFormat="0" applyAlignment="0" applyProtection="0"/>
    <xf numFmtId="0" fontId="116" fillId="16" borderId="46" applyNumberFormat="0" applyAlignment="0" applyProtection="0"/>
    <xf numFmtId="0" fontId="107" fillId="17" borderId="49" applyNumberFormat="0" applyAlignment="0" applyProtection="0"/>
    <xf numFmtId="0" fontId="117" fillId="17" borderId="49" applyNumberFormat="0" applyAlignment="0" applyProtection="0"/>
    <xf numFmtId="43" fontId="1" fillId="0" borderId="0" applyFont="0" applyFill="0" applyBorder="0" applyAlignment="0" applyProtection="0"/>
    <xf numFmtId="0" fontId="109" fillId="0" borderId="0" applyNumberFormat="0" applyFill="0" applyBorder="0" applyAlignment="0" applyProtection="0"/>
    <xf numFmtId="0" fontId="118" fillId="0" borderId="0" applyNumberFormat="0" applyFill="0" applyBorder="0" applyAlignment="0" applyProtection="0"/>
    <xf numFmtId="0" fontId="100" fillId="12" borderId="0" applyNumberFormat="0" applyBorder="0" applyAlignment="0" applyProtection="0"/>
    <xf numFmtId="0" fontId="119" fillId="12" borderId="0" applyNumberFormat="0" applyBorder="0" applyAlignment="0" applyProtection="0"/>
    <xf numFmtId="0" fontId="97" fillId="0" borderId="43" applyNumberFormat="0" applyFill="0" applyAlignment="0" applyProtection="0"/>
    <xf numFmtId="0" fontId="120" fillId="0" borderId="43" applyNumberFormat="0" applyFill="0" applyAlignment="0" applyProtection="0"/>
    <xf numFmtId="0" fontId="98" fillId="0" borderId="44" applyNumberFormat="0" applyFill="0" applyAlignment="0" applyProtection="0"/>
    <xf numFmtId="0" fontId="121" fillId="0" borderId="44" applyNumberFormat="0" applyFill="0" applyAlignment="0" applyProtection="0"/>
    <xf numFmtId="0" fontId="99" fillId="0" borderId="45" applyNumberFormat="0" applyFill="0" applyAlignment="0" applyProtection="0"/>
    <xf numFmtId="0" fontId="122" fillId="0" borderId="45" applyNumberFormat="0" applyFill="0" applyAlignment="0" applyProtection="0"/>
    <xf numFmtId="0" fontId="99" fillId="0" borderId="0" applyNumberFormat="0" applyFill="0" applyBorder="0" applyAlignment="0" applyProtection="0"/>
    <xf numFmtId="0" fontId="122" fillId="0" borderId="0" applyNumberFormat="0" applyFill="0" applyBorder="0" applyAlignment="0" applyProtection="0"/>
    <xf numFmtId="0" fontId="103" fillId="15" borderId="46" applyNumberFormat="0" applyAlignment="0" applyProtection="0"/>
    <xf numFmtId="0" fontId="123" fillId="15" borderId="46" applyNumberFormat="0" applyAlignment="0" applyProtection="0"/>
    <xf numFmtId="0" fontId="106" fillId="0" borderId="48" applyNumberFormat="0" applyFill="0" applyAlignment="0" applyProtection="0"/>
    <xf numFmtId="0" fontId="124" fillId="0" borderId="48" applyNumberFormat="0" applyFill="0" applyAlignment="0" applyProtection="0"/>
    <xf numFmtId="0" fontId="102" fillId="14" borderId="0" applyNumberFormat="0" applyBorder="0" applyAlignment="0" applyProtection="0"/>
    <xf numFmtId="0" fontId="125" fillId="14" borderId="0" applyNumberFormat="0" applyBorder="0" applyAlignment="0" applyProtection="0"/>
    <xf numFmtId="0" fontId="1" fillId="18" borderId="50" applyNumberFormat="0" applyFont="0" applyAlignment="0" applyProtection="0"/>
    <xf numFmtId="0" fontId="113" fillId="18" borderId="50" applyNumberFormat="0" applyFont="0" applyAlignment="0" applyProtection="0"/>
    <xf numFmtId="0" fontId="104" fillId="16" borderId="47" applyNumberFormat="0" applyAlignment="0" applyProtection="0"/>
    <xf numFmtId="0" fontId="126" fillId="16" borderId="47" applyNumberFormat="0" applyAlignment="0" applyProtection="0"/>
    <xf numFmtId="0" fontId="110" fillId="0" borderId="51" applyNumberFormat="0" applyFill="0" applyAlignment="0" applyProtection="0"/>
    <xf numFmtId="0" fontId="112" fillId="0" borderId="51" applyNumberFormat="0" applyFill="0" applyAlignment="0" applyProtection="0"/>
    <xf numFmtId="0" fontId="108" fillId="0" borderId="0" applyNumberFormat="0" applyFill="0" applyBorder="0" applyAlignment="0" applyProtection="0"/>
    <xf numFmtId="0" fontId="127" fillId="0" borderId="0" applyNumberFormat="0" applyFill="0" applyBorder="0" applyAlignment="0" applyProtection="0"/>
    <xf numFmtId="0" fontId="128" fillId="0" borderId="0"/>
    <xf numFmtId="0" fontId="79" fillId="0" borderId="0"/>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1" fillId="0" borderId="0"/>
    <xf numFmtId="0" fontId="79" fillId="0" borderId="0"/>
    <xf numFmtId="0" fontId="56" fillId="0" borderId="0">
      <alignment vertical="top"/>
    </xf>
    <xf numFmtId="9" fontId="2" fillId="0" borderId="0" applyFont="0" applyFill="0" applyBorder="0" applyAlignment="0" applyProtection="0"/>
  </cellStyleXfs>
  <cellXfs count="970">
    <xf numFmtId="0" fontId="0" fillId="0" borderId="0" xfId="0"/>
    <xf numFmtId="0" fontId="4" fillId="0" borderId="0" xfId="0" applyFont="1" applyAlignment="1">
      <alignment horizontal="centerContinuous"/>
    </xf>
    <xf numFmtId="0" fontId="4" fillId="0" borderId="0" xfId="0" applyFont="1"/>
    <xf numFmtId="0" fontId="5" fillId="0" borderId="0" xfId="0" applyFont="1"/>
    <xf numFmtId="0" fontId="4" fillId="0" borderId="1" xfId="0" applyFont="1" applyBorder="1"/>
    <xf numFmtId="0" fontId="4" fillId="0" borderId="2" xfId="0" applyFont="1" applyBorder="1"/>
    <xf numFmtId="0" fontId="4" fillId="0" borderId="3" xfId="0" applyFont="1" applyBorder="1"/>
    <xf numFmtId="0" fontId="6" fillId="0" borderId="1" xfId="0" applyFont="1" applyBorder="1"/>
    <xf numFmtId="0" fontId="7" fillId="0" borderId="1" xfId="0" applyFont="1" applyBorder="1"/>
    <xf numFmtId="0" fontId="8" fillId="0" borderId="0" xfId="0" applyFont="1"/>
    <xf numFmtId="0" fontId="9" fillId="0" borderId="0" xfId="0" applyFont="1" applyAlignment="1">
      <alignment horizontal="centerContinuous"/>
    </xf>
    <xf numFmtId="0" fontId="10" fillId="0" borderId="0" xfId="0" applyFont="1" applyAlignment="1"/>
    <xf numFmtId="0" fontId="6" fillId="0" borderId="0" xfId="0" applyFont="1" applyAlignment="1">
      <alignment horizontal="centerContinuous"/>
    </xf>
    <xf numFmtId="0" fontId="4" fillId="0" borderId="0" xfId="0" applyFont="1" applyBorder="1"/>
    <xf numFmtId="0" fontId="4" fillId="0" borderId="4" xfId="0" applyFont="1" applyBorder="1"/>
    <xf numFmtId="0" fontId="4" fillId="0" borderId="0" xfId="0" applyFont="1" applyAlignment="1">
      <alignment horizontal="left"/>
    </xf>
    <xf numFmtId="0" fontId="4" fillId="0" borderId="0" xfId="0" applyFont="1" applyBorder="1" applyProtection="1"/>
    <xf numFmtId="0" fontId="5" fillId="0" borderId="0" xfId="0" applyFont="1" applyAlignment="1">
      <alignment horizontal="left"/>
    </xf>
    <xf numFmtId="164" fontId="4" fillId="0" borderId="0" xfId="0" applyNumberFormat="1" applyFont="1"/>
    <xf numFmtId="0" fontId="4" fillId="0" borderId="5" xfId="0" applyFont="1" applyBorder="1"/>
    <xf numFmtId="0" fontId="6" fillId="0" borderId="0" xfId="0" applyFont="1" applyAlignment="1">
      <alignment horizontal="left"/>
    </xf>
    <xf numFmtId="164" fontId="4" fillId="0" borderId="4" xfId="0" applyNumberFormat="1" applyFont="1" applyBorder="1" applyAlignment="1">
      <alignment horizontal="center"/>
    </xf>
    <xf numFmtId="0" fontId="4" fillId="0" borderId="6" xfId="0" applyFont="1" applyBorder="1"/>
    <xf numFmtId="0" fontId="4" fillId="0" borderId="7" xfId="0" applyFont="1" applyBorder="1" applyAlignment="1">
      <alignment horizontal="left"/>
    </xf>
    <xf numFmtId="0" fontId="4" fillId="0" borderId="8" xfId="0" applyFont="1" applyBorder="1"/>
    <xf numFmtId="0" fontId="6" fillId="0" borderId="9" xfId="0" applyFont="1" applyBorder="1" applyAlignment="1">
      <alignment horizontal="left"/>
    </xf>
    <xf numFmtId="0" fontId="4" fillId="0" borderId="0" xfId="0" applyFont="1" applyAlignment="1">
      <alignment horizontal="center"/>
    </xf>
    <xf numFmtId="49" fontId="4" fillId="0" borderId="0" xfId="0" applyNumberFormat="1" applyFont="1"/>
    <xf numFmtId="0" fontId="11" fillId="0" borderId="0" xfId="0" applyFont="1"/>
    <xf numFmtId="0" fontId="4" fillId="0" borderId="0" xfId="8" applyFont="1"/>
    <xf numFmtId="0" fontId="4" fillId="0" borderId="0" xfId="8" applyFont="1" applyProtection="1"/>
    <xf numFmtId="0" fontId="4" fillId="0" borderId="0" xfId="0" applyFont="1" applyProtection="1"/>
    <xf numFmtId="49" fontId="4" fillId="0" borderId="0" xfId="0" applyNumberFormat="1" applyFont="1" applyProtection="1"/>
    <xf numFmtId="169" fontId="4" fillId="0" borderId="0" xfId="0" applyNumberFormat="1" applyFont="1" applyProtection="1"/>
    <xf numFmtId="0" fontId="5" fillId="0" borderId="0" xfId="0" applyFont="1" applyAlignment="1" applyProtection="1">
      <alignment horizontal="left"/>
    </xf>
    <xf numFmtId="164" fontId="4" fillId="0" borderId="0" xfId="0" applyNumberFormat="1" applyFont="1" applyProtection="1"/>
    <xf numFmtId="0" fontId="4" fillId="0" borderId="0" xfId="0" applyFont="1" applyAlignment="1" applyProtection="1">
      <alignment horizontal="left"/>
    </xf>
    <xf numFmtId="0" fontId="4" fillId="0" borderId="5" xfId="0" applyFont="1" applyBorder="1" applyProtection="1"/>
    <xf numFmtId="0" fontId="6" fillId="0" borderId="0" xfId="0" applyFont="1" applyAlignment="1" applyProtection="1">
      <alignment horizontal="left"/>
    </xf>
    <xf numFmtId="164" fontId="4" fillId="0" borderId="10" xfId="0" applyNumberFormat="1" applyFont="1" applyBorder="1" applyAlignment="1" applyProtection="1">
      <alignment horizontal="center"/>
    </xf>
    <xf numFmtId="0" fontId="4" fillId="0" borderId="6" xfId="0" applyFont="1" applyBorder="1" applyProtection="1"/>
    <xf numFmtId="169" fontId="4" fillId="0" borderId="0" xfId="0" applyNumberFormat="1" applyFont="1"/>
    <xf numFmtId="0" fontId="13" fillId="0" borderId="0" xfId="8" applyFont="1" applyProtection="1"/>
    <xf numFmtId="0" fontId="13" fillId="0" borderId="0" xfId="8" applyFont="1" applyAlignment="1" applyProtection="1">
      <alignment horizontal="right"/>
    </xf>
    <xf numFmtId="0" fontId="14" fillId="0" borderId="0" xfId="8" applyFont="1" applyAlignment="1" applyProtection="1">
      <alignment horizontal="centerContinuous"/>
    </xf>
    <xf numFmtId="0" fontId="4" fillId="0" borderId="0" xfId="8" applyFont="1" applyAlignment="1" applyProtection="1">
      <alignment horizontal="centerContinuous"/>
    </xf>
    <xf numFmtId="0" fontId="4" fillId="0" borderId="11" xfId="8" applyFont="1" applyBorder="1" applyAlignment="1" applyProtection="1">
      <alignment wrapText="1"/>
      <protection locked="0"/>
    </xf>
    <xf numFmtId="49" fontId="4" fillId="0" borderId="3" xfId="0" applyNumberFormat="1" applyFont="1" applyBorder="1"/>
    <xf numFmtId="0" fontId="4" fillId="0" borderId="0" xfId="8" applyFont="1" applyBorder="1" applyProtection="1"/>
    <xf numFmtId="0" fontId="15" fillId="0" borderId="0" xfId="8" applyFont="1" applyBorder="1" applyAlignment="1" applyProtection="1">
      <alignment horizontal="center"/>
    </xf>
    <xf numFmtId="0" fontId="4" fillId="0" borderId="0" xfId="8" applyFont="1" applyBorder="1"/>
    <xf numFmtId="0" fontId="4" fillId="0" borderId="0" xfId="8" applyFont="1" applyAlignment="1" applyProtection="1">
      <alignment horizontal="left"/>
    </xf>
    <xf numFmtId="164" fontId="4" fillId="0" borderId="6" xfId="0" applyNumberFormat="1" applyFont="1" applyBorder="1" applyAlignment="1">
      <alignment horizontal="center"/>
    </xf>
    <xf numFmtId="164" fontId="4" fillId="0" borderId="5" xfId="0" applyNumberFormat="1" applyFont="1" applyBorder="1" applyAlignment="1">
      <alignment horizontal="center" wrapText="1"/>
    </xf>
    <xf numFmtId="164" fontId="4" fillId="0" borderId="12" xfId="0" applyNumberFormat="1" applyFont="1" applyBorder="1" applyAlignment="1" applyProtection="1">
      <alignment horizontal="center"/>
    </xf>
    <xf numFmtId="0" fontId="4" fillId="0" borderId="11" xfId="8" applyFont="1" applyBorder="1" applyAlignment="1" applyProtection="1">
      <alignment wrapText="1"/>
    </xf>
    <xf numFmtId="0" fontId="4" fillId="1" borderId="1" xfId="0" applyFont="1" applyFill="1" applyBorder="1"/>
    <xf numFmtId="0" fontId="4" fillId="1" borderId="4" xfId="0" applyFont="1" applyFill="1" applyBorder="1"/>
    <xf numFmtId="0" fontId="4" fillId="1" borderId="10" xfId="0" applyFont="1" applyFill="1" applyBorder="1"/>
    <xf numFmtId="0" fontId="4" fillId="1" borderId="6" xfId="0" applyFont="1" applyFill="1" applyBorder="1"/>
    <xf numFmtId="0" fontId="4" fillId="1" borderId="13" xfId="0" applyFont="1" applyFill="1" applyBorder="1"/>
    <xf numFmtId="164" fontId="4" fillId="1" borderId="4" xfId="0" applyNumberFormat="1" applyFont="1" applyFill="1" applyBorder="1"/>
    <xf numFmtId="164" fontId="4" fillId="1" borderId="11" xfId="0" applyNumberFormat="1" applyFont="1" applyFill="1" applyBorder="1"/>
    <xf numFmtId="0" fontId="4" fillId="0" borderId="11" xfId="0" applyFont="1" applyBorder="1"/>
    <xf numFmtId="0" fontId="17" fillId="0" borderId="0" xfId="0" applyFont="1"/>
    <xf numFmtId="38" fontId="17" fillId="0" borderId="3" xfId="0" applyNumberFormat="1" applyFont="1" applyBorder="1"/>
    <xf numFmtId="38" fontId="17" fillId="0" borderId="4" xfId="0" applyNumberFormat="1" applyFont="1" applyBorder="1" applyProtection="1"/>
    <xf numFmtId="38" fontId="4" fillId="0" borderId="4" xfId="0" applyNumberFormat="1" applyFont="1" applyBorder="1" applyProtection="1">
      <protection locked="0"/>
    </xf>
    <xf numFmtId="38" fontId="18" fillId="0" borderId="4" xfId="0" applyNumberFormat="1" applyFont="1" applyBorder="1" applyProtection="1"/>
    <xf numFmtId="174" fontId="17" fillId="0" borderId="4" xfId="0" applyNumberFormat="1" applyFont="1" applyBorder="1" applyProtection="1"/>
    <xf numFmtId="38" fontId="17" fillId="0" borderId="3" xfId="0" applyNumberFormat="1" applyFont="1" applyBorder="1" applyProtection="1"/>
    <xf numFmtId="38" fontId="4" fillId="0" borderId="7" xfId="8" applyNumberFormat="1" applyFont="1" applyBorder="1" applyProtection="1">
      <protection locked="0"/>
    </xf>
    <xf numFmtId="38" fontId="4" fillId="0" borderId="14" xfId="8" applyNumberFormat="1" applyFont="1" applyBorder="1" applyProtection="1">
      <protection locked="0"/>
    </xf>
    <xf numFmtId="38" fontId="4" fillId="0" borderId="12" xfId="8" applyNumberFormat="1" applyFont="1" applyBorder="1" applyProtection="1">
      <protection locked="0"/>
    </xf>
    <xf numFmtId="38" fontId="17" fillId="0" borderId="12" xfId="8" applyNumberFormat="1" applyFont="1" applyBorder="1" applyProtection="1"/>
    <xf numFmtId="38" fontId="4" fillId="0" borderId="3" xfId="8" applyNumberFormat="1" applyFont="1" applyBorder="1" applyProtection="1">
      <protection locked="0"/>
    </xf>
    <xf numFmtId="38" fontId="18" fillId="0" borderId="14" xfId="8" applyNumberFormat="1" applyFont="1" applyBorder="1" applyProtection="1"/>
    <xf numFmtId="38" fontId="18" fillId="0" borderId="12" xfId="8" applyNumberFormat="1" applyFont="1" applyBorder="1" applyProtection="1"/>
    <xf numFmtId="0" fontId="9" fillId="0" borderId="0" xfId="0" applyFont="1" applyAlignment="1" applyProtection="1">
      <alignment horizontal="center"/>
    </xf>
    <xf numFmtId="38" fontId="4" fillId="1" borderId="1" xfId="8" applyNumberFormat="1" applyFont="1" applyFill="1" applyBorder="1" applyProtection="1">
      <protection locked="0"/>
    </xf>
    <xf numFmtId="38" fontId="4" fillId="1" borderId="4" xfId="8" applyNumberFormat="1" applyFont="1" applyFill="1" applyBorder="1" applyProtection="1">
      <protection locked="0"/>
    </xf>
    <xf numFmtId="176" fontId="17" fillId="0" borderId="3" xfId="0" applyNumberFormat="1" applyFont="1" applyBorder="1"/>
    <xf numFmtId="49" fontId="6" fillId="0" borderId="0" xfId="0" applyNumberFormat="1" applyFont="1"/>
    <xf numFmtId="49" fontId="6" fillId="0" borderId="0" xfId="0" applyNumberFormat="1" applyFont="1" applyAlignment="1">
      <alignment horizontal="left"/>
    </xf>
    <xf numFmtId="38" fontId="17" fillId="0" borderId="10" xfId="0" applyNumberFormat="1" applyFont="1" applyBorder="1" applyProtection="1"/>
    <xf numFmtId="38" fontId="17" fillId="0" borderId="13" xfId="0" applyNumberFormat="1" applyFont="1" applyBorder="1" applyProtection="1"/>
    <xf numFmtId="0" fontId="4" fillId="0" borderId="15" xfId="0" applyFont="1" applyBorder="1" applyAlignment="1">
      <alignment horizontal="center"/>
    </xf>
    <xf numFmtId="0" fontId="4" fillId="0" borderId="16" xfId="0" applyFont="1" applyBorder="1" applyAlignment="1">
      <alignment horizontal="center"/>
    </xf>
    <xf numFmtId="0" fontId="4" fillId="0" borderId="17" xfId="0" applyFont="1" applyBorder="1" applyAlignment="1">
      <alignment horizontal="center"/>
    </xf>
    <xf numFmtId="0" fontId="4" fillId="0" borderId="18" xfId="0" applyFont="1" applyBorder="1" applyAlignment="1">
      <alignment horizontal="center"/>
    </xf>
    <xf numFmtId="0" fontId="4" fillId="0" borderId="12" xfId="0" applyFont="1" applyBorder="1" applyAlignment="1">
      <alignment horizontal="center"/>
    </xf>
    <xf numFmtId="0" fontId="4" fillId="0" borderId="16" xfId="0" applyFont="1" applyBorder="1" applyAlignment="1" applyProtection="1">
      <alignment horizontal="center"/>
    </xf>
    <xf numFmtId="0" fontId="4" fillId="0" borderId="18" xfId="0" applyFont="1" applyBorder="1" applyAlignment="1" applyProtection="1">
      <alignment horizontal="center"/>
    </xf>
    <xf numFmtId="0" fontId="4" fillId="0" borderId="7" xfId="0" applyFont="1" applyBorder="1"/>
    <xf numFmtId="0" fontId="4" fillId="0" borderId="11" xfId="0" applyFont="1" applyBorder="1" applyAlignment="1">
      <alignment horizontal="center"/>
    </xf>
    <xf numFmtId="0" fontId="4" fillId="0" borderId="13" xfId="0" applyFont="1" applyBorder="1"/>
    <xf numFmtId="0" fontId="20" fillId="0" borderId="9" xfId="0" applyFont="1" applyBorder="1"/>
    <xf numFmtId="0" fontId="0" fillId="0" borderId="9" xfId="0" applyBorder="1"/>
    <xf numFmtId="0" fontId="4" fillId="0" borderId="9" xfId="0" applyFont="1" applyBorder="1" applyAlignment="1">
      <alignment horizontal="left"/>
    </xf>
    <xf numFmtId="38" fontId="17" fillId="0" borderId="9" xfId="0" applyNumberFormat="1" applyFont="1" applyBorder="1" applyProtection="1"/>
    <xf numFmtId="0" fontId="4" fillId="0" borderId="9" xfId="0" applyFont="1" applyBorder="1" applyAlignment="1">
      <alignment horizontal="right"/>
    </xf>
    <xf numFmtId="0" fontId="20" fillId="0" borderId="0" xfId="0" applyFont="1" applyBorder="1"/>
    <xf numFmtId="0" fontId="0" fillId="0" borderId="0" xfId="0" applyBorder="1"/>
    <xf numFmtId="0" fontId="4" fillId="0" borderId="0" xfId="0" applyFont="1" applyBorder="1" applyAlignment="1">
      <alignment horizontal="left"/>
    </xf>
    <xf numFmtId="38" fontId="17" fillId="0" borderId="0" xfId="0" applyNumberFormat="1" applyFont="1" applyBorder="1" applyProtection="1"/>
    <xf numFmtId="0" fontId="4" fillId="0" borderId="0" xfId="0" applyFont="1" applyBorder="1" applyAlignment="1">
      <alignment horizontal="right"/>
    </xf>
    <xf numFmtId="0" fontId="19" fillId="0" borderId="0" xfId="0" applyFont="1"/>
    <xf numFmtId="181" fontId="19" fillId="0" borderId="0" xfId="0" applyNumberFormat="1" applyFont="1" applyFill="1"/>
    <xf numFmtId="181" fontId="19" fillId="0" borderId="0" xfId="0" applyNumberFormat="1" applyFont="1" applyFill="1" applyAlignment="1">
      <alignment horizontal="centerContinuous"/>
    </xf>
    <xf numFmtId="38" fontId="17" fillId="0" borderId="4" xfId="0" applyNumberFormat="1" applyFont="1" applyBorder="1" applyAlignment="1" applyProtection="1">
      <alignment horizontal="right"/>
    </xf>
    <xf numFmtId="1" fontId="17" fillId="0" borderId="3" xfId="0" applyNumberFormat="1" applyFont="1" applyBorder="1"/>
    <xf numFmtId="0" fontId="4" fillId="0" borderId="2" xfId="0" applyFont="1" applyBorder="1" applyAlignment="1">
      <alignment horizontal="right"/>
    </xf>
    <xf numFmtId="38" fontId="4" fillId="0" borderId="3" xfId="0" applyNumberFormat="1" applyFont="1" applyBorder="1" applyProtection="1">
      <protection locked="0"/>
    </xf>
    <xf numFmtId="38" fontId="4" fillId="1" borderId="7" xfId="8" applyNumberFormat="1" applyFont="1" applyFill="1" applyBorder="1" applyProtection="1"/>
    <xf numFmtId="0" fontId="21" fillId="0" borderId="0" xfId="0" applyFont="1"/>
    <xf numFmtId="49" fontId="4" fillId="0" borderId="0" xfId="0" applyNumberFormat="1" applyFont="1" applyBorder="1"/>
    <xf numFmtId="0" fontId="23" fillId="0" borderId="0" xfId="0" applyFont="1"/>
    <xf numFmtId="0" fontId="24" fillId="0" borderId="0" xfId="0" applyFont="1" applyBorder="1" applyProtection="1"/>
    <xf numFmtId="0" fontId="24" fillId="0" borderId="0" xfId="0" applyFont="1"/>
    <xf numFmtId="0" fontId="24" fillId="0" borderId="0" xfId="0" applyFont="1" applyBorder="1"/>
    <xf numFmtId="0" fontId="24" fillId="0" borderId="0" xfId="0" applyFont="1" applyProtection="1"/>
    <xf numFmtId="0" fontId="24" fillId="0" borderId="10" xfId="0" applyFont="1" applyBorder="1" applyProtection="1"/>
    <xf numFmtId="0" fontId="24" fillId="0" borderId="6" xfId="0" applyFont="1" applyBorder="1" applyProtection="1"/>
    <xf numFmtId="0" fontId="24" fillId="0" borderId="13" xfId="0" applyFont="1" applyBorder="1" applyProtection="1"/>
    <xf numFmtId="0" fontId="24" fillId="0" borderId="20" xfId="0" applyFont="1" applyBorder="1" applyProtection="1"/>
    <xf numFmtId="0" fontId="24" fillId="0" borderId="0" xfId="0" applyFont="1" applyBorder="1" applyAlignment="1" applyProtection="1">
      <alignment horizontal="centerContinuous"/>
    </xf>
    <xf numFmtId="169" fontId="24" fillId="0" borderId="6" xfId="0" applyNumberFormat="1" applyFont="1" applyBorder="1" applyAlignment="1" applyProtection="1">
      <alignment horizontal="left"/>
    </xf>
    <xf numFmtId="0" fontId="24" fillId="0" borderId="17" xfId="0" applyFont="1" applyBorder="1" applyAlignment="1" applyProtection="1">
      <alignment horizontal="centerContinuous"/>
    </xf>
    <xf numFmtId="0" fontId="24" fillId="0" borderId="17" xfId="0" applyFont="1" applyBorder="1" applyProtection="1"/>
    <xf numFmtId="0" fontId="24" fillId="0" borderId="1" xfId="0" applyFont="1" applyBorder="1" applyProtection="1"/>
    <xf numFmtId="0" fontId="24" fillId="0" borderId="2" xfId="0" applyFont="1" applyBorder="1" applyProtection="1"/>
    <xf numFmtId="0" fontId="25" fillId="0" borderId="1" xfId="0" applyFont="1" applyBorder="1" applyProtection="1"/>
    <xf numFmtId="0" fontId="24" fillId="0" borderId="2" xfId="0" applyFont="1" applyBorder="1" applyAlignment="1" applyProtection="1">
      <alignment horizontal="right"/>
    </xf>
    <xf numFmtId="0" fontId="24" fillId="0" borderId="11" xfId="0" applyFont="1" applyBorder="1" applyProtection="1"/>
    <xf numFmtId="0" fontId="24" fillId="0" borderId="0" xfId="0" applyFont="1" applyBorder="1" applyAlignment="1" applyProtection="1">
      <alignment horizontal="right"/>
    </xf>
    <xf numFmtId="38" fontId="4" fillId="0" borderId="13" xfId="0" applyNumberFormat="1" applyFont="1" applyBorder="1" applyProtection="1">
      <protection locked="0"/>
    </xf>
    <xf numFmtId="38" fontId="4" fillId="0" borderId="9" xfId="0" applyNumberFormat="1" applyFont="1" applyBorder="1" applyProtection="1">
      <protection locked="0"/>
    </xf>
    <xf numFmtId="38" fontId="4" fillId="0" borderId="10" xfId="0" applyNumberFormat="1" applyFont="1" applyBorder="1" applyProtection="1">
      <protection locked="0"/>
    </xf>
    <xf numFmtId="38" fontId="4" fillId="0" borderId="16" xfId="0" applyNumberFormat="1" applyFont="1" applyBorder="1" applyProtection="1">
      <protection locked="0"/>
    </xf>
    <xf numFmtId="0" fontId="4" fillId="0" borderId="9" xfId="0" applyFont="1" applyBorder="1"/>
    <xf numFmtId="0" fontId="13" fillId="0" borderId="1" xfId="0" applyFont="1" applyBorder="1"/>
    <xf numFmtId="0" fontId="13" fillId="0" borderId="0" xfId="0" applyFont="1"/>
    <xf numFmtId="0" fontId="13" fillId="0" borderId="0" xfId="0" applyFont="1" applyBorder="1" applyAlignment="1">
      <alignment horizontal="centerContinuous"/>
    </xf>
    <xf numFmtId="0" fontId="13" fillId="0" borderId="0" xfId="0" applyFont="1" applyBorder="1" applyProtection="1"/>
    <xf numFmtId="0" fontId="26" fillId="0" borderId="0" xfId="0" applyFont="1" applyBorder="1"/>
    <xf numFmtId="0" fontId="13" fillId="0" borderId="0" xfId="0" applyFont="1" applyBorder="1"/>
    <xf numFmtId="0" fontId="27" fillId="0" borderId="0" xfId="0" applyFont="1" applyBorder="1" applyAlignment="1" applyProtection="1">
      <alignment horizontal="center"/>
    </xf>
    <xf numFmtId="0" fontId="27" fillId="0" borderId="0" xfId="0" applyFont="1" applyBorder="1" applyAlignment="1">
      <alignment horizontal="center"/>
    </xf>
    <xf numFmtId="0" fontId="13" fillId="0" borderId="2" xfId="0" applyFont="1" applyBorder="1"/>
    <xf numFmtId="0" fontId="13" fillId="0" borderId="3" xfId="0" applyFont="1" applyBorder="1"/>
    <xf numFmtId="38" fontId="28" fillId="0" borderId="3" xfId="0" applyNumberFormat="1" applyFont="1" applyBorder="1"/>
    <xf numFmtId="182" fontId="28" fillId="0" borderId="3" xfId="0" applyNumberFormat="1" applyFont="1" applyBorder="1" applyProtection="1"/>
    <xf numFmtId="165" fontId="28" fillId="1" borderId="16" xfId="0" applyNumberFormat="1" applyFont="1" applyFill="1" applyBorder="1"/>
    <xf numFmtId="165" fontId="28" fillId="1" borderId="18" xfId="0" applyNumberFormat="1" applyFont="1" applyFill="1" applyBorder="1"/>
    <xf numFmtId="0" fontId="27" fillId="0" borderId="1" xfId="0" applyFont="1" applyBorder="1"/>
    <xf numFmtId="165" fontId="28" fillId="1" borderId="12" xfId="0" applyNumberFormat="1" applyFont="1" applyFill="1" applyBorder="1"/>
    <xf numFmtId="0" fontId="13" fillId="0" borderId="17" xfId="0" applyFont="1" applyBorder="1"/>
    <xf numFmtId="0" fontId="29" fillId="0" borderId="6" xfId="0" applyFont="1" applyBorder="1" applyProtection="1"/>
    <xf numFmtId="0" fontId="30" fillId="0" borderId="1" xfId="0" applyFont="1" applyBorder="1"/>
    <xf numFmtId="0" fontId="13" fillId="0" borderId="2" xfId="0" applyFont="1" applyBorder="1" applyAlignment="1">
      <alignment horizontal="right"/>
    </xf>
    <xf numFmtId="165" fontId="28" fillId="1" borderId="3" xfId="0" applyNumberFormat="1" applyFont="1" applyFill="1" applyBorder="1"/>
    <xf numFmtId="165" fontId="31" fillId="1" borderId="16" xfId="0" applyNumberFormat="1" applyFont="1" applyFill="1" applyBorder="1"/>
    <xf numFmtId="174" fontId="28" fillId="0" borderId="3" xfId="0" applyNumberFormat="1" applyFont="1" applyFill="1" applyBorder="1"/>
    <xf numFmtId="0" fontId="28" fillId="0" borderId="0" xfId="0" applyFont="1" applyBorder="1"/>
    <xf numFmtId="172" fontId="13" fillId="0" borderId="0" xfId="0" applyNumberFormat="1" applyFont="1" applyBorder="1" applyAlignment="1" applyProtection="1">
      <alignment horizontal="left"/>
    </xf>
    <xf numFmtId="0" fontId="13" fillId="0" borderId="0" xfId="0" applyFont="1" applyBorder="1" applyProtection="1">
      <protection locked="0"/>
    </xf>
    <xf numFmtId="0" fontId="32" fillId="0" borderId="0" xfId="0" applyFont="1"/>
    <xf numFmtId="0" fontId="23" fillId="0" borderId="0" xfId="0" applyFont="1" applyBorder="1" applyProtection="1"/>
    <xf numFmtId="169" fontId="23" fillId="0" borderId="0" xfId="0" applyNumberFormat="1" applyFont="1" applyBorder="1" applyAlignment="1">
      <alignment horizontal="left"/>
    </xf>
    <xf numFmtId="0" fontId="28" fillId="0" borderId="0" xfId="0" applyFont="1"/>
    <xf numFmtId="0" fontId="28" fillId="0" borderId="0" xfId="0" applyFont="1" applyProtection="1"/>
    <xf numFmtId="172" fontId="13" fillId="0" borderId="0" xfId="0" applyNumberFormat="1" applyFont="1" applyAlignment="1" applyProtection="1">
      <alignment horizontal="left"/>
    </xf>
    <xf numFmtId="18" fontId="13" fillId="0" borderId="0" xfId="0" applyNumberFormat="1" applyFont="1" applyFill="1" applyAlignment="1" applyProtection="1">
      <alignment horizontal="left"/>
    </xf>
    <xf numFmtId="18" fontId="13" fillId="0" borderId="0" xfId="0" applyNumberFormat="1" applyFont="1" applyAlignment="1" applyProtection="1">
      <alignment horizontal="left"/>
    </xf>
    <xf numFmtId="49" fontId="33" fillId="0" borderId="0" xfId="0" applyNumberFormat="1" applyFont="1" applyProtection="1"/>
    <xf numFmtId="0" fontId="3" fillId="0" borderId="0" xfId="0" applyFont="1" applyAlignment="1" applyProtection="1">
      <alignment horizontal="left"/>
    </xf>
    <xf numFmtId="171" fontId="4" fillId="0" borderId="0" xfId="0" applyNumberFormat="1" applyFont="1" applyProtection="1"/>
    <xf numFmtId="49" fontId="4" fillId="0" borderId="9" xfId="0" applyNumberFormat="1" applyFont="1" applyBorder="1"/>
    <xf numFmtId="49" fontId="4" fillId="0" borderId="11" xfId="0" applyNumberFormat="1" applyFont="1" applyBorder="1"/>
    <xf numFmtId="49" fontId="6" fillId="0" borderId="11" xfId="0" applyNumberFormat="1" applyFont="1" applyBorder="1"/>
    <xf numFmtId="0" fontId="25" fillId="0" borderId="0" xfId="0" applyFont="1" applyBorder="1" applyAlignment="1" applyProtection="1">
      <alignment horizontal="center" wrapText="1"/>
    </xf>
    <xf numFmtId="181" fontId="35" fillId="0" borderId="4" xfId="0" applyNumberFormat="1" applyFont="1" applyFill="1" applyBorder="1" applyProtection="1"/>
    <xf numFmtId="0" fontId="35" fillId="1" borderId="4" xfId="0" applyFont="1" applyFill="1" applyBorder="1"/>
    <xf numFmtId="0" fontId="24" fillId="0" borderId="15" xfId="0" applyFont="1" applyBorder="1"/>
    <xf numFmtId="172" fontId="24" fillId="0" borderId="0" xfId="0" applyNumberFormat="1" applyFont="1" applyBorder="1" applyAlignment="1" applyProtection="1">
      <alignment horizontal="left"/>
    </xf>
    <xf numFmtId="172" fontId="24" fillId="0" borderId="6" xfId="0" applyNumberFormat="1" applyFont="1" applyBorder="1" applyAlignment="1" applyProtection="1">
      <alignment horizontal="left"/>
    </xf>
    <xf numFmtId="18" fontId="24" fillId="0" borderId="6" xfId="0" applyNumberFormat="1" applyFont="1" applyBorder="1" applyAlignment="1" applyProtection="1">
      <alignment horizontal="left"/>
    </xf>
    <xf numFmtId="0" fontId="25" fillId="0" borderId="0" xfId="0" applyFont="1" applyBorder="1" applyAlignment="1" applyProtection="1">
      <alignment horizontal="center"/>
    </xf>
    <xf numFmtId="37" fontId="24" fillId="0" borderId="3" xfId="0" applyNumberFormat="1" applyFont="1" applyBorder="1" applyProtection="1"/>
    <xf numFmtId="182" fontId="24" fillId="0" borderId="3" xfId="0" applyNumberFormat="1" applyFont="1" applyBorder="1" applyProtection="1"/>
    <xf numFmtId="165" fontId="24" fillId="1" borderId="16" xfId="0" applyNumberFormat="1" applyFont="1" applyFill="1" applyBorder="1" applyProtection="1"/>
    <xf numFmtId="165" fontId="24" fillId="1" borderId="18" xfId="0" applyNumberFormat="1" applyFont="1" applyFill="1" applyBorder="1" applyProtection="1"/>
    <xf numFmtId="37" fontId="24" fillId="0" borderId="0" xfId="0" applyNumberFormat="1" applyFont="1" applyBorder="1" applyProtection="1"/>
    <xf numFmtId="37" fontId="24" fillId="0" borderId="9" xfId="0" applyNumberFormat="1" applyFont="1" applyBorder="1" applyProtection="1"/>
    <xf numFmtId="10" fontId="24" fillId="0" borderId="4" xfId="0" applyNumberFormat="1" applyFont="1" applyBorder="1" applyProtection="1"/>
    <xf numFmtId="165" fontId="24" fillId="1" borderId="12" xfId="0" applyNumberFormat="1" applyFont="1" applyFill="1" applyBorder="1" applyProtection="1"/>
    <xf numFmtId="165" fontId="24" fillId="1" borderId="3" xfId="0" applyNumberFormat="1" applyFont="1" applyFill="1" applyBorder="1" applyProtection="1"/>
    <xf numFmtId="38" fontId="24" fillId="0" borderId="0" xfId="0" applyNumberFormat="1" applyFont="1" applyBorder="1" applyProtection="1"/>
    <xf numFmtId="174" fontId="24" fillId="0" borderId="3" xfId="0" applyNumberFormat="1" applyFont="1" applyFill="1" applyBorder="1" applyProtection="1"/>
    <xf numFmtId="174" fontId="24" fillId="0" borderId="0" xfId="0" applyNumberFormat="1" applyFont="1" applyFill="1" applyBorder="1" applyProtection="1"/>
    <xf numFmtId="0" fontId="24" fillId="0" borderId="7" xfId="0" applyFont="1" applyBorder="1" applyProtection="1"/>
    <xf numFmtId="0" fontId="4" fillId="0" borderId="0" xfId="8" applyFont="1" applyBorder="1" applyAlignment="1" applyProtection="1">
      <alignment horizontal="center"/>
    </xf>
    <xf numFmtId="0" fontId="36" fillId="0" borderId="0" xfId="0" applyFont="1" applyAlignment="1">
      <alignment horizontal="center"/>
    </xf>
    <xf numFmtId="0" fontId="3" fillId="0" borderId="0" xfId="0" applyFont="1" applyProtection="1"/>
    <xf numFmtId="0" fontId="4" fillId="0" borderId="13" xfId="0" applyFont="1" applyBorder="1" applyProtection="1"/>
    <xf numFmtId="0" fontId="4" fillId="0" borderId="1" xfId="0" applyFont="1" applyBorder="1" applyAlignment="1">
      <alignment horizontal="left"/>
    </xf>
    <xf numFmtId="164" fontId="4" fillId="0" borderId="3" xfId="0" applyNumberFormat="1" applyFont="1" applyBorder="1"/>
    <xf numFmtId="0" fontId="5" fillId="0" borderId="0" xfId="0" applyFont="1" applyAlignment="1">
      <alignment horizontal="right"/>
    </xf>
    <xf numFmtId="0" fontId="39" fillId="0" borderId="0" xfId="0" applyFont="1"/>
    <xf numFmtId="0" fontId="26" fillId="0" borderId="0" xfId="0" applyFont="1" applyAlignment="1">
      <alignment horizontal="left"/>
    </xf>
    <xf numFmtId="0" fontId="5" fillId="0" borderId="0" xfId="0" applyFont="1" applyBorder="1"/>
    <xf numFmtId="0" fontId="26" fillId="0" borderId="0" xfId="0" applyFont="1" applyAlignment="1">
      <alignment horizontal="right"/>
    </xf>
    <xf numFmtId="38" fontId="26" fillId="0" borderId="11" xfId="0" applyNumberFormat="1" applyFont="1" applyBorder="1" applyProtection="1">
      <protection locked="0"/>
    </xf>
    <xf numFmtId="169" fontId="4" fillId="0" borderId="11" xfId="0" applyNumberFormat="1" applyFont="1" applyBorder="1" applyProtection="1">
      <protection locked="0"/>
    </xf>
    <xf numFmtId="0" fontId="40" fillId="0" borderId="0" xfId="0" applyFont="1" applyAlignment="1">
      <alignment horizontal="centerContinuous"/>
    </xf>
    <xf numFmtId="0" fontId="37" fillId="0" borderId="0" xfId="0" applyFont="1"/>
    <xf numFmtId="0" fontId="41" fillId="0" borderId="0" xfId="0" applyFont="1" applyAlignment="1">
      <alignment horizontal="centerContinuous"/>
    </xf>
    <xf numFmtId="0" fontId="26" fillId="0" borderId="0" xfId="0" applyFont="1"/>
    <xf numFmtId="0" fontId="26" fillId="0" borderId="15" xfId="0" applyFont="1" applyBorder="1" applyAlignment="1">
      <alignment horizontal="left"/>
    </xf>
    <xf numFmtId="0" fontId="26" fillId="0" borderId="20" xfId="0" applyFont="1" applyBorder="1" applyAlignment="1">
      <alignment horizontal="centerContinuous"/>
    </xf>
    <xf numFmtId="0" fontId="26" fillId="0" borderId="10" xfId="0" applyFont="1" applyBorder="1" applyAlignment="1">
      <alignment horizontal="centerContinuous"/>
    </xf>
    <xf numFmtId="0" fontId="26" fillId="0" borderId="16" xfId="0" applyFont="1" applyBorder="1" applyAlignment="1">
      <alignment horizontal="left"/>
    </xf>
    <xf numFmtId="0" fontId="26" fillId="0" borderId="7" xfId="0" applyFont="1" applyBorder="1" applyAlignment="1" applyProtection="1">
      <alignment horizontal="left"/>
      <protection locked="0"/>
    </xf>
    <xf numFmtId="0" fontId="26" fillId="0" borderId="11" xfId="0" applyFont="1" applyBorder="1" applyAlignment="1" applyProtection="1">
      <alignment horizontal="left"/>
    </xf>
    <xf numFmtId="0" fontId="26" fillId="0" borderId="13" xfId="0" applyFont="1" applyBorder="1" applyAlignment="1" applyProtection="1">
      <alignment horizontal="left"/>
    </xf>
    <xf numFmtId="0" fontId="26" fillId="0" borderId="12" xfId="0" applyNumberFormat="1" applyFont="1" applyBorder="1" applyProtection="1">
      <protection locked="0"/>
    </xf>
    <xf numFmtId="172" fontId="5" fillId="0" borderId="12" xfId="0" applyNumberFormat="1" applyFont="1" applyBorder="1" applyProtection="1">
      <protection locked="0"/>
    </xf>
    <xf numFmtId="0" fontId="26" fillId="0" borderId="0" xfId="0" applyFont="1" applyProtection="1"/>
    <xf numFmtId="0" fontId="26" fillId="0" borderId="15" xfId="0" applyFont="1" applyBorder="1"/>
    <xf numFmtId="0" fontId="26" fillId="0" borderId="20" xfId="0" applyFont="1" applyBorder="1"/>
    <xf numFmtId="0" fontId="26" fillId="0" borderId="10" xfId="0" applyFont="1" applyBorder="1"/>
    <xf numFmtId="0" fontId="26" fillId="0" borderId="16" xfId="0" applyFont="1" applyBorder="1" applyAlignment="1">
      <alignment horizontal="center"/>
    </xf>
    <xf numFmtId="0" fontId="26" fillId="0" borderId="20" xfId="0" applyFont="1" applyBorder="1" applyAlignment="1">
      <alignment horizontal="center"/>
    </xf>
    <xf numFmtId="0" fontId="26" fillId="0" borderId="17" xfId="0" applyFont="1" applyBorder="1"/>
    <xf numFmtId="0" fontId="26" fillId="0" borderId="6" xfId="0" applyFont="1" applyBorder="1"/>
    <xf numFmtId="0" fontId="26" fillId="0" borderId="7" xfId="0" applyFont="1" applyBorder="1" applyAlignment="1">
      <alignment horizontal="centerContinuous"/>
    </xf>
    <xf numFmtId="0" fontId="26" fillId="0" borderId="13" xfId="0" applyFont="1" applyBorder="1" applyAlignment="1">
      <alignment horizontal="centerContinuous"/>
    </xf>
    <xf numFmtId="0" fontId="26" fillId="0" borderId="17" xfId="0" applyFont="1" applyBorder="1" applyAlignment="1">
      <alignment horizontal="center"/>
    </xf>
    <xf numFmtId="0" fontId="26" fillId="0" borderId="18" xfId="0" applyFont="1" applyBorder="1" applyAlignment="1">
      <alignment horizontal="center"/>
    </xf>
    <xf numFmtId="0" fontId="26" fillId="0" borderId="6" xfId="0" applyFont="1" applyBorder="1" applyAlignment="1">
      <alignment horizontal="center"/>
    </xf>
    <xf numFmtId="0" fontId="26" fillId="0" borderId="0" xfId="0" applyFont="1" applyAlignment="1">
      <alignment horizontal="center"/>
    </xf>
    <xf numFmtId="0" fontId="26" fillId="0" borderId="7" xfId="0" applyFont="1" applyBorder="1"/>
    <xf numFmtId="0" fontId="26" fillId="0" borderId="11" xfId="0" applyFont="1" applyBorder="1" applyAlignment="1">
      <alignment horizontal="center"/>
    </xf>
    <xf numFmtId="0" fontId="26" fillId="0" borderId="12" xfId="0" applyFont="1" applyBorder="1" applyAlignment="1">
      <alignment horizontal="center"/>
    </xf>
    <xf numFmtId="0" fontId="26" fillId="0" borderId="13" xfId="0" applyFont="1" applyBorder="1" applyAlignment="1">
      <alignment horizontal="center"/>
    </xf>
    <xf numFmtId="0" fontId="26" fillId="0" borderId="7" xfId="0" applyFont="1" applyBorder="1" applyAlignment="1">
      <alignment horizontal="center"/>
    </xf>
    <xf numFmtId="0" fontId="26" fillId="0" borderId="16" xfId="0" applyFont="1" applyBorder="1" applyAlignment="1">
      <alignment vertical="center"/>
    </xf>
    <xf numFmtId="0" fontId="26" fillId="0" borderId="4" xfId="0" applyFont="1" applyBorder="1" applyAlignment="1" applyProtection="1">
      <alignment horizontal="center" vertical="center"/>
      <protection locked="0"/>
    </xf>
    <xf numFmtId="38" fontId="26" fillId="0" borderId="3" xfId="0" applyNumberFormat="1" applyFont="1" applyBorder="1" applyProtection="1">
      <protection locked="0"/>
    </xf>
    <xf numFmtId="38" fontId="42" fillId="0" borderId="3" xfId="0" applyNumberFormat="1" applyFont="1" applyBorder="1"/>
    <xf numFmtId="0" fontId="26" fillId="0" borderId="3" xfId="0" applyFont="1" applyBorder="1" applyAlignment="1">
      <alignment vertical="center"/>
    </xf>
    <xf numFmtId="0" fontId="26" fillId="0" borderId="12" xfId="0" applyFont="1" applyBorder="1" applyAlignment="1">
      <alignment vertical="center"/>
    </xf>
    <xf numFmtId="0" fontId="26" fillId="0" borderId="18" xfId="0" applyFont="1" applyBorder="1" applyAlignment="1">
      <alignment vertical="center"/>
    </xf>
    <xf numFmtId="0" fontId="26" fillId="0" borderId="10" xfId="0" applyFont="1" applyBorder="1" applyAlignment="1" applyProtection="1">
      <alignment horizontal="center" vertical="center"/>
      <protection locked="0"/>
    </xf>
    <xf numFmtId="38" fontId="26" fillId="0" borderId="16" xfId="0" applyNumberFormat="1" applyFont="1" applyBorder="1" applyProtection="1">
      <protection locked="0"/>
    </xf>
    <xf numFmtId="38" fontId="42" fillId="0" borderId="16" xfId="0" applyNumberFormat="1" applyFont="1" applyBorder="1"/>
    <xf numFmtId="0" fontId="43" fillId="0" borderId="21" xfId="0" applyFont="1" applyBorder="1" applyAlignment="1">
      <alignment horizontal="centerContinuous"/>
    </xf>
    <xf numFmtId="0" fontId="43" fillId="0" borderId="22" xfId="0" applyFont="1" applyBorder="1" applyAlignment="1">
      <alignment horizontal="center"/>
    </xf>
    <xf numFmtId="38" fontId="41" fillId="0" borderId="23" xfId="0" applyNumberFormat="1" applyFont="1" applyBorder="1" applyAlignment="1">
      <alignment horizontal="centerContinuous"/>
    </xf>
    <xf numFmtId="38" fontId="42" fillId="0" borderId="24" xfId="0" applyNumberFormat="1" applyFont="1" applyBorder="1"/>
    <xf numFmtId="0" fontId="11" fillId="0" borderId="15" xfId="0" applyFont="1" applyBorder="1"/>
    <xf numFmtId="0" fontId="2" fillId="0" borderId="20" xfId="0" applyFont="1" applyBorder="1"/>
    <xf numFmtId="0" fontId="2" fillId="0" borderId="10" xfId="0" applyFont="1" applyBorder="1"/>
    <xf numFmtId="0" fontId="2" fillId="0" borderId="0" xfId="0" applyFont="1"/>
    <xf numFmtId="0" fontId="11" fillId="0" borderId="17" xfId="0" applyFont="1" applyBorder="1"/>
    <xf numFmtId="0" fontId="2" fillId="0" borderId="0" xfId="0" applyFont="1" applyBorder="1"/>
    <xf numFmtId="0" fontId="2" fillId="0" borderId="6" xfId="0" applyFont="1" applyBorder="1"/>
    <xf numFmtId="0" fontId="11" fillId="0" borderId="0" xfId="0" applyFont="1" applyBorder="1"/>
    <xf numFmtId="0" fontId="11" fillId="0" borderId="6" xfId="0" applyFont="1" applyBorder="1"/>
    <xf numFmtId="0" fontId="44" fillId="0" borderId="3" xfId="0" applyFont="1" applyBorder="1" applyAlignment="1">
      <alignment horizontal="center"/>
    </xf>
    <xf numFmtId="0" fontId="2" fillId="0" borderId="17" xfId="0" applyFont="1" applyBorder="1"/>
    <xf numFmtId="0" fontId="44" fillId="0" borderId="17" xfId="0" applyFont="1" applyBorder="1" applyAlignment="1">
      <alignment horizontal="centerContinuous"/>
    </xf>
    <xf numFmtId="0" fontId="44" fillId="0" borderId="0" xfId="0" applyFont="1" applyBorder="1" applyAlignment="1">
      <alignment horizontal="centerContinuous"/>
    </xf>
    <xf numFmtId="0" fontId="44" fillId="0" borderId="6" xfId="0" applyFont="1" applyBorder="1" applyAlignment="1">
      <alignment horizontal="centerContinuous"/>
    </xf>
    <xf numFmtId="0" fontId="11" fillId="0" borderId="6" xfId="0" applyFont="1" applyBorder="1" applyProtection="1"/>
    <xf numFmtId="0" fontId="2" fillId="0" borderId="0" xfId="0" applyFont="1" applyBorder="1" applyAlignment="1" applyProtection="1">
      <alignment horizontal="centerContinuous"/>
    </xf>
    <xf numFmtId="0" fontId="2" fillId="0" borderId="7" xfId="0" applyFont="1" applyBorder="1"/>
    <xf numFmtId="0" fontId="2" fillId="0" borderId="11" xfId="0" applyFont="1" applyBorder="1"/>
    <xf numFmtId="0" fontId="2" fillId="0" borderId="13" xfId="0" applyFont="1" applyBorder="1"/>
    <xf numFmtId="171" fontId="45" fillId="0" borderId="0" xfId="6" applyNumberFormat="1" applyFont="1"/>
    <xf numFmtId="168" fontId="45" fillId="0" borderId="0" xfId="6" applyNumberFormat="1" applyFont="1"/>
    <xf numFmtId="49" fontId="45" fillId="0" borderId="0" xfId="7" applyNumberFormat="1" applyFont="1"/>
    <xf numFmtId="0" fontId="45" fillId="0" borderId="0" xfId="7" applyFont="1"/>
    <xf numFmtId="171" fontId="45" fillId="0" borderId="0" xfId="7" applyNumberFormat="1" applyFont="1"/>
    <xf numFmtId="3" fontId="45" fillId="0" borderId="0" xfId="7" applyNumberFormat="1" applyFont="1"/>
    <xf numFmtId="186" fontId="4" fillId="0" borderId="12" xfId="8" applyNumberFormat="1" applyFont="1" applyBorder="1" applyProtection="1">
      <protection locked="0"/>
    </xf>
    <xf numFmtId="38" fontId="48" fillId="0" borderId="4" xfId="0" applyNumberFormat="1" applyFont="1" applyBorder="1" applyProtection="1">
      <protection locked="0"/>
    </xf>
    <xf numFmtId="3" fontId="45" fillId="0" borderId="0" xfId="0" applyNumberFormat="1" applyFont="1"/>
    <xf numFmtId="38" fontId="17" fillId="0" borderId="4" xfId="0" applyNumberFormat="1" applyFont="1" applyBorder="1" applyProtection="1">
      <protection locked="0"/>
    </xf>
    <xf numFmtId="38" fontId="4" fillId="1" borderId="3" xfId="8" applyNumberFormat="1" applyFont="1" applyFill="1" applyBorder="1" applyProtection="1"/>
    <xf numFmtId="0" fontId="4" fillId="0" borderId="25" xfId="8" quotePrefix="1" applyFont="1" applyBorder="1"/>
    <xf numFmtId="38" fontId="4" fillId="0" borderId="6" xfId="0" applyNumberFormat="1" applyFont="1" applyBorder="1" applyProtection="1">
      <protection locked="0"/>
    </xf>
    <xf numFmtId="164" fontId="4" fillId="1" borderId="3" xfId="0" applyNumberFormat="1" applyFont="1" applyFill="1" applyBorder="1"/>
    <xf numFmtId="0" fontId="4" fillId="0" borderId="16" xfId="0" applyFont="1" applyBorder="1"/>
    <xf numFmtId="0" fontId="4" fillId="0" borderId="12" xfId="0" applyFont="1" applyBorder="1"/>
    <xf numFmtId="0" fontId="4" fillId="0" borderId="26" xfId="0" applyFont="1" applyBorder="1"/>
    <xf numFmtId="164" fontId="4" fillId="1" borderId="26" xfId="0" applyNumberFormat="1" applyFont="1" applyFill="1" applyBorder="1"/>
    <xf numFmtId="38" fontId="17" fillId="0" borderId="20" xfId="0" applyNumberFormat="1" applyFont="1" applyBorder="1" applyProtection="1"/>
    <xf numFmtId="0" fontId="17" fillId="1" borderId="15" xfId="0" applyFont="1" applyFill="1" applyBorder="1"/>
    <xf numFmtId="0" fontId="4" fillId="1" borderId="16" xfId="0" applyFont="1" applyFill="1" applyBorder="1"/>
    <xf numFmtId="0" fontId="4" fillId="1" borderId="18" xfId="0" applyFont="1" applyFill="1" applyBorder="1"/>
    <xf numFmtId="0" fontId="4" fillId="1" borderId="15" xfId="0" applyFont="1" applyFill="1" applyBorder="1"/>
    <xf numFmtId="0" fontId="4" fillId="1" borderId="17" xfId="0" applyFont="1" applyFill="1" applyBorder="1"/>
    <xf numFmtId="38" fontId="17" fillId="0" borderId="10" xfId="0" applyNumberFormat="1" applyFont="1" applyBorder="1" applyAlignment="1" applyProtection="1">
      <alignment horizontal="right"/>
    </xf>
    <xf numFmtId="38" fontId="17" fillId="0" borderId="13" xfId="0" applyNumberFormat="1" applyFont="1" applyBorder="1" applyAlignment="1" applyProtection="1">
      <alignment horizontal="right"/>
    </xf>
    <xf numFmtId="1" fontId="45" fillId="0" borderId="0" xfId="7" applyNumberFormat="1" applyFont="1"/>
    <xf numFmtId="170" fontId="4" fillId="0" borderId="0" xfId="0" applyNumberFormat="1" applyFont="1" applyBorder="1" applyProtection="1"/>
    <xf numFmtId="0" fontId="51" fillId="0" borderId="20" xfId="0" applyFont="1" applyBorder="1"/>
    <xf numFmtId="0" fontId="51" fillId="0" borderId="10" xfId="0" applyFont="1" applyBorder="1"/>
    <xf numFmtId="0" fontId="51" fillId="0" borderId="0" xfId="0" applyFont="1"/>
    <xf numFmtId="0" fontId="24" fillId="0" borderId="17" xfId="0" applyFont="1" applyBorder="1"/>
    <xf numFmtId="0" fontId="51" fillId="0" borderId="0" xfId="0" applyFont="1" applyBorder="1"/>
    <xf numFmtId="0" fontId="51" fillId="0" borderId="6" xfId="0" applyFont="1" applyBorder="1"/>
    <xf numFmtId="0" fontId="25" fillId="0" borderId="17" xfId="0" applyFont="1" applyBorder="1" applyAlignment="1">
      <alignment horizontal="center"/>
    </xf>
    <xf numFmtId="0" fontId="25" fillId="0" borderId="0" xfId="0" applyFont="1" applyBorder="1" applyAlignment="1">
      <alignment horizontal="center"/>
    </xf>
    <xf numFmtId="0" fontId="25" fillId="0" borderId="6" xfId="0" applyFont="1" applyBorder="1" applyAlignment="1">
      <alignment horizontal="center"/>
    </xf>
    <xf numFmtId="0" fontId="24" fillId="0" borderId="6" xfId="0" applyFont="1" applyBorder="1"/>
    <xf numFmtId="0" fontId="25" fillId="0" borderId="3" xfId="0" applyFont="1" applyBorder="1" applyAlignment="1">
      <alignment horizontal="center"/>
    </xf>
    <xf numFmtId="0" fontId="25" fillId="0" borderId="16" xfId="0" applyFont="1" applyBorder="1" applyAlignment="1">
      <alignment horizontal="center"/>
    </xf>
    <xf numFmtId="38" fontId="24" fillId="0" borderId="16" xfId="0" applyNumberFormat="1" applyFont="1" applyFill="1" applyBorder="1" applyAlignment="1" applyProtection="1">
      <protection locked="0"/>
    </xf>
    <xf numFmtId="38" fontId="24" fillId="0" borderId="4" xfId="0" applyNumberFormat="1" applyFont="1" applyBorder="1" applyProtection="1">
      <protection locked="0"/>
    </xf>
    <xf numFmtId="0" fontId="24" fillId="0" borderId="3" xfId="0" applyFont="1" applyBorder="1" applyProtection="1">
      <protection locked="0"/>
    </xf>
    <xf numFmtId="38" fontId="24" fillId="0" borderId="3" xfId="0" applyNumberFormat="1" applyFont="1" applyFill="1" applyBorder="1" applyAlignment="1" applyProtection="1">
      <protection locked="0"/>
    </xf>
    <xf numFmtId="38" fontId="24" fillId="0" borderId="12" xfId="0" applyNumberFormat="1" applyFont="1" applyBorder="1" applyProtection="1">
      <protection locked="0"/>
    </xf>
    <xf numFmtId="38" fontId="24" fillId="0" borderId="3" xfId="0" applyNumberFormat="1" applyFont="1" applyBorder="1" applyProtection="1">
      <protection locked="0"/>
    </xf>
    <xf numFmtId="0" fontId="51" fillId="0" borderId="17" xfId="0" applyFont="1" applyBorder="1"/>
    <xf numFmtId="0" fontId="24" fillId="0" borderId="17" xfId="0" applyFont="1" applyBorder="1" applyAlignment="1"/>
    <xf numFmtId="0" fontId="24" fillId="0" borderId="0" xfId="0" applyFont="1" applyBorder="1" applyAlignment="1">
      <alignment horizontal="left"/>
    </xf>
    <xf numFmtId="0" fontId="24" fillId="0" borderId="0" xfId="8" applyFont="1" applyBorder="1" applyAlignment="1" applyProtection="1">
      <alignment horizontal="centerContinuous"/>
    </xf>
    <xf numFmtId="0" fontId="24" fillId="0" borderId="7" xfId="0" applyFont="1" applyBorder="1"/>
    <xf numFmtId="0" fontId="24" fillId="0" borderId="11" xfId="0" applyFont="1" applyBorder="1"/>
    <xf numFmtId="0" fontId="24" fillId="0" borderId="13" xfId="0" applyFont="1" applyBorder="1"/>
    <xf numFmtId="0" fontId="52" fillId="0" borderId="1" xfId="0" applyFont="1" applyBorder="1"/>
    <xf numFmtId="0" fontId="52" fillId="0" borderId="3" xfId="0" applyFont="1" applyBorder="1"/>
    <xf numFmtId="0" fontId="49" fillId="0" borderId="3" xfId="0" applyFont="1" applyBorder="1"/>
    <xf numFmtId="49" fontId="4" fillId="0" borderId="3" xfId="0" applyNumberFormat="1" applyFont="1" applyFill="1" applyBorder="1" applyProtection="1"/>
    <xf numFmtId="0" fontId="4" fillId="0" borderId="3" xfId="0" applyFont="1" applyBorder="1" applyProtection="1"/>
    <xf numFmtId="49" fontId="4" fillId="0" borderId="3" xfId="0" applyNumberFormat="1" applyFont="1" applyBorder="1" applyProtection="1"/>
    <xf numFmtId="49" fontId="4" fillId="0" borderId="3" xfId="0" quotePrefix="1" applyNumberFormat="1" applyFont="1" applyFill="1" applyBorder="1" applyProtection="1"/>
    <xf numFmtId="0" fontId="4" fillId="0" borderId="3" xfId="0" applyFont="1" applyFill="1" applyBorder="1" applyProtection="1"/>
    <xf numFmtId="0" fontId="53" fillId="0" borderId="0" xfId="0" applyFont="1"/>
    <xf numFmtId="0" fontId="54" fillId="0" borderId="0" xfId="0" applyFont="1"/>
    <xf numFmtId="164" fontId="13" fillId="0" borderId="4" xfId="0" applyNumberFormat="1" applyFont="1" applyBorder="1" applyAlignment="1" applyProtection="1">
      <alignment horizontal="center"/>
    </xf>
    <xf numFmtId="4" fontId="45" fillId="0" borderId="0" xfId="0" applyNumberFormat="1" applyFont="1"/>
    <xf numFmtId="49" fontId="4" fillId="0" borderId="0" xfId="0" quotePrefix="1" applyNumberFormat="1" applyFont="1" applyFill="1" applyBorder="1" applyProtection="1"/>
    <xf numFmtId="176" fontId="17" fillId="0" borderId="0" xfId="0" applyNumberFormat="1" applyFont="1" applyFill="1" applyBorder="1" applyProtection="1"/>
    <xf numFmtId="0" fontId="4" fillId="0" borderId="0" xfId="0" applyFont="1" applyFill="1" applyBorder="1" applyProtection="1"/>
    <xf numFmtId="176" fontId="17" fillId="0" borderId="3" xfId="0" applyNumberFormat="1" applyFont="1" applyFill="1" applyBorder="1"/>
    <xf numFmtId="49" fontId="4" fillId="0" borderId="3" xfId="0" applyNumberFormat="1" applyFont="1" applyFill="1" applyBorder="1"/>
    <xf numFmtId="183" fontId="34" fillId="2" borderId="3" xfId="0" applyNumberFormat="1" applyFont="1" applyFill="1" applyBorder="1" applyProtection="1">
      <protection locked="0"/>
    </xf>
    <xf numFmtId="176" fontId="4" fillId="2" borderId="3" xfId="0" applyNumberFormat="1" applyFont="1" applyFill="1" applyBorder="1" applyProtection="1">
      <protection locked="0"/>
    </xf>
    <xf numFmtId="179" fontId="4" fillId="2" borderId="3" xfId="0" applyNumberFormat="1" applyFont="1" applyFill="1" applyBorder="1" applyProtection="1">
      <protection locked="0"/>
    </xf>
    <xf numFmtId="180" fontId="4" fillId="2" borderId="3" xfId="0" applyNumberFormat="1" applyFont="1" applyFill="1" applyBorder="1" applyProtection="1">
      <protection locked="0"/>
    </xf>
    <xf numFmtId="174" fontId="4" fillId="2" borderId="3" xfId="0" applyNumberFormat="1" applyFont="1" applyFill="1" applyBorder="1" applyProtection="1">
      <protection locked="0"/>
    </xf>
    <xf numFmtId="0" fontId="57" fillId="0" borderId="1" xfId="0" applyFont="1" applyBorder="1"/>
    <xf numFmtId="0" fontId="0" fillId="0" borderId="0" xfId="0" applyBorder="1" applyAlignment="1">
      <alignment horizontal="left" vertical="top"/>
    </xf>
    <xf numFmtId="0" fontId="0" fillId="0" borderId="0" xfId="0" applyBorder="1" applyAlignment="1">
      <alignment vertical="center" wrapText="1"/>
    </xf>
    <xf numFmtId="0" fontId="0" fillId="0" borderId="0" xfId="0" applyAlignment="1">
      <alignment vertical="center" wrapText="1"/>
    </xf>
    <xf numFmtId="0" fontId="59" fillId="0" borderId="0" xfId="1" applyFont="1" applyAlignment="1" applyProtection="1">
      <alignment vertical="center"/>
    </xf>
    <xf numFmtId="0" fontId="58" fillId="0" borderId="0" xfId="0" applyFont="1" applyBorder="1" applyAlignment="1">
      <alignment horizontal="left" vertical="center" wrapText="1"/>
    </xf>
    <xf numFmtId="0" fontId="50" fillId="0" borderId="0" xfId="0" applyFont="1" applyBorder="1"/>
    <xf numFmtId="3" fontId="61" fillId="0" borderId="0" xfId="0" applyNumberFormat="1" applyFont="1" applyAlignment="1"/>
    <xf numFmtId="0" fontId="50" fillId="0" borderId="0" xfId="0" applyFont="1"/>
    <xf numFmtId="0" fontId="50" fillId="0" borderId="0" xfId="0" applyFont="1" applyAlignment="1">
      <alignment horizontal="center"/>
    </xf>
    <xf numFmtId="3" fontId="49" fillId="0" borderId="0" xfId="0" applyNumberFormat="1" applyFont="1" applyAlignment="1"/>
    <xf numFmtId="3" fontId="55" fillId="0" borderId="0" xfId="0" applyNumberFormat="1" applyFont="1"/>
    <xf numFmtId="3" fontId="62" fillId="0" borderId="3" xfId="0" applyNumberFormat="1" applyFont="1" applyBorder="1"/>
    <xf numFmtId="3" fontId="62" fillId="0" borderId="0" xfId="0" applyNumberFormat="1" applyFont="1"/>
    <xf numFmtId="0" fontId="62" fillId="0" borderId="0" xfId="0" applyFont="1" applyBorder="1" applyAlignment="1">
      <alignment horizontal="right"/>
    </xf>
    <xf numFmtId="0" fontId="62" fillId="0" borderId="0" xfId="5" applyFont="1"/>
    <xf numFmtId="0" fontId="62" fillId="0" borderId="0" xfId="5" applyFont="1" applyBorder="1"/>
    <xf numFmtId="0" fontId="50" fillId="0" borderId="0" xfId="0" applyFont="1" applyAlignment="1">
      <alignment horizontal="left" vertical="top" wrapText="1"/>
    </xf>
    <xf numFmtId="3" fontId="62" fillId="0" borderId="3" xfId="0" applyNumberFormat="1" applyFont="1" applyBorder="1" applyProtection="1">
      <protection locked="0"/>
    </xf>
    <xf numFmtId="3" fontId="62" fillId="0" borderId="3" xfId="0" applyNumberFormat="1" applyFont="1" applyBorder="1" applyProtection="1"/>
    <xf numFmtId="3" fontId="62" fillId="0" borderId="0" xfId="0" applyNumberFormat="1" applyFont="1" applyFill="1"/>
    <xf numFmtId="3" fontId="35" fillId="0" borderId="0" xfId="5" applyNumberFormat="1" applyFont="1" applyFill="1" applyAlignment="1">
      <alignment vertical="top" wrapText="1"/>
    </xf>
    <xf numFmtId="0" fontId="64" fillId="0" borderId="0" xfId="0" applyFont="1"/>
    <xf numFmtId="3" fontId="32" fillId="0" borderId="0" xfId="0" applyNumberFormat="1" applyFont="1"/>
    <xf numFmtId="0" fontId="64" fillId="0" borderId="0" xfId="0" applyFont="1" applyAlignment="1">
      <alignment horizontal="right"/>
    </xf>
    <xf numFmtId="0" fontId="64" fillId="0" borderId="0" xfId="0" applyFont="1" applyBorder="1" applyAlignment="1">
      <alignment horizontal="right"/>
    </xf>
    <xf numFmtId="0" fontId="65" fillId="0" borderId="0" xfId="0" applyFont="1"/>
    <xf numFmtId="0" fontId="50" fillId="0" borderId="0" xfId="0" applyFont="1" applyAlignment="1" applyProtection="1">
      <alignment horizontal="left" vertical="top" wrapText="1"/>
      <protection locked="0"/>
    </xf>
    <xf numFmtId="0" fontId="0" fillId="0" borderId="0" xfId="0" applyProtection="1">
      <protection locked="0"/>
    </xf>
    <xf numFmtId="3" fontId="62" fillId="0" borderId="0" xfId="0" applyNumberFormat="1" applyFont="1" applyProtection="1">
      <protection locked="0"/>
    </xf>
    <xf numFmtId="10" fontId="62" fillId="0" borderId="0" xfId="0" applyNumberFormat="1" applyFont="1" applyProtection="1">
      <protection locked="0"/>
    </xf>
    <xf numFmtId="3" fontId="0" fillId="0" borderId="0" xfId="0" applyNumberFormat="1"/>
    <xf numFmtId="174" fontId="17" fillId="0" borderId="3" xfId="0" applyNumberFormat="1" applyFont="1" applyBorder="1" applyProtection="1"/>
    <xf numFmtId="38" fontId="17" fillId="0" borderId="3" xfId="0" applyNumberFormat="1" applyFont="1" applyBorder="1" applyAlignment="1" applyProtection="1">
      <alignment horizontal="right"/>
    </xf>
    <xf numFmtId="164" fontId="13" fillId="0" borderId="4" xfId="0" applyNumberFormat="1" applyFont="1" applyBorder="1" applyAlignment="1" applyProtection="1">
      <alignment horizontal="center" vertical="center" wrapText="1"/>
    </xf>
    <xf numFmtId="38" fontId="4" fillId="0" borderId="12" xfId="0" applyNumberFormat="1" applyFont="1" applyBorder="1" applyProtection="1">
      <protection locked="0"/>
    </xf>
    <xf numFmtId="171" fontId="0" fillId="0" borderId="0" xfId="0" applyNumberFormat="1"/>
    <xf numFmtId="1" fontId="2" fillId="0" borderId="0" xfId="6" applyNumberFormat="1" applyFont="1"/>
    <xf numFmtId="3" fontId="0" fillId="0" borderId="0" xfId="0" applyNumberFormat="1" applyBorder="1" applyAlignment="1">
      <alignment vertical="top" wrapText="1"/>
    </xf>
    <xf numFmtId="0" fontId="6" fillId="0" borderId="28" xfId="8" applyFont="1" applyBorder="1" applyAlignment="1" applyProtection="1">
      <alignment horizontal="center" wrapText="1"/>
    </xf>
    <xf numFmtId="2" fontId="0" fillId="0" borderId="0" xfId="0" applyNumberFormat="1"/>
    <xf numFmtId="3" fontId="4" fillId="0" borderId="0" xfId="0" applyNumberFormat="1" applyFont="1" applyAlignment="1">
      <alignment horizontal="center" vertical="center" wrapText="1"/>
    </xf>
    <xf numFmtId="49" fontId="13" fillId="0" borderId="0" xfId="0" applyNumberFormat="1" applyFont="1" applyFill="1" applyAlignment="1" applyProtection="1">
      <alignment horizontal="center" vertical="center"/>
    </xf>
    <xf numFmtId="0" fontId="66" fillId="0" borderId="0" xfId="0" applyFont="1" applyAlignment="1" applyProtection="1">
      <alignment horizontal="center"/>
    </xf>
    <xf numFmtId="174" fontId="17" fillId="0" borderId="4" xfId="0" applyNumberFormat="1" applyFont="1" applyBorder="1" applyAlignment="1" applyProtection="1">
      <alignment horizontal="right"/>
    </xf>
    <xf numFmtId="187" fontId="11" fillId="0" borderId="0" xfId="0" applyNumberFormat="1" applyFont="1" applyBorder="1" applyAlignment="1" applyProtection="1">
      <alignment horizontal="center" vertical="center"/>
    </xf>
    <xf numFmtId="49" fontId="11" fillId="0" borderId="0" xfId="0" applyNumberFormat="1" applyFont="1" applyFill="1" applyAlignment="1" applyProtection="1">
      <alignment horizontal="center" vertical="center"/>
    </xf>
    <xf numFmtId="190" fontId="11" fillId="0" borderId="0" xfId="0" applyNumberFormat="1" applyFont="1" applyBorder="1" applyAlignment="1" applyProtection="1">
      <alignment horizontal="center" vertical="center"/>
    </xf>
    <xf numFmtId="49" fontId="45" fillId="0" borderId="0" xfId="0" applyNumberFormat="1" applyFont="1" applyAlignment="1" applyProtection="1">
      <alignment horizontal="center" vertical="center"/>
    </xf>
    <xf numFmtId="49" fontId="27" fillId="0" borderId="0" xfId="0" applyNumberFormat="1" applyFont="1" applyBorder="1" applyAlignment="1" applyProtection="1">
      <alignment horizontal="center" vertical="center"/>
      <protection locked="0"/>
    </xf>
    <xf numFmtId="0" fontId="11" fillId="0" borderId="0" xfId="0" applyNumberFormat="1" applyFont="1" applyFill="1" applyAlignment="1" applyProtection="1">
      <alignment horizontal="center" vertical="center"/>
    </xf>
    <xf numFmtId="49" fontId="81" fillId="0" borderId="0" xfId="0" applyNumberFormat="1" applyFont="1" applyBorder="1" applyAlignment="1" applyProtection="1">
      <alignment horizontal="center" vertical="center"/>
    </xf>
    <xf numFmtId="185" fontId="80" fillId="0" borderId="0" xfId="0" applyNumberFormat="1" applyFont="1"/>
    <xf numFmtId="4" fontId="80" fillId="0" borderId="0" xfId="0" applyNumberFormat="1" applyFont="1"/>
    <xf numFmtId="49" fontId="45" fillId="0" borderId="0" xfId="6" applyNumberFormat="1" applyFont="1" applyAlignment="1">
      <alignment horizontal="left"/>
    </xf>
    <xf numFmtId="49" fontId="45" fillId="0" borderId="0" xfId="6" applyNumberFormat="1" applyFont="1"/>
    <xf numFmtId="0" fontId="27" fillId="0" borderId="0" xfId="0" applyFont="1" applyAlignment="1">
      <alignment horizontal="center"/>
    </xf>
    <xf numFmtId="164" fontId="4" fillId="0" borderId="0" xfId="0" applyNumberFormat="1" applyFont="1" applyBorder="1"/>
    <xf numFmtId="164" fontId="4" fillId="1" borderId="10" xfId="0" applyNumberFormat="1" applyFont="1" applyFill="1" applyBorder="1"/>
    <xf numFmtId="49" fontId="82" fillId="0" borderId="0" xfId="0" applyNumberFormat="1" applyFont="1" applyBorder="1" applyAlignment="1" applyProtection="1">
      <alignment horizontal="center" vertical="center"/>
    </xf>
    <xf numFmtId="49" fontId="81" fillId="0" borderId="0" xfId="0" applyNumberFormat="1" applyFont="1" applyBorder="1" applyAlignment="1" applyProtection="1">
      <alignment horizontal="center" vertical="center"/>
      <protection hidden="1"/>
    </xf>
    <xf numFmtId="49" fontId="81" fillId="0" borderId="6" xfId="0" applyNumberFormat="1" applyFont="1" applyBorder="1" applyAlignment="1" applyProtection="1">
      <alignment horizontal="center" vertical="center"/>
      <protection hidden="1"/>
    </xf>
    <xf numFmtId="164" fontId="4" fillId="0" borderId="3" xfId="0" applyNumberFormat="1" applyFont="1" applyBorder="1" applyAlignment="1" applyProtection="1">
      <alignment horizontal="center"/>
    </xf>
    <xf numFmtId="164" fontId="4" fillId="0" borderId="17" xfId="0" applyNumberFormat="1" applyFont="1" applyBorder="1" applyProtection="1"/>
    <xf numFmtId="164" fontId="4" fillId="0" borderId="29" xfId="0" applyNumberFormat="1" applyFont="1" applyBorder="1" applyProtection="1"/>
    <xf numFmtId="169" fontId="4" fillId="0" borderId="29" xfId="0" applyNumberFormat="1" applyFont="1" applyBorder="1" applyProtection="1"/>
    <xf numFmtId="0" fontId="4" fillId="0" borderId="29" xfId="0" applyFont="1" applyBorder="1" applyProtection="1"/>
    <xf numFmtId="164" fontId="4" fillId="0" borderId="3" xfId="0" applyNumberFormat="1" applyFont="1" applyBorder="1" applyAlignment="1">
      <alignment horizontal="center"/>
    </xf>
    <xf numFmtId="0" fontId="4" fillId="0" borderId="11" xfId="0" applyFont="1" applyBorder="1" applyProtection="1"/>
    <xf numFmtId="164" fontId="4" fillId="0" borderId="30" xfId="0" applyNumberFormat="1" applyFont="1" applyBorder="1" applyAlignment="1" applyProtection="1">
      <alignment horizontal="center"/>
    </xf>
    <xf numFmtId="38" fontId="4" fillId="0" borderId="26" xfId="0" applyNumberFormat="1" applyFont="1" applyBorder="1" applyProtection="1">
      <protection locked="0"/>
    </xf>
    <xf numFmtId="38" fontId="4" fillId="0" borderId="31" xfId="0" applyNumberFormat="1" applyFont="1" applyBorder="1" applyProtection="1">
      <protection locked="0"/>
    </xf>
    <xf numFmtId="38" fontId="18" fillId="0" borderId="26" xfId="0" applyNumberFormat="1" applyFont="1" applyBorder="1" applyProtection="1"/>
    <xf numFmtId="38" fontId="4" fillId="0" borderId="30" xfId="0" applyNumberFormat="1" applyFont="1" applyBorder="1" applyProtection="1">
      <protection locked="0"/>
    </xf>
    <xf numFmtId="38" fontId="18" fillId="0" borderId="32" xfId="0" applyNumberFormat="1" applyFont="1" applyBorder="1" applyProtection="1"/>
    <xf numFmtId="38" fontId="17" fillId="0" borderId="26" xfId="0" applyNumberFormat="1" applyFont="1" applyBorder="1" applyProtection="1"/>
    <xf numFmtId="164" fontId="4" fillId="0" borderId="33" xfId="0" applyNumberFormat="1" applyFont="1" applyBorder="1"/>
    <xf numFmtId="38" fontId="17" fillId="0" borderId="26" xfId="0" applyNumberFormat="1" applyFont="1" applyFill="1" applyBorder="1" applyProtection="1"/>
    <xf numFmtId="0" fontId="53" fillId="0" borderId="0" xfId="0" applyFont="1" applyBorder="1"/>
    <xf numFmtId="164" fontId="4" fillId="0" borderId="34" xfId="0" applyNumberFormat="1" applyFont="1" applyBorder="1" applyAlignment="1">
      <alignment horizontal="center" vertical="top"/>
    </xf>
    <xf numFmtId="0" fontId="4" fillId="0" borderId="12" xfId="0" quotePrefix="1" applyFont="1" applyBorder="1" applyAlignment="1">
      <alignment horizontal="center"/>
    </xf>
    <xf numFmtId="38" fontId="48" fillId="0" borderId="26" xfId="0" applyNumberFormat="1" applyFont="1" applyBorder="1" applyProtection="1"/>
    <xf numFmtId="38" fontId="48" fillId="0" borderId="31" xfId="0" applyNumberFormat="1" applyFont="1" applyBorder="1" applyProtection="1">
      <protection locked="0"/>
    </xf>
    <xf numFmtId="38" fontId="48" fillId="0" borderId="3" xfId="0" applyNumberFormat="1" applyFont="1" applyBorder="1" applyProtection="1">
      <protection locked="0"/>
    </xf>
    <xf numFmtId="190" fontId="41" fillId="0" borderId="29" xfId="0" quotePrefix="1" applyNumberFormat="1" applyFont="1" applyBorder="1" applyAlignment="1" applyProtection="1">
      <alignment horizontal="center"/>
      <protection locked="0"/>
    </xf>
    <xf numFmtId="49" fontId="41" fillId="0" borderId="29" xfId="0" applyNumberFormat="1" applyFont="1" applyBorder="1" applyAlignment="1" applyProtection="1">
      <alignment horizontal="center"/>
      <protection locked="0"/>
    </xf>
    <xf numFmtId="0" fontId="15" fillId="0" borderId="35" xfId="8" applyFont="1" applyBorder="1" applyAlignment="1" applyProtection="1">
      <alignment horizontal="centerContinuous"/>
    </xf>
    <xf numFmtId="0" fontId="16" fillId="0" borderId="19" xfId="8" applyFont="1" applyBorder="1" applyAlignment="1" applyProtection="1">
      <alignment horizontal="centerContinuous" wrapText="1"/>
    </xf>
    <xf numFmtId="49" fontId="4" fillId="0" borderId="25" xfId="8" quotePrefix="1" applyNumberFormat="1" applyFont="1" applyBorder="1"/>
    <xf numFmtId="3" fontId="45" fillId="0" borderId="0" xfId="7" applyNumberFormat="1" applyFont="1" applyFill="1" applyAlignment="1">
      <alignment horizontal="center"/>
    </xf>
    <xf numFmtId="174" fontId="17" fillId="0" borderId="3" xfId="0" applyNumberFormat="1" applyFont="1" applyBorder="1"/>
    <xf numFmtId="0" fontId="67" fillId="0" borderId="0" xfId="0" applyFont="1"/>
    <xf numFmtId="0" fontId="67" fillId="0" borderId="0" xfId="0" applyFont="1" applyFill="1"/>
    <xf numFmtId="0" fontId="11" fillId="0" borderId="0" xfId="0" applyFont="1" applyFill="1"/>
    <xf numFmtId="0" fontId="4" fillId="0" borderId="3" xfId="0" applyFont="1" applyFill="1" applyBorder="1"/>
    <xf numFmtId="0" fontId="4" fillId="0" borderId="0" xfId="0" applyFont="1" applyFill="1"/>
    <xf numFmtId="49" fontId="4" fillId="0" borderId="0" xfId="0" applyNumberFormat="1" applyFont="1" applyFill="1"/>
    <xf numFmtId="49" fontId="6" fillId="0" borderId="0" xfId="0" applyNumberFormat="1" applyFont="1" applyFill="1"/>
    <xf numFmtId="49" fontId="4" fillId="0" borderId="3" xfId="3" applyNumberFormat="1" applyFont="1" applyFill="1" applyBorder="1" applyProtection="1"/>
    <xf numFmtId="0" fontId="4" fillId="0" borderId="3" xfId="3" applyFont="1" applyFill="1" applyBorder="1" applyProtection="1"/>
    <xf numFmtId="49" fontId="4" fillId="0" borderId="3" xfId="3" quotePrefix="1" applyNumberFormat="1" applyFont="1" applyFill="1" applyBorder="1" applyProtection="1"/>
    <xf numFmtId="49" fontId="4" fillId="0" borderId="3" xfId="3" applyNumberFormat="1" applyFont="1" applyFill="1" applyBorder="1"/>
    <xf numFmtId="0" fontId="4" fillId="0" borderId="3" xfId="3" applyFont="1" applyFill="1" applyBorder="1"/>
    <xf numFmtId="49" fontId="4" fillId="0" borderId="3" xfId="3" quotePrefix="1" applyNumberFormat="1" applyFont="1" applyFill="1" applyBorder="1"/>
    <xf numFmtId="49" fontId="4" fillId="0" borderId="9" xfId="0" applyNumberFormat="1" applyFont="1" applyFill="1" applyBorder="1"/>
    <xf numFmtId="0" fontId="4" fillId="0" borderId="9" xfId="0" applyFont="1" applyFill="1" applyBorder="1"/>
    <xf numFmtId="49" fontId="6" fillId="0" borderId="9" xfId="0" applyNumberFormat="1" applyFont="1" applyFill="1" applyBorder="1"/>
    <xf numFmtId="168" fontId="45" fillId="0" borderId="0" xfId="6" applyNumberFormat="1" applyFont="1" applyFill="1"/>
    <xf numFmtId="174" fontId="17" fillId="0" borderId="3" xfId="0" applyNumberFormat="1" applyFont="1" applyBorder="1" applyAlignment="1" applyProtection="1">
      <alignment horizontal="right"/>
    </xf>
    <xf numFmtId="0" fontId="4" fillId="1" borderId="3" xfId="0" applyFont="1" applyFill="1" applyBorder="1"/>
    <xf numFmtId="0" fontId="37" fillId="0" borderId="16" xfId="0" applyFont="1" applyBorder="1" applyAlignment="1">
      <alignment horizontal="center"/>
    </xf>
    <xf numFmtId="0" fontId="37" fillId="0" borderId="12" xfId="0" applyFont="1" applyBorder="1" applyAlignment="1">
      <alignment horizontal="center" vertical="top"/>
    </xf>
    <xf numFmtId="171" fontId="45" fillId="0" borderId="0" xfId="6" applyNumberFormat="1" applyFont="1" applyFill="1"/>
    <xf numFmtId="0" fontId="0" fillId="0" borderId="0" xfId="6" applyFont="1" applyFill="1"/>
    <xf numFmtId="3" fontId="0" fillId="0" borderId="0" xfId="6" applyNumberFormat="1" applyFont="1" applyFill="1"/>
    <xf numFmtId="2" fontId="0" fillId="0" borderId="0" xfId="6" applyNumberFormat="1" applyFont="1" applyFill="1"/>
    <xf numFmtId="3" fontId="45" fillId="0" borderId="0" xfId="6" applyNumberFormat="1" applyFont="1" applyFill="1"/>
    <xf numFmtId="176" fontId="4" fillId="0" borderId="0" xfId="0" applyNumberFormat="1" applyFont="1" applyFill="1" applyBorder="1" applyProtection="1"/>
    <xf numFmtId="0" fontId="6" fillId="0" borderId="0" xfId="0" applyFont="1" applyBorder="1" applyAlignment="1">
      <alignment horizontal="center"/>
    </xf>
    <xf numFmtId="0" fontId="13" fillId="0" borderId="0" xfId="0" applyFont="1" applyBorder="1" applyAlignment="1">
      <alignment horizontal="right"/>
    </xf>
    <xf numFmtId="0" fontId="4" fillId="0" borderId="0" xfId="0" applyFont="1" applyBorder="1" applyAlignment="1">
      <alignment horizontal="center"/>
    </xf>
    <xf numFmtId="1" fontId="2" fillId="0" borderId="0" xfId="6" applyNumberFormat="1" applyFont="1" applyAlignment="1">
      <alignment horizontal="left"/>
    </xf>
    <xf numFmtId="0" fontId="69" fillId="0" borderId="0" xfId="0" applyFont="1" applyAlignment="1">
      <alignment horizontal="center" vertical="center" wrapText="1"/>
    </xf>
    <xf numFmtId="189" fontId="45" fillId="0" borderId="0" xfId="0" applyNumberFormat="1" applyFont="1" applyBorder="1"/>
    <xf numFmtId="2" fontId="67" fillId="0" borderId="0" xfId="0" applyNumberFormat="1" applyFont="1"/>
    <xf numFmtId="185" fontId="45" fillId="0" borderId="0" xfId="6" applyNumberFormat="1" applyFont="1" applyFill="1"/>
    <xf numFmtId="185" fontId="0" fillId="0" borderId="0" xfId="6" applyNumberFormat="1" applyFont="1" applyFill="1"/>
    <xf numFmtId="3" fontId="80" fillId="0" borderId="0" xfId="0" applyNumberFormat="1" applyFont="1"/>
    <xf numFmtId="0" fontId="40" fillId="0" borderId="16" xfId="0" applyFont="1" applyBorder="1" applyAlignment="1">
      <alignment horizontal="center"/>
    </xf>
    <xf numFmtId="3" fontId="45" fillId="0" borderId="0" xfId="0" applyNumberFormat="1" applyFont="1" applyFill="1"/>
    <xf numFmtId="38" fontId="4" fillId="1" borderId="9" xfId="8" applyNumberFormat="1" applyFont="1" applyFill="1" applyBorder="1" applyProtection="1">
      <protection locked="0"/>
    </xf>
    <xf numFmtId="0" fontId="6" fillId="0" borderId="19" xfId="8" applyFont="1" applyBorder="1" applyAlignment="1" applyProtection="1">
      <alignment horizontal="center" wrapText="1"/>
    </xf>
    <xf numFmtId="49" fontId="4" fillId="1" borderId="12" xfId="8" applyNumberFormat="1" applyFont="1" applyFill="1" applyBorder="1" applyProtection="1"/>
    <xf numFmtId="0" fontId="71" fillId="0" borderId="0" xfId="0" applyFont="1" applyBorder="1" applyAlignment="1">
      <alignment horizontal="left"/>
    </xf>
    <xf numFmtId="0" fontId="6" fillId="0" borderId="0" xfId="0" applyFont="1" applyBorder="1"/>
    <xf numFmtId="0" fontId="4" fillId="0" borderId="0" xfId="0" applyFont="1" applyFill="1" applyBorder="1"/>
    <xf numFmtId="0" fontId="4" fillId="0" borderId="0" xfId="0" applyFont="1" applyAlignment="1">
      <alignment horizontal="right"/>
    </xf>
    <xf numFmtId="0" fontId="4" fillId="0" borderId="0" xfId="0" applyFont="1" applyAlignment="1">
      <alignment horizontal="left" vertical="top" wrapText="1"/>
    </xf>
    <xf numFmtId="0" fontId="35" fillId="0" borderId="0" xfId="0" applyFont="1" applyAlignment="1">
      <alignment horizontal="center"/>
    </xf>
    <xf numFmtId="0" fontId="71" fillId="0" borderId="0" xfId="0" applyFont="1" applyBorder="1" applyAlignment="1">
      <alignment horizontal="left" vertical="center"/>
    </xf>
    <xf numFmtId="3" fontId="4" fillId="0" borderId="0" xfId="0" applyNumberFormat="1" applyFont="1" applyAlignment="1" applyProtection="1">
      <alignment horizontal="center" vertical="center" wrapText="1"/>
      <protection locked="0"/>
    </xf>
    <xf numFmtId="3" fontId="55" fillId="0" borderId="0" xfId="0" applyNumberFormat="1" applyFont="1" applyProtection="1">
      <protection locked="0"/>
    </xf>
    <xf numFmtId="3" fontId="32" fillId="0" borderId="0" xfId="0" applyNumberFormat="1" applyFont="1" applyProtection="1">
      <protection locked="0"/>
    </xf>
    <xf numFmtId="3" fontId="62" fillId="0" borderId="3" xfId="0" applyNumberFormat="1" applyFont="1" applyBorder="1" applyAlignment="1" applyProtection="1">
      <alignment vertical="center"/>
    </xf>
    <xf numFmtId="3" fontId="61" fillId="0" borderId="0" xfId="0" applyNumberFormat="1" applyFont="1" applyAlignment="1">
      <alignment horizontal="center"/>
    </xf>
    <xf numFmtId="9" fontId="62" fillId="0" borderId="0" xfId="0" applyNumberFormat="1" applyFont="1" applyProtection="1"/>
    <xf numFmtId="0" fontId="45" fillId="0" borderId="0" xfId="0" applyFont="1"/>
    <xf numFmtId="2" fontId="45" fillId="0" borderId="0" xfId="0" applyNumberFormat="1" applyFont="1"/>
    <xf numFmtId="2" fontId="72" fillId="0" borderId="0" xfId="0" applyNumberFormat="1" applyFont="1"/>
    <xf numFmtId="0" fontId="0" fillId="7" borderId="0" xfId="0" applyFill="1"/>
    <xf numFmtId="0" fontId="45" fillId="7" borderId="0" xfId="0" applyFont="1" applyFill="1"/>
    <xf numFmtId="49" fontId="4" fillId="0" borderId="0" xfId="0" applyNumberFormat="1" applyFont="1" applyFill="1" applyBorder="1"/>
    <xf numFmtId="49" fontId="4" fillId="0" borderId="0" xfId="0" applyNumberFormat="1" applyFont="1" applyFill="1" applyBorder="1" applyProtection="1"/>
    <xf numFmtId="49" fontId="6" fillId="0" borderId="0" xfId="0" applyNumberFormat="1" applyFont="1" applyBorder="1"/>
    <xf numFmtId="49" fontId="6" fillId="0" borderId="0" xfId="0" applyNumberFormat="1" applyFont="1" applyFill="1" applyBorder="1"/>
    <xf numFmtId="0" fontId="4" fillId="0" borderId="3" xfId="0" applyNumberFormat="1" applyFont="1" applyBorder="1" applyAlignment="1">
      <alignment horizontal="left"/>
    </xf>
    <xf numFmtId="0" fontId="83" fillId="0" borderId="0" xfId="0" applyFont="1" applyAlignment="1" applyProtection="1">
      <alignment horizontal="center"/>
    </xf>
    <xf numFmtId="49" fontId="9" fillId="0" borderId="0" xfId="0" applyNumberFormat="1" applyFont="1" applyAlignment="1" applyProtection="1">
      <alignment horizontal="center"/>
    </xf>
    <xf numFmtId="0" fontId="84" fillId="0" borderId="0" xfId="0" applyFont="1"/>
    <xf numFmtId="49" fontId="14" fillId="0" borderId="0" xfId="0" applyNumberFormat="1" applyFont="1"/>
    <xf numFmtId="0" fontId="37" fillId="0" borderId="0" xfId="4" applyFont="1"/>
    <xf numFmtId="0" fontId="37" fillId="7" borderId="0" xfId="4" applyFont="1" applyFill="1"/>
    <xf numFmtId="0" fontId="77" fillId="0" borderId="0" xfId="4"/>
    <xf numFmtId="0" fontId="77" fillId="7" borderId="0" xfId="4" applyFill="1"/>
    <xf numFmtId="188" fontId="77" fillId="0" borderId="0" xfId="4" applyNumberFormat="1"/>
    <xf numFmtId="168" fontId="77" fillId="0" borderId="0" xfId="4" applyNumberFormat="1"/>
    <xf numFmtId="1" fontId="77" fillId="0" borderId="0" xfId="4" applyNumberFormat="1"/>
    <xf numFmtId="166" fontId="77" fillId="0" borderId="0" xfId="4" applyNumberFormat="1"/>
    <xf numFmtId="2" fontId="77" fillId="0" borderId="0" xfId="4" applyNumberFormat="1"/>
    <xf numFmtId="188" fontId="77" fillId="3" borderId="0" xfId="4" applyNumberFormat="1" applyFill="1"/>
    <xf numFmtId="0" fontId="77" fillId="3" borderId="0" xfId="4" applyFill="1"/>
    <xf numFmtId="0" fontId="77" fillId="0" borderId="0" xfId="4" applyBorder="1"/>
    <xf numFmtId="0" fontId="85" fillId="0" borderId="0" xfId="2" applyFont="1" applyFill="1" applyBorder="1" applyAlignment="1">
      <alignment horizontal="left" vertical="top"/>
    </xf>
    <xf numFmtId="1" fontId="85" fillId="0" borderId="0" xfId="2" applyNumberFormat="1" applyFont="1" applyFill="1" applyBorder="1" applyAlignment="1">
      <alignment horizontal="right" vertical="top"/>
    </xf>
    <xf numFmtId="2" fontId="85" fillId="0" borderId="0" xfId="2" applyNumberFormat="1" applyFont="1" applyFill="1" applyBorder="1" applyAlignment="1">
      <alignment horizontal="right" vertical="top"/>
    </xf>
    <xf numFmtId="1" fontId="0" fillId="0" borderId="0" xfId="0" applyNumberFormat="1"/>
    <xf numFmtId="0" fontId="37" fillId="0" borderId="35" xfId="4" applyFont="1" applyBorder="1"/>
    <xf numFmtId="188" fontId="77" fillId="9" borderId="38" xfId="4" applyNumberFormat="1" applyFill="1" applyBorder="1"/>
    <xf numFmtId="0" fontId="77" fillId="7" borderId="38" xfId="4" applyFill="1" applyBorder="1"/>
    <xf numFmtId="0" fontId="77" fillId="0" borderId="38" xfId="4" applyBorder="1"/>
    <xf numFmtId="168" fontId="77" fillId="0" borderId="38" xfId="4" applyNumberFormat="1" applyBorder="1"/>
    <xf numFmtId="1" fontId="77" fillId="0" borderId="38" xfId="4" applyNumberFormat="1" applyBorder="1"/>
    <xf numFmtId="2" fontId="77" fillId="0" borderId="38" xfId="4" applyNumberFormat="1" applyBorder="1"/>
    <xf numFmtId="0" fontId="0" fillId="0" borderId="38" xfId="0" applyBorder="1"/>
    <xf numFmtId="1" fontId="77" fillId="7" borderId="38" xfId="4" applyNumberFormat="1" applyFill="1" applyBorder="1"/>
    <xf numFmtId="1" fontId="77" fillId="7" borderId="0" xfId="4" applyNumberFormat="1" applyFill="1"/>
    <xf numFmtId="2" fontId="77" fillId="7" borderId="38" xfId="4" applyNumberFormat="1" applyFill="1" applyBorder="1"/>
    <xf numFmtId="0" fontId="78" fillId="0" borderId="0" xfId="6" applyFont="1"/>
    <xf numFmtId="3" fontId="78" fillId="0" borderId="0" xfId="6" applyNumberFormat="1" applyFont="1"/>
    <xf numFmtId="4" fontId="78" fillId="0" borderId="0" xfId="6" applyNumberFormat="1" applyFont="1"/>
    <xf numFmtId="2" fontId="78" fillId="0" borderId="0" xfId="6" applyNumberFormat="1" applyFont="1"/>
    <xf numFmtId="188" fontId="78" fillId="0" borderId="0" xfId="6" applyNumberFormat="1" applyFont="1"/>
    <xf numFmtId="0" fontId="78" fillId="0" borderId="0" xfId="6" applyFont="1" applyFill="1"/>
    <xf numFmtId="185" fontId="78" fillId="0" borderId="0" xfId="6" applyNumberFormat="1" applyFont="1"/>
    <xf numFmtId="168" fontId="78" fillId="0" borderId="0" xfId="6" applyNumberFormat="1" applyFont="1"/>
    <xf numFmtId="184" fontId="78" fillId="0" borderId="0" xfId="6" applyNumberFormat="1" applyFont="1"/>
    <xf numFmtId="167" fontId="78" fillId="0" borderId="0" xfId="6" applyNumberFormat="1" applyFont="1"/>
    <xf numFmtId="1" fontId="78" fillId="0" borderId="0" xfId="6" applyNumberFormat="1" applyFont="1"/>
    <xf numFmtId="168" fontId="78" fillId="0" borderId="0" xfId="6" applyNumberFormat="1" applyFont="1" applyFill="1"/>
    <xf numFmtId="3" fontId="78" fillId="0" borderId="0" xfId="6" applyNumberFormat="1" applyFont="1" applyFill="1"/>
    <xf numFmtId="188" fontId="78" fillId="0" borderId="0" xfId="6" applyNumberFormat="1" applyFont="1" applyFill="1"/>
    <xf numFmtId="3" fontId="78" fillId="0" borderId="0" xfId="6" applyNumberFormat="1" applyFont="1" applyFill="1" applyAlignment="1">
      <alignment horizontal="center"/>
    </xf>
    <xf numFmtId="2" fontId="78" fillId="0" borderId="0" xfId="6" applyNumberFormat="1" applyFont="1" applyFill="1"/>
    <xf numFmtId="4" fontId="78" fillId="0" borderId="0" xfId="6" applyNumberFormat="1" applyFont="1" applyFill="1"/>
    <xf numFmtId="184" fontId="78" fillId="0" borderId="0" xfId="6" applyNumberFormat="1" applyFont="1" applyFill="1"/>
    <xf numFmtId="167" fontId="78" fillId="0" borderId="0" xfId="6" applyNumberFormat="1" applyFont="1" applyFill="1"/>
    <xf numFmtId="3" fontId="45" fillId="0" borderId="0" xfId="0" quotePrefix="1" applyNumberFormat="1" applyFont="1"/>
    <xf numFmtId="4" fontId="45" fillId="0" borderId="0" xfId="0" quotePrefix="1" applyNumberFormat="1" applyFont="1"/>
    <xf numFmtId="49" fontId="2" fillId="0" borderId="0" xfId="6" applyNumberFormat="1" applyFont="1"/>
    <xf numFmtId="176" fontId="17" fillId="0" borderId="3" xfId="0" applyNumberFormat="1" applyFont="1" applyBorder="1" applyProtection="1">
      <protection hidden="1"/>
    </xf>
    <xf numFmtId="194" fontId="17" fillId="0" borderId="3" xfId="0" applyNumberFormat="1" applyFont="1" applyBorder="1" applyProtection="1">
      <protection hidden="1"/>
    </xf>
    <xf numFmtId="173" fontId="17" fillId="0" borderId="3" xfId="0" applyNumberFormat="1" applyFont="1" applyBorder="1" applyProtection="1">
      <protection hidden="1"/>
    </xf>
    <xf numFmtId="195" fontId="0" fillId="0" borderId="0" xfId="9" applyNumberFormat="1" applyFont="1"/>
    <xf numFmtId="195" fontId="0" fillId="0" borderId="0" xfId="0" applyNumberFormat="1"/>
    <xf numFmtId="194" fontId="83" fillId="0" borderId="3" xfId="0" applyNumberFormat="1" applyFont="1" applyFill="1" applyBorder="1" applyProtection="1">
      <protection hidden="1"/>
    </xf>
    <xf numFmtId="0" fontId="4" fillId="0" borderId="3" xfId="0" applyNumberFormat="1" applyFont="1" applyBorder="1"/>
    <xf numFmtId="197" fontId="17" fillId="0" borderId="3" xfId="0" applyNumberFormat="1" applyFont="1" applyBorder="1" applyProtection="1">
      <protection hidden="1"/>
    </xf>
    <xf numFmtId="0" fontId="4" fillId="0" borderId="3" xfId="0" quotePrefix="1" applyNumberFormat="1" applyFont="1" applyBorder="1"/>
    <xf numFmtId="0" fontId="4" fillId="0" borderId="3" xfId="0" applyNumberFormat="1" applyFont="1" applyFill="1" applyBorder="1"/>
    <xf numFmtId="0" fontId="4" fillId="0" borderId="3" xfId="0" quotePrefix="1" applyNumberFormat="1" applyFont="1" applyFill="1" applyBorder="1"/>
    <xf numFmtId="38" fontId="4" fillId="0" borderId="0" xfId="0" applyNumberFormat="1" applyFont="1"/>
    <xf numFmtId="200" fontId="4" fillId="2" borderId="3" xfId="0" applyNumberFormat="1" applyFont="1" applyFill="1" applyBorder="1" applyProtection="1">
      <protection locked="0"/>
    </xf>
    <xf numFmtId="0" fontId="4" fillId="0" borderId="3" xfId="0" applyNumberFormat="1" applyFont="1" applyFill="1" applyBorder="1" applyProtection="1"/>
    <xf numFmtId="9" fontId="0" fillId="0" borderId="0" xfId="0" applyNumberFormat="1"/>
    <xf numFmtId="182" fontId="12" fillId="0" borderId="0" xfId="8" applyNumberFormat="1"/>
    <xf numFmtId="0" fontId="6" fillId="0" borderId="0" xfId="0" applyNumberFormat="1" applyFont="1"/>
    <xf numFmtId="49" fontId="17" fillId="0" borderId="3" xfId="1" applyNumberFormat="1" applyFont="1" applyBorder="1" applyAlignment="1" applyProtection="1"/>
    <xf numFmtId="176" fontId="83" fillId="0" borderId="3" xfId="0" applyNumberFormat="1" applyFont="1" applyFill="1" applyBorder="1" applyProtection="1"/>
    <xf numFmtId="0" fontId="4" fillId="0" borderId="3" xfId="10" applyFont="1" applyBorder="1"/>
    <xf numFmtId="0" fontId="4" fillId="0" borderId="11" xfId="8" applyFont="1" applyBorder="1" applyAlignment="1" applyProtection="1">
      <alignment wrapText="1"/>
    </xf>
    <xf numFmtId="0" fontId="6" fillId="0" borderId="19" xfId="8" applyFont="1" applyBorder="1" applyAlignment="1" applyProtection="1">
      <alignment horizontal="center" wrapText="1"/>
    </xf>
    <xf numFmtId="0" fontId="4" fillId="1" borderId="3" xfId="10" applyFont="1" applyFill="1" applyBorder="1"/>
    <xf numFmtId="0" fontId="4" fillId="0" borderId="12" xfId="8" applyFont="1" applyBorder="1" applyAlignment="1" applyProtection="1">
      <alignment horizontal="center" wrapText="1"/>
      <protection locked="0"/>
    </xf>
    <xf numFmtId="174" fontId="17" fillId="0" borderId="0" xfId="0" applyNumberFormat="1" applyFont="1" applyBorder="1"/>
    <xf numFmtId="49" fontId="4" fillId="0" borderId="20" xfId="0" applyNumberFormat="1" applyFont="1" applyBorder="1"/>
    <xf numFmtId="165" fontId="83" fillId="0" borderId="3" xfId="0" applyNumberFormat="1" applyFont="1" applyBorder="1" applyAlignment="1">
      <alignment horizontal="right"/>
    </xf>
    <xf numFmtId="0" fontId="83" fillId="0" borderId="3" xfId="0" applyFont="1" applyBorder="1" applyAlignment="1">
      <alignment horizontal="right"/>
    </xf>
    <xf numFmtId="38" fontId="83" fillId="0" borderId="3" xfId="0" applyNumberFormat="1" applyFont="1" applyBorder="1" applyAlignment="1">
      <alignment horizontal="right"/>
    </xf>
    <xf numFmtId="0" fontId="6" fillId="0" borderId="3" xfId="10" applyFont="1" applyBorder="1"/>
    <xf numFmtId="176" fontId="83" fillId="2" borderId="3" xfId="0" applyNumberFormat="1" applyFont="1" applyFill="1" applyBorder="1" applyProtection="1"/>
    <xf numFmtId="0" fontId="0" fillId="10" borderId="0" xfId="6" applyFont="1" applyFill="1"/>
    <xf numFmtId="169" fontId="83" fillId="0" borderId="0" xfId="0" applyNumberFormat="1" applyFont="1" applyBorder="1" applyAlignment="1">
      <alignment horizontal="left"/>
    </xf>
    <xf numFmtId="169" fontId="87" fillId="0" borderId="0" xfId="0" applyNumberFormat="1" applyFont="1" applyAlignment="1">
      <alignment horizontal="left"/>
    </xf>
    <xf numFmtId="49" fontId="4" fillId="0" borderId="0" xfId="0" applyNumberFormat="1" applyFont="1" applyAlignment="1" applyProtection="1">
      <alignment horizontal="left"/>
    </xf>
    <xf numFmtId="49" fontId="4" fillId="0" borderId="0" xfId="0" applyNumberFormat="1" applyFont="1" applyAlignment="1">
      <alignment horizontal="left"/>
    </xf>
    <xf numFmtId="0" fontId="4" fillId="0" borderId="11" xfId="8" applyFont="1" applyBorder="1" applyAlignment="1" applyProtection="1">
      <alignment vertical="center" wrapText="1"/>
    </xf>
    <xf numFmtId="0" fontId="4" fillId="0" borderId="14" xfId="8" applyFont="1" applyBorder="1" applyAlignment="1" applyProtection="1">
      <alignment horizontal="center" vertical="center" wrapText="1"/>
      <protection locked="0"/>
    </xf>
    <xf numFmtId="0" fontId="27" fillId="0" borderId="0" xfId="0" quotePrefix="1" applyNumberFormat="1" applyFont="1" applyBorder="1" applyAlignment="1" applyProtection="1">
      <alignment horizontal="center" wrapText="1"/>
    </xf>
    <xf numFmtId="0" fontId="25" fillId="0" borderId="6" xfId="0" applyNumberFormat="1" applyFont="1" applyBorder="1" applyAlignment="1" applyProtection="1">
      <alignment horizontal="center" wrapText="1"/>
    </xf>
    <xf numFmtId="0" fontId="4" fillId="0" borderId="0" xfId="0" applyFont="1" applyAlignment="1">
      <alignment horizontal="left"/>
    </xf>
    <xf numFmtId="1" fontId="77" fillId="0" borderId="0" xfId="4" applyNumberFormat="1" applyFill="1"/>
    <xf numFmtId="0" fontId="0" fillId="0" borderId="0" xfId="0" applyFill="1"/>
    <xf numFmtId="0" fontId="4" fillId="0" borderId="0" xfId="0" applyNumberFormat="1" applyFont="1" applyFill="1" applyBorder="1" applyProtection="1"/>
    <xf numFmtId="38" fontId="17" fillId="0" borderId="3" xfId="0" applyNumberFormat="1" applyFont="1" applyBorder="1" applyAlignment="1" applyProtection="1">
      <alignment horizontal="left"/>
    </xf>
    <xf numFmtId="0" fontId="0" fillId="11" borderId="0" xfId="0" applyFill="1"/>
    <xf numFmtId="0" fontId="4" fillId="11" borderId="0" xfId="0" applyFont="1" applyFill="1"/>
    <xf numFmtId="179" fontId="4" fillId="4" borderId="3" xfId="0" applyNumberFormat="1" applyFont="1" applyFill="1" applyBorder="1" applyProtection="1">
      <protection locked="0"/>
    </xf>
    <xf numFmtId="2" fontId="4" fillId="0" borderId="0" xfId="0" applyNumberFormat="1" applyFont="1"/>
    <xf numFmtId="176" fontId="4" fillId="4" borderId="3" xfId="0" applyNumberFormat="1" applyFont="1" applyFill="1" applyBorder="1" applyProtection="1">
      <protection locked="0"/>
    </xf>
    <xf numFmtId="3" fontId="83" fillId="0" borderId="0" xfId="0" applyNumberFormat="1" applyFont="1"/>
    <xf numFmtId="0" fontId="14" fillId="0" borderId="0" xfId="0" applyFont="1"/>
    <xf numFmtId="38" fontId="4" fillId="4" borderId="3" xfId="0" applyNumberFormat="1" applyFont="1" applyFill="1" applyBorder="1" applyProtection="1">
      <protection locked="0"/>
    </xf>
    <xf numFmtId="38" fontId="4" fillId="4" borderId="3" xfId="0" applyNumberFormat="1" applyFont="1" applyFill="1" applyBorder="1" applyAlignment="1" applyProtection="1">
      <alignment horizontal="left"/>
      <protection locked="0"/>
    </xf>
    <xf numFmtId="0" fontId="88" fillId="0" borderId="0" xfId="6" applyFont="1"/>
    <xf numFmtId="3" fontId="88" fillId="0" borderId="0" xfId="6" applyNumberFormat="1" applyFont="1"/>
    <xf numFmtId="3" fontId="2" fillId="0" borderId="0" xfId="6" applyNumberFormat="1" applyFont="1" applyFill="1"/>
    <xf numFmtId="3" fontId="80" fillId="0" borderId="0" xfId="6" applyNumberFormat="1" applyFont="1"/>
    <xf numFmtId="0" fontId="2" fillId="0" borderId="0" xfId="6" applyNumberFormat="1" applyFont="1" applyFill="1"/>
    <xf numFmtId="185" fontId="11" fillId="4" borderId="3" xfId="0" applyNumberFormat="1" applyFont="1" applyFill="1" applyBorder="1" applyProtection="1">
      <protection locked="0"/>
    </xf>
    <xf numFmtId="189" fontId="11" fillId="4" borderId="3" xfId="0" applyNumberFormat="1" applyFont="1" applyFill="1" applyBorder="1" applyProtection="1">
      <protection locked="0"/>
    </xf>
    <xf numFmtId="185" fontId="80" fillId="0" borderId="0" xfId="6" applyNumberFormat="1" applyFont="1"/>
    <xf numFmtId="167" fontId="80" fillId="0" borderId="0" xfId="6" applyNumberFormat="1" applyFont="1"/>
    <xf numFmtId="168" fontId="80" fillId="0" borderId="0" xfId="6" applyNumberFormat="1" applyFont="1"/>
    <xf numFmtId="0" fontId="6" fillId="0" borderId="0" xfId="0" applyFont="1" applyBorder="1" applyAlignment="1"/>
    <xf numFmtId="0" fontId="78" fillId="0" borderId="0" xfId="6" applyFont="1" applyFill="1" applyAlignment="1">
      <alignment horizontal="center"/>
    </xf>
    <xf numFmtId="0" fontId="0" fillId="7" borderId="0" xfId="6" applyFont="1" applyFill="1"/>
    <xf numFmtId="1" fontId="2" fillId="0" borderId="0" xfId="7" applyNumberFormat="1" applyFont="1"/>
    <xf numFmtId="0" fontId="2" fillId="0" borderId="0" xfId="6" applyNumberFormat="1" applyFont="1" applyAlignment="1">
      <alignment horizontal="right"/>
    </xf>
    <xf numFmtId="1" fontId="2" fillId="0" borderId="0" xfId="6" applyNumberFormat="1" applyFont="1" applyAlignment="1">
      <alignment horizontal="right"/>
    </xf>
    <xf numFmtId="0" fontId="45" fillId="0" borderId="0" xfId="7" applyFont="1" applyFill="1"/>
    <xf numFmtId="0" fontId="45" fillId="0" borderId="0" xfId="7" applyFont="1" applyFill="1" applyAlignment="1">
      <alignment horizontal="center" wrapText="1"/>
    </xf>
    <xf numFmtId="0" fontId="45" fillId="0" borderId="0" xfId="7" applyFont="1" applyFill="1" applyAlignment="1">
      <alignment wrapText="1"/>
    </xf>
    <xf numFmtId="3" fontId="2" fillId="0" borderId="0" xfId="7" applyNumberFormat="1" applyFont="1" applyFill="1" applyAlignment="1">
      <alignment horizontal="center"/>
    </xf>
    <xf numFmtId="0" fontId="91" fillId="0" borderId="0" xfId="0" applyFont="1" applyBorder="1"/>
    <xf numFmtId="38" fontId="91" fillId="3" borderId="0" xfId="0" applyNumberFormat="1" applyFont="1" applyFill="1" applyBorder="1"/>
    <xf numFmtId="3" fontId="45" fillId="0" borderId="0" xfId="7" applyNumberFormat="1" applyFont="1" applyAlignment="1">
      <alignment vertical="top" wrapText="1"/>
    </xf>
    <xf numFmtId="0" fontId="2" fillId="3" borderId="0" xfId="7" applyFont="1" applyFill="1" applyAlignment="1">
      <alignment wrapText="1"/>
    </xf>
    <xf numFmtId="38" fontId="17" fillId="0" borderId="0" xfId="0" applyNumberFormat="1" applyFont="1" applyBorder="1" applyProtection="1">
      <protection locked="0"/>
    </xf>
    <xf numFmtId="38" fontId="4" fillId="0" borderId="0" xfId="0" applyNumberFormat="1" applyFont="1" applyBorder="1" applyProtection="1">
      <protection locked="0"/>
    </xf>
    <xf numFmtId="38" fontId="17" fillId="3" borderId="4" xfId="0" applyNumberFormat="1" applyFont="1" applyFill="1" applyBorder="1" applyProtection="1">
      <protection locked="0"/>
    </xf>
    <xf numFmtId="0" fontId="2" fillId="0" borderId="0" xfId="7" applyFont="1" applyAlignment="1">
      <alignment horizontal="right"/>
    </xf>
    <xf numFmtId="49" fontId="90" fillId="0" borderId="0" xfId="7" applyNumberFormat="1" applyFont="1" applyFill="1" applyBorder="1" applyAlignment="1"/>
    <xf numFmtId="1" fontId="90" fillId="0" borderId="0" xfId="7" applyNumberFormat="1" applyFont="1" applyFill="1" applyBorder="1" applyAlignment="1"/>
    <xf numFmtId="0" fontId="90" fillId="0" borderId="0" xfId="7" applyNumberFormat="1" applyFont="1" applyFill="1" applyBorder="1" applyAlignment="1"/>
    <xf numFmtId="0" fontId="0" fillId="0" borderId="0" xfId="0" applyFill="1" applyBorder="1"/>
    <xf numFmtId="171" fontId="88" fillId="0" borderId="0" xfId="0" applyNumberFormat="1" applyFont="1" applyFill="1" applyBorder="1"/>
    <xf numFmtId="1" fontId="80" fillId="0" borderId="0" xfId="6" applyNumberFormat="1" applyFont="1" applyFill="1" applyBorder="1" applyAlignment="1"/>
    <xf numFmtId="0" fontId="88" fillId="0" borderId="0" xfId="0" applyFont="1" applyFill="1" applyBorder="1"/>
    <xf numFmtId="49" fontId="80" fillId="0" borderId="0" xfId="6" applyNumberFormat="1" applyFont="1" applyFill="1" applyBorder="1" applyAlignment="1">
      <alignment horizontal="left"/>
    </xf>
    <xf numFmtId="49" fontId="80" fillId="0" borderId="0" xfId="6" applyNumberFormat="1" applyFont="1" applyFill="1" applyBorder="1" applyAlignment="1"/>
    <xf numFmtId="1" fontId="80" fillId="0" borderId="0" xfId="6" applyNumberFormat="1" applyFont="1" applyFill="1" applyBorder="1" applyAlignment="1">
      <alignment horizontal="left"/>
    </xf>
    <xf numFmtId="3" fontId="0" fillId="0" borderId="0" xfId="0" applyNumberFormat="1" applyFill="1" applyBorder="1"/>
    <xf numFmtId="0" fontId="80" fillId="0" borderId="0" xfId="6" applyNumberFormat="1" applyFont="1" applyFill="1" applyBorder="1" applyAlignment="1">
      <alignment horizontal="left"/>
    </xf>
    <xf numFmtId="0" fontId="0" fillId="0" borderId="0" xfId="0" applyFill="1" applyBorder="1" applyAlignment="1">
      <alignment horizontal="left"/>
    </xf>
    <xf numFmtId="49" fontId="75" fillId="0" borderId="3" xfId="0" applyNumberFormat="1" applyFont="1" applyFill="1" applyBorder="1" applyAlignment="1" applyProtection="1">
      <alignment vertical="center"/>
      <protection locked="0"/>
    </xf>
    <xf numFmtId="0" fontId="0" fillId="0" borderId="0" xfId="0"/>
    <xf numFmtId="0" fontId="4" fillId="0" borderId="0" xfId="0" applyFont="1"/>
    <xf numFmtId="0" fontId="11" fillId="0" borderId="0" xfId="0" applyFont="1"/>
    <xf numFmtId="49" fontId="4" fillId="0" borderId="3" xfId="0" applyNumberFormat="1" applyFont="1" applyBorder="1"/>
    <xf numFmtId="0" fontId="17" fillId="0" borderId="0" xfId="0" applyFont="1"/>
    <xf numFmtId="0" fontId="11" fillId="8" borderId="0" xfId="0" applyFont="1" applyFill="1" applyBorder="1"/>
    <xf numFmtId="181" fontId="75" fillId="0" borderId="3" xfId="0" quotePrefix="1" applyNumberFormat="1" applyFont="1" applyFill="1" applyBorder="1" applyAlignment="1" applyProtection="1">
      <alignment horizontal="center" vertical="center"/>
    </xf>
    <xf numFmtId="0" fontId="0" fillId="11" borderId="0" xfId="0" applyFill="1"/>
    <xf numFmtId="0" fontId="4" fillId="11" borderId="0" xfId="0" applyFont="1" applyFill="1"/>
    <xf numFmtId="3" fontId="83" fillId="0" borderId="0" xfId="0" applyNumberFormat="1" applyFont="1"/>
    <xf numFmtId="185" fontId="11" fillId="4" borderId="3" xfId="0" applyNumberFormat="1" applyFont="1" applyFill="1" applyBorder="1" applyProtection="1">
      <protection locked="0"/>
    </xf>
    <xf numFmtId="0" fontId="6" fillId="0" borderId="0" xfId="0" applyFont="1" applyBorder="1" applyAlignment="1"/>
    <xf numFmtId="3" fontId="2" fillId="0" borderId="0" xfId="6" applyNumberFormat="1" applyFont="1" applyFill="1"/>
    <xf numFmtId="0" fontId="6" fillId="8" borderId="11" xfId="11" applyFont="1" applyFill="1" applyBorder="1" applyAlignment="1">
      <alignment horizontal="center"/>
    </xf>
    <xf numFmtId="3" fontId="80" fillId="0" borderId="0" xfId="6" applyNumberFormat="1" applyFont="1"/>
    <xf numFmtId="0" fontId="2" fillId="0" borderId="0" xfId="11" applyAlignment="1">
      <alignment horizontal="center"/>
    </xf>
    <xf numFmtId="49" fontId="4" fillId="0" borderId="12" xfId="0" applyNumberFormat="1" applyFont="1" applyBorder="1"/>
    <xf numFmtId="49" fontId="11" fillId="0" borderId="3" xfId="0" applyNumberFormat="1" applyFont="1" applyBorder="1"/>
    <xf numFmtId="0" fontId="93" fillId="0" borderId="0" xfId="0" applyFont="1"/>
    <xf numFmtId="49" fontId="4" fillId="11" borderId="0" xfId="0" applyNumberFormat="1" applyFont="1" applyFill="1" applyBorder="1"/>
    <xf numFmtId="165" fontId="83" fillId="0" borderId="0" xfId="0" applyNumberFormat="1" applyFont="1" applyBorder="1" applyAlignment="1">
      <alignment horizontal="right"/>
    </xf>
    <xf numFmtId="0" fontId="83" fillId="0" borderId="0" xfId="0" applyFont="1" applyBorder="1" applyAlignment="1">
      <alignment horizontal="right"/>
    </xf>
    <xf numFmtId="38" fontId="83" fillId="0" borderId="0" xfId="0" applyNumberFormat="1" applyFont="1" applyBorder="1" applyAlignment="1">
      <alignment horizontal="right"/>
    </xf>
    <xf numFmtId="0" fontId="6" fillId="0" borderId="0" xfId="10" applyFont="1" applyBorder="1"/>
    <xf numFmtId="0" fontId="11" fillId="11" borderId="0" xfId="0" applyFont="1" applyFill="1"/>
    <xf numFmtId="0" fontId="94" fillId="0" borderId="0" xfId="0" applyFont="1"/>
    <xf numFmtId="3" fontId="62" fillId="7" borderId="3" xfId="0" applyNumberFormat="1" applyFont="1" applyFill="1" applyBorder="1"/>
    <xf numFmtId="3" fontId="62" fillId="7" borderId="3" xfId="0" applyNumberFormat="1" applyFont="1" applyFill="1" applyBorder="1" applyProtection="1"/>
    <xf numFmtId="3" fontId="62" fillId="7" borderId="27" xfId="0" applyNumberFormat="1" applyFont="1" applyFill="1" applyBorder="1"/>
    <xf numFmtId="3" fontId="62" fillId="7" borderId="27" xfId="0" applyNumberFormat="1" applyFont="1" applyFill="1" applyBorder="1" applyProtection="1"/>
    <xf numFmtId="3" fontId="62" fillId="4" borderId="3" xfId="0" applyNumberFormat="1" applyFont="1" applyFill="1" applyBorder="1" applyProtection="1">
      <protection locked="0"/>
    </xf>
    <xf numFmtId="3" fontId="62" fillId="7" borderId="3" xfId="0" applyNumberFormat="1" applyFont="1" applyFill="1" applyBorder="1" applyAlignment="1" applyProtection="1">
      <alignment vertical="center"/>
    </xf>
    <xf numFmtId="3" fontId="62" fillId="7" borderId="27" xfId="0" applyNumberFormat="1" applyFont="1" applyFill="1" applyBorder="1" applyAlignment="1" applyProtection="1">
      <alignment vertical="center"/>
    </xf>
    <xf numFmtId="3" fontId="45" fillId="7" borderId="0" xfId="6" applyNumberFormat="1" applyFont="1" applyFill="1"/>
    <xf numFmtId="193" fontId="83" fillId="0" borderId="0" xfId="0" applyNumberFormat="1" applyFont="1" applyFill="1" applyBorder="1" applyProtection="1"/>
    <xf numFmtId="49" fontId="4" fillId="0" borderId="0" xfId="3" applyNumberFormat="1" applyFont="1" applyFill="1" applyBorder="1"/>
    <xf numFmtId="176" fontId="22" fillId="0" borderId="0" xfId="0" applyNumberFormat="1" applyFont="1" applyFill="1" applyBorder="1" applyProtection="1"/>
    <xf numFmtId="38" fontId="4" fillId="4" borderId="3" xfId="0" applyNumberFormat="1" applyFont="1" applyFill="1" applyBorder="1" applyAlignment="1" applyProtection="1">
      <alignment horizontal="right"/>
      <protection locked="0"/>
    </xf>
    <xf numFmtId="0" fontId="45" fillId="7" borderId="0" xfId="6" applyFont="1" applyFill="1"/>
    <xf numFmtId="195" fontId="4" fillId="0" borderId="0" xfId="9" applyNumberFormat="1" applyFont="1"/>
    <xf numFmtId="202" fontId="17" fillId="0" borderId="3" xfId="0" applyNumberFormat="1" applyFont="1" applyBorder="1" applyProtection="1">
      <protection hidden="1"/>
    </xf>
    <xf numFmtId="0" fontId="4" fillId="0" borderId="0" xfId="0" applyFont="1" applyAlignment="1">
      <alignment horizontal="right"/>
    </xf>
    <xf numFmtId="0" fontId="128" fillId="0" borderId="0" xfId="141"/>
    <xf numFmtId="3" fontId="128" fillId="0" borderId="0" xfId="141" applyNumberFormat="1"/>
    <xf numFmtId="203" fontId="128" fillId="0" borderId="0" xfId="141" applyNumberFormat="1"/>
    <xf numFmtId="4" fontId="128" fillId="0" borderId="0" xfId="141" applyNumberFormat="1"/>
    <xf numFmtId="185" fontId="128" fillId="0" borderId="0" xfId="141" applyNumberFormat="1"/>
    <xf numFmtId="169" fontId="128" fillId="0" borderId="0" xfId="141" applyNumberFormat="1"/>
    <xf numFmtId="171" fontId="128" fillId="0" borderId="0" xfId="141" applyNumberFormat="1"/>
    <xf numFmtId="2" fontId="128" fillId="0" borderId="0" xfId="141" applyNumberFormat="1"/>
    <xf numFmtId="203" fontId="128" fillId="0" borderId="0" xfId="141" applyNumberFormat="1" applyBorder="1"/>
    <xf numFmtId="4" fontId="128" fillId="0" borderId="0" xfId="141" applyNumberFormat="1" applyBorder="1" applyAlignment="1">
      <alignment horizontal="right"/>
    </xf>
    <xf numFmtId="4" fontId="128" fillId="0" borderId="0" xfId="141" applyNumberFormat="1" applyBorder="1"/>
    <xf numFmtId="204" fontId="128" fillId="0" borderId="0" xfId="141" applyNumberFormat="1"/>
    <xf numFmtId="203" fontId="128" fillId="0" borderId="42" xfId="141" applyNumberFormat="1" applyBorder="1"/>
    <xf numFmtId="4" fontId="128" fillId="0" borderId="42" xfId="141" applyNumberFormat="1" applyBorder="1"/>
    <xf numFmtId="185" fontId="128" fillId="0" borderId="42" xfId="141" applyNumberFormat="1" applyBorder="1"/>
    <xf numFmtId="0" fontId="90" fillId="0" borderId="0" xfId="141" applyFont="1"/>
    <xf numFmtId="2" fontId="128" fillId="0" borderId="0" xfId="141" applyNumberFormat="1" applyFill="1"/>
    <xf numFmtId="0" fontId="2" fillId="0" borderId="0" xfId="141" applyFont="1"/>
    <xf numFmtId="0" fontId="2" fillId="0" borderId="0" xfId="141" applyFont="1" applyBorder="1" applyAlignment="1">
      <alignment horizontal="center"/>
    </xf>
    <xf numFmtId="203" fontId="2" fillId="0" borderId="0" xfId="141" applyNumberFormat="1" applyFont="1" applyBorder="1" applyAlignment="1">
      <alignment horizontal="center"/>
    </xf>
    <xf numFmtId="4" fontId="2" fillId="0" borderId="0" xfId="141" applyNumberFormat="1" applyFont="1" applyBorder="1" applyAlignment="1">
      <alignment horizontal="center"/>
    </xf>
    <xf numFmtId="171" fontId="2" fillId="0" borderId="0" xfId="141" applyNumberFormat="1" applyFont="1" applyBorder="1" applyAlignment="1">
      <alignment horizontal="center"/>
    </xf>
    <xf numFmtId="169" fontId="2" fillId="0" borderId="0" xfId="141" applyNumberFormat="1" applyFont="1" applyBorder="1" applyAlignment="1">
      <alignment horizontal="left"/>
    </xf>
    <xf numFmtId="169" fontId="2" fillId="0" borderId="0" xfId="141" applyNumberFormat="1" applyFont="1" applyBorder="1" applyAlignment="1">
      <alignment horizontal="center"/>
    </xf>
    <xf numFmtId="171" fontId="2" fillId="0" borderId="0" xfId="141" applyNumberFormat="1" applyFont="1" applyBorder="1" applyAlignment="1">
      <alignment horizontal="left"/>
    </xf>
    <xf numFmtId="203" fontId="89" fillId="0" borderId="13" xfId="141" applyNumberFormat="1" applyFont="1" applyBorder="1" applyAlignment="1">
      <alignment horizontal="right"/>
    </xf>
    <xf numFmtId="0" fontId="89" fillId="0" borderId="11" xfId="141" applyFont="1" applyBorder="1" applyAlignment="1">
      <alignment horizontal="center"/>
    </xf>
    <xf numFmtId="203" fontId="2" fillId="0" borderId="11" xfId="141" applyNumberFormat="1" applyFont="1" applyBorder="1" applyAlignment="1">
      <alignment horizontal="center"/>
    </xf>
    <xf numFmtId="4" fontId="2" fillId="0" borderId="11" xfId="141" applyNumberFormat="1" applyFont="1" applyBorder="1" applyAlignment="1">
      <alignment horizontal="center"/>
    </xf>
    <xf numFmtId="171" fontId="89" fillId="0" borderId="11" xfId="141" applyNumberFormat="1" applyFont="1" applyBorder="1" applyAlignment="1">
      <alignment horizontal="center"/>
    </xf>
    <xf numFmtId="169" fontId="89" fillId="0" borderId="7" xfId="141" applyNumberFormat="1" applyFont="1" applyBorder="1" applyAlignment="1">
      <alignment horizontal="right"/>
    </xf>
    <xf numFmtId="203" fontId="89" fillId="0" borderId="6" xfId="141" applyNumberFormat="1" applyFont="1" applyBorder="1" applyAlignment="1">
      <alignment horizontal="right"/>
    </xf>
    <xf numFmtId="0" fontId="89" fillId="0" borderId="0" xfId="141" applyFont="1" applyBorder="1" applyAlignment="1">
      <alignment horizontal="center"/>
    </xf>
    <xf numFmtId="171" fontId="89" fillId="0" borderId="0" xfId="141" applyNumberFormat="1" applyFont="1" applyBorder="1" applyAlignment="1">
      <alignment horizontal="center"/>
    </xf>
    <xf numFmtId="169" fontId="89" fillId="0" borderId="17" xfId="141" applyNumberFormat="1" applyFont="1" applyBorder="1" applyAlignment="1">
      <alignment horizontal="right"/>
    </xf>
    <xf numFmtId="203" fontId="89" fillId="0" borderId="10" xfId="141" applyNumberFormat="1" applyFont="1" applyBorder="1" applyAlignment="1">
      <alignment horizontal="right"/>
    </xf>
    <xf numFmtId="4" fontId="89" fillId="0" borderId="20" xfId="141" applyNumberFormat="1" applyFont="1" applyBorder="1" applyAlignment="1">
      <alignment horizontal="right"/>
    </xf>
    <xf numFmtId="203" fontId="2" fillId="0" borderId="20" xfId="141" applyNumberFormat="1" applyFont="1" applyBorder="1" applyAlignment="1">
      <alignment horizontal="center"/>
    </xf>
    <xf numFmtId="4" fontId="2" fillId="0" borderId="20" xfId="141" applyNumberFormat="1" applyFont="1" applyBorder="1" applyAlignment="1">
      <alignment horizontal="center"/>
    </xf>
    <xf numFmtId="169" fontId="89" fillId="0" borderId="20" xfId="141" applyNumberFormat="1" applyFont="1" applyBorder="1" applyAlignment="1">
      <alignment horizontal="right"/>
    </xf>
    <xf numFmtId="169" fontId="89" fillId="0" borderId="15" xfId="141" applyNumberFormat="1" applyFont="1" applyBorder="1" applyAlignment="1">
      <alignment horizontal="right"/>
    </xf>
    <xf numFmtId="0" fontId="2" fillId="0" borderId="11" xfId="141" applyFont="1" applyBorder="1" applyAlignment="1">
      <alignment horizontal="center"/>
    </xf>
    <xf numFmtId="171" fontId="2" fillId="0" borderId="11" xfId="141" applyNumberFormat="1" applyFont="1" applyBorder="1" applyAlignment="1">
      <alignment horizontal="center"/>
    </xf>
    <xf numFmtId="169" fontId="2" fillId="0" borderId="11" xfId="141" applyNumberFormat="1" applyFont="1" applyBorder="1" applyAlignment="1">
      <alignment horizontal="left"/>
    </xf>
    <xf numFmtId="169" fontId="2" fillId="0" borderId="11" xfId="141" applyNumberFormat="1" applyFont="1" applyBorder="1" applyAlignment="1">
      <alignment horizontal="center"/>
    </xf>
    <xf numFmtId="3" fontId="2" fillId="0" borderId="0" xfId="141" applyNumberFormat="1" applyFont="1" applyAlignment="1">
      <alignment horizontal="center"/>
    </xf>
    <xf numFmtId="0" fontId="2" fillId="0" borderId="0" xfId="141" applyFont="1" applyAlignment="1">
      <alignment horizontal="center"/>
    </xf>
    <xf numFmtId="203" fontId="2" fillId="0" borderId="0" xfId="141" applyNumberFormat="1" applyFont="1" applyAlignment="1">
      <alignment horizontal="center"/>
    </xf>
    <xf numFmtId="4" fontId="2" fillId="0" borderId="0" xfId="141" applyNumberFormat="1" applyFont="1" applyAlignment="1">
      <alignment horizontal="center"/>
    </xf>
    <xf numFmtId="171" fontId="130" fillId="0" borderId="0" xfId="141" applyNumberFormat="1" applyFont="1" applyAlignment="1">
      <alignment horizontal="left"/>
    </xf>
    <xf numFmtId="169" fontId="130" fillId="0" borderId="0" xfId="141" applyNumberFormat="1" applyFont="1" applyAlignment="1">
      <alignment horizontal="left"/>
    </xf>
    <xf numFmtId="171" fontId="2" fillId="0" borderId="0" xfId="141" applyNumberFormat="1" applyFont="1"/>
    <xf numFmtId="3" fontId="2" fillId="0" borderId="0" xfId="141" applyNumberFormat="1" applyFont="1"/>
    <xf numFmtId="203" fontId="2" fillId="0" borderId="0" xfId="141" applyNumberFormat="1" applyFont="1"/>
    <xf numFmtId="4" fontId="2" fillId="0" borderId="0" xfId="141" applyNumberFormat="1" applyFont="1"/>
    <xf numFmtId="4" fontId="2" fillId="0" borderId="0" xfId="141" applyNumberFormat="1" applyFont="1" applyAlignment="1">
      <alignment horizontal="left"/>
    </xf>
    <xf numFmtId="171" fontId="2" fillId="0" borderId="0" xfId="141" applyNumberFormat="1" applyFont="1" applyAlignment="1"/>
    <xf numFmtId="169" fontId="130" fillId="0" borderId="0" xfId="141" applyNumberFormat="1" applyFont="1" applyAlignment="1"/>
    <xf numFmtId="171" fontId="131" fillId="0" borderId="0" xfId="141" quotePrefix="1" applyNumberFormat="1" applyFont="1" applyAlignment="1"/>
    <xf numFmtId="171" fontId="130" fillId="0" borderId="0" xfId="141" applyNumberFormat="1" applyFont="1" applyAlignment="1"/>
    <xf numFmtId="0" fontId="2" fillId="0" borderId="0" xfId="0" applyFont="1" applyFill="1" applyBorder="1"/>
    <xf numFmtId="3" fontId="0" fillId="10" borderId="0" xfId="0" applyNumberFormat="1" applyFill="1" applyBorder="1"/>
    <xf numFmtId="0" fontId="0" fillId="6" borderId="0" xfId="0" applyFill="1"/>
    <xf numFmtId="0" fontId="4" fillId="6" borderId="0" xfId="0" applyNumberFormat="1" applyFont="1" applyFill="1" applyBorder="1"/>
    <xf numFmtId="2" fontId="0" fillId="6" borderId="0" xfId="0" applyNumberFormat="1" applyFill="1"/>
    <xf numFmtId="0" fontId="2" fillId="6" borderId="0" xfId="0" applyFont="1" applyFill="1"/>
    <xf numFmtId="0" fontId="4" fillId="6" borderId="0" xfId="0" applyNumberFormat="1" applyFont="1" applyFill="1"/>
    <xf numFmtId="49" fontId="75" fillId="6" borderId="0" xfId="0" applyNumberFormat="1" applyFont="1" applyFill="1" applyBorder="1" applyAlignment="1" applyProtection="1">
      <alignment vertical="center"/>
      <protection locked="0"/>
    </xf>
    <xf numFmtId="3" fontId="0" fillId="6" borderId="0" xfId="0" applyNumberFormat="1" applyFill="1"/>
    <xf numFmtId="0" fontId="2" fillId="6" borderId="0" xfId="0" quotePrefix="1" applyFont="1" applyFill="1"/>
    <xf numFmtId="0" fontId="37" fillId="6" borderId="0" xfId="4" applyFont="1" applyFill="1"/>
    <xf numFmtId="3" fontId="89" fillId="6" borderId="42" xfId="0" applyNumberFormat="1" applyFont="1" applyFill="1" applyBorder="1"/>
    <xf numFmtId="0" fontId="67" fillId="6" borderId="0" xfId="0" applyFont="1" applyFill="1"/>
    <xf numFmtId="0" fontId="11" fillId="6" borderId="0" xfId="0" applyFont="1" applyFill="1"/>
    <xf numFmtId="0" fontId="6" fillId="6" borderId="0" xfId="0" applyNumberFormat="1" applyFont="1" applyFill="1"/>
    <xf numFmtId="2" fontId="4" fillId="6" borderId="0" xfId="0" applyNumberFormat="1" applyFont="1" applyFill="1" applyBorder="1"/>
    <xf numFmtId="3" fontId="4" fillId="6" borderId="0" xfId="0" applyNumberFormat="1" applyFont="1" applyFill="1" applyBorder="1"/>
    <xf numFmtId="0" fontId="6" fillId="6" borderId="0" xfId="0" applyNumberFormat="1" applyFont="1" applyFill="1" applyAlignment="1">
      <alignment horizontal="left"/>
    </xf>
    <xf numFmtId="0" fontId="4" fillId="6" borderId="0" xfId="0" applyNumberFormat="1" applyFont="1" applyFill="1" applyBorder="1" applyProtection="1"/>
    <xf numFmtId="0" fontId="6" fillId="6" borderId="0" xfId="0" applyNumberFormat="1" applyFont="1" applyFill="1" applyBorder="1"/>
    <xf numFmtId="182" fontId="129" fillId="0" borderId="0" xfId="6" applyNumberFormat="1" applyFont="1"/>
    <xf numFmtId="182" fontId="133" fillId="0" borderId="0" xfId="8" applyNumberFormat="1" applyFont="1" applyAlignment="1">
      <alignment horizontal="center"/>
    </xf>
    <xf numFmtId="0" fontId="0" fillId="0" borderId="0" xfId="0" applyFill="1" applyAlignment="1">
      <alignment horizontal="center"/>
    </xf>
    <xf numFmtId="4" fontId="45" fillId="0" borderId="0" xfId="7" applyNumberFormat="1" applyFont="1"/>
    <xf numFmtId="3" fontId="45" fillId="0" borderId="0" xfId="7" applyNumberFormat="1" applyFont="1" applyFill="1"/>
    <xf numFmtId="3" fontId="0" fillId="0" borderId="0" xfId="0" applyNumberFormat="1" applyFill="1" applyBorder="1" applyAlignment="1">
      <alignment vertical="top" wrapText="1"/>
    </xf>
    <xf numFmtId="4" fontId="45" fillId="0" borderId="0" xfId="7" applyNumberFormat="1" applyFont="1" applyFill="1"/>
    <xf numFmtId="164" fontId="4" fillId="6" borderId="0" xfId="0" applyNumberFormat="1" applyFont="1" applyFill="1"/>
    <xf numFmtId="0" fontId="53" fillId="6" borderId="0" xfId="0" applyFont="1" applyFill="1" applyBorder="1"/>
    <xf numFmtId="0" fontId="80" fillId="0" borderId="0" xfId="6" applyFont="1"/>
    <xf numFmtId="3" fontId="134" fillId="0" borderId="52" xfId="0" applyNumberFormat="1" applyFont="1" applyBorder="1"/>
    <xf numFmtId="49" fontId="89" fillId="0" borderId="0" xfId="7" applyNumberFormat="1" applyFont="1" applyFill="1" applyBorder="1" applyAlignment="1"/>
    <xf numFmtId="1" fontId="89" fillId="0" borderId="0" xfId="7" applyNumberFormat="1" applyFont="1" applyFill="1" applyBorder="1" applyAlignment="1"/>
    <xf numFmtId="0" fontId="89" fillId="0" borderId="0" xfId="7" applyNumberFormat="1" applyFont="1" applyFill="1" applyBorder="1" applyAlignment="1"/>
    <xf numFmtId="0" fontId="89" fillId="0" borderId="0" xfId="0" applyFont="1" applyFill="1" applyBorder="1"/>
    <xf numFmtId="0" fontId="2" fillId="0" borderId="0" xfId="0" applyFont="1" applyFill="1" applyBorder="1" applyAlignment="1">
      <alignment horizontal="left"/>
    </xf>
    <xf numFmtId="0" fontId="4" fillId="0" borderId="0" xfId="0" applyFont="1" applyBorder="1" applyAlignment="1">
      <alignment wrapText="1"/>
    </xf>
    <xf numFmtId="0" fontId="89" fillId="0" borderId="0" xfId="7" applyNumberFormat="1" applyFont="1" applyFill="1" applyBorder="1" applyAlignment="1">
      <alignment wrapText="1"/>
    </xf>
    <xf numFmtId="3" fontId="2" fillId="0" borderId="0" xfId="0" applyNumberFormat="1" applyFont="1" applyFill="1" applyBorder="1"/>
    <xf numFmtId="3" fontId="0" fillId="3" borderId="0" xfId="0" applyNumberFormat="1" applyFill="1" applyBorder="1"/>
    <xf numFmtId="3" fontId="62" fillId="45" borderId="0" xfId="0" applyNumberFormat="1" applyFont="1" applyFill="1" applyProtection="1">
      <protection locked="0"/>
    </xf>
    <xf numFmtId="1" fontId="4" fillId="45" borderId="0" xfId="0" applyNumberFormat="1" applyFont="1" applyFill="1" applyAlignment="1" applyProtection="1">
      <alignment horizontal="center" vertical="center" wrapText="1"/>
      <protection locked="0"/>
    </xf>
    <xf numFmtId="3" fontId="0" fillId="45" borderId="0" xfId="0" applyNumberFormat="1" applyFill="1" applyBorder="1"/>
    <xf numFmtId="3" fontId="80" fillId="43" borderId="52" xfId="0" applyNumberFormat="1" applyFont="1" applyFill="1" applyBorder="1"/>
    <xf numFmtId="3" fontId="2" fillId="0" borderId="0" xfId="0" quotePrefix="1" applyNumberFormat="1" applyFont="1" applyFill="1" applyBorder="1"/>
    <xf numFmtId="49" fontId="6" fillId="4" borderId="3" xfId="11" applyNumberFormat="1" applyFont="1" applyFill="1" applyBorder="1" applyAlignment="1" applyProtection="1">
      <alignment horizontal="center"/>
      <protection locked="0"/>
    </xf>
    <xf numFmtId="191" fontId="6" fillId="4" borderId="3" xfId="11" applyNumberFormat="1" applyFont="1" applyFill="1" applyBorder="1" applyAlignment="1" applyProtection="1">
      <alignment horizontal="center"/>
      <protection locked="0"/>
    </xf>
    <xf numFmtId="192" fontId="6" fillId="4" borderId="3" xfId="11" applyNumberFormat="1" applyFont="1" applyFill="1" applyBorder="1" applyAlignment="1" applyProtection="1">
      <alignment horizontal="center"/>
      <protection locked="0"/>
    </xf>
    <xf numFmtId="0" fontId="76" fillId="4" borderId="3" xfId="1" applyFont="1" applyFill="1" applyBorder="1" applyAlignment="1" applyProtection="1">
      <alignment horizontal="center"/>
      <protection locked="0"/>
    </xf>
    <xf numFmtId="176" fontId="17" fillId="44" borderId="3" xfId="0" applyNumberFormat="1" applyFont="1" applyFill="1" applyBorder="1" applyProtection="1"/>
    <xf numFmtId="3" fontId="95" fillId="46" borderId="3" xfId="0" applyNumberFormat="1" applyFont="1" applyFill="1" applyBorder="1" applyProtection="1">
      <protection locked="0"/>
    </xf>
    <xf numFmtId="175" fontId="83" fillId="46" borderId="3" xfId="0" applyNumberFormat="1" applyFont="1" applyFill="1" applyBorder="1" applyProtection="1">
      <protection hidden="1"/>
    </xf>
    <xf numFmtId="193" fontId="4" fillId="44" borderId="3" xfId="0" applyNumberFormat="1" applyFont="1" applyFill="1" applyBorder="1" applyProtection="1">
      <protection hidden="1"/>
    </xf>
    <xf numFmtId="49" fontId="17" fillId="0" borderId="0" xfId="0" applyNumberFormat="1" applyFont="1" applyProtection="1">
      <protection hidden="1"/>
    </xf>
    <xf numFmtId="173" fontId="83" fillId="46" borderId="3" xfId="0" applyNumberFormat="1" applyFont="1" applyFill="1" applyBorder="1" applyProtection="1">
      <protection hidden="1"/>
    </xf>
    <xf numFmtId="175" fontId="17" fillId="0" borderId="3" xfId="0" applyNumberFormat="1" applyFont="1" applyBorder="1" applyProtection="1">
      <protection hidden="1"/>
    </xf>
    <xf numFmtId="178" fontId="83" fillId="46" borderId="3" xfId="0" applyNumberFormat="1" applyFont="1" applyFill="1" applyBorder="1" applyProtection="1">
      <protection hidden="1"/>
    </xf>
    <xf numFmtId="196" fontId="83" fillId="46" borderId="3" xfId="0" applyNumberFormat="1" applyFont="1" applyFill="1" applyBorder="1" applyProtection="1">
      <protection hidden="1"/>
    </xf>
    <xf numFmtId="178" fontId="17" fillId="0" borderId="3" xfId="0" applyNumberFormat="1" applyFont="1" applyBorder="1" applyProtection="1">
      <protection hidden="1"/>
    </xf>
    <xf numFmtId="2" fontId="17" fillId="0" borderId="3" xfId="0" applyNumberFormat="1" applyFont="1" applyBorder="1" applyProtection="1">
      <protection hidden="1"/>
    </xf>
    <xf numFmtId="176" fontId="17" fillId="0" borderId="3" xfId="0" applyNumberFormat="1" applyFont="1" applyFill="1" applyBorder="1" applyProtection="1">
      <protection hidden="1"/>
    </xf>
    <xf numFmtId="173" fontId="17" fillId="0" borderId="3" xfId="0" quotePrefix="1" applyNumberFormat="1" applyFont="1" applyBorder="1" applyProtection="1">
      <protection hidden="1"/>
    </xf>
    <xf numFmtId="177" fontId="83" fillId="0" borderId="3" xfId="0" applyNumberFormat="1" applyFont="1" applyFill="1" applyBorder="1" applyProtection="1">
      <protection hidden="1"/>
    </xf>
    <xf numFmtId="198" fontId="83" fillId="0" borderId="3" xfId="0" applyNumberFormat="1" applyFont="1" applyFill="1" applyBorder="1" applyProtection="1">
      <protection hidden="1"/>
    </xf>
    <xf numFmtId="199" fontId="17" fillId="0" borderId="3" xfId="0" applyNumberFormat="1" applyFont="1" applyBorder="1" applyProtection="1">
      <protection hidden="1"/>
    </xf>
    <xf numFmtId="176" fontId="4" fillId="44" borderId="3" xfId="0" applyNumberFormat="1" applyFont="1" applyFill="1" applyBorder="1" applyProtection="1">
      <protection hidden="1"/>
    </xf>
    <xf numFmtId="176" fontId="22" fillId="44" borderId="3" xfId="0" applyNumberFormat="1" applyFont="1" applyFill="1" applyBorder="1" applyProtection="1">
      <protection hidden="1"/>
    </xf>
    <xf numFmtId="176" fontId="17" fillId="0" borderId="0" xfId="0" applyNumberFormat="1" applyFont="1" applyBorder="1" applyProtection="1">
      <protection hidden="1"/>
    </xf>
    <xf numFmtId="188" fontId="17" fillId="0" borderId="3" xfId="0" applyNumberFormat="1" applyFont="1" applyFill="1" applyBorder="1" applyProtection="1">
      <protection hidden="1"/>
    </xf>
    <xf numFmtId="175" fontId="83" fillId="0" borderId="3" xfId="0" applyNumberFormat="1" applyFont="1" applyFill="1" applyBorder="1" applyProtection="1">
      <protection hidden="1"/>
    </xf>
    <xf numFmtId="200" fontId="4" fillId="44" borderId="3" xfId="0" applyNumberFormat="1" applyFont="1" applyFill="1" applyBorder="1" applyProtection="1">
      <protection hidden="1"/>
    </xf>
    <xf numFmtId="201" fontId="17" fillId="0" borderId="3" xfId="0" applyNumberFormat="1" applyFont="1" applyBorder="1" applyProtection="1">
      <protection hidden="1"/>
    </xf>
    <xf numFmtId="49" fontId="17" fillId="0" borderId="0" xfId="0" applyNumberFormat="1" applyFont="1" applyFill="1" applyProtection="1">
      <protection hidden="1"/>
    </xf>
    <xf numFmtId="178" fontId="17" fillId="0" borderId="3" xfId="0" applyNumberFormat="1" applyFont="1" applyFill="1" applyBorder="1" applyProtection="1">
      <protection hidden="1"/>
    </xf>
    <xf numFmtId="189" fontId="17" fillId="0" borderId="3" xfId="0" applyNumberFormat="1" applyFont="1" applyFill="1" applyBorder="1" applyProtection="1">
      <protection hidden="1"/>
    </xf>
    <xf numFmtId="10" fontId="17" fillId="0" borderId="3" xfId="0" applyNumberFormat="1" applyFont="1" applyFill="1" applyBorder="1" applyProtection="1">
      <protection hidden="1"/>
    </xf>
    <xf numFmtId="176" fontId="17" fillId="0" borderId="0" xfId="0" applyNumberFormat="1" applyFont="1" applyFill="1" applyBorder="1" applyProtection="1">
      <protection hidden="1"/>
    </xf>
    <xf numFmtId="179" fontId="4" fillId="44" borderId="3" xfId="0" applyNumberFormat="1" applyFont="1" applyFill="1" applyBorder="1" applyProtection="1">
      <protection hidden="1"/>
    </xf>
    <xf numFmtId="180" fontId="17" fillId="0" borderId="3" xfId="0" applyNumberFormat="1" applyFont="1" applyBorder="1" applyProtection="1">
      <protection hidden="1"/>
    </xf>
    <xf numFmtId="179" fontId="17" fillId="0" borderId="3" xfId="0" applyNumberFormat="1" applyFont="1" applyBorder="1" applyProtection="1">
      <protection hidden="1"/>
    </xf>
    <xf numFmtId="180" fontId="4" fillId="44" borderId="3" xfId="0" applyNumberFormat="1" applyFont="1" applyFill="1" applyBorder="1" applyProtection="1">
      <protection hidden="1"/>
    </xf>
    <xf numFmtId="49" fontId="17" fillId="0" borderId="11" xfId="0" applyNumberFormat="1" applyFont="1" applyBorder="1" applyProtection="1">
      <protection hidden="1"/>
    </xf>
    <xf numFmtId="174" fontId="17" fillId="0" borderId="3" xfId="0" applyNumberFormat="1" applyFont="1" applyFill="1" applyBorder="1" applyProtection="1">
      <protection hidden="1"/>
    </xf>
    <xf numFmtId="49" fontId="17" fillId="0" borderId="9" xfId="0" applyNumberFormat="1" applyFont="1" applyFill="1" applyBorder="1" applyProtection="1">
      <protection hidden="1"/>
    </xf>
    <xf numFmtId="177" fontId="17" fillId="1" borderId="3" xfId="0" applyNumberFormat="1" applyFont="1" applyFill="1" applyBorder="1" applyProtection="1">
      <protection hidden="1"/>
    </xf>
    <xf numFmtId="174" fontId="17" fillId="0" borderId="3" xfId="0" applyNumberFormat="1" applyFont="1" applyBorder="1" applyProtection="1">
      <protection hidden="1"/>
    </xf>
    <xf numFmtId="176" fontId="17" fillId="44" borderId="3" xfId="0" applyNumberFormat="1" applyFont="1" applyFill="1" applyBorder="1" applyProtection="1">
      <protection hidden="1"/>
    </xf>
    <xf numFmtId="176" fontId="83" fillId="44" borderId="3" xfId="0" applyNumberFormat="1" applyFont="1" applyFill="1" applyBorder="1" applyProtection="1">
      <protection hidden="1"/>
    </xf>
    <xf numFmtId="174" fontId="83" fillId="44" borderId="3" xfId="0" applyNumberFormat="1" applyFont="1" applyFill="1" applyBorder="1" applyProtection="1">
      <protection hidden="1"/>
    </xf>
    <xf numFmtId="180" fontId="83" fillId="44" borderId="3" xfId="0" applyNumberFormat="1" applyFont="1" applyFill="1" applyBorder="1" applyProtection="1">
      <protection hidden="1"/>
    </xf>
    <xf numFmtId="0" fontId="83" fillId="0" borderId="0" xfId="0" applyFont="1"/>
    <xf numFmtId="176" fontId="0" fillId="6" borderId="0" xfId="0" applyNumberFormat="1" applyFill="1"/>
    <xf numFmtId="0" fontId="83" fillId="0" borderId="0" xfId="0" applyFont="1" applyAlignment="1">
      <alignment wrapText="1"/>
    </xf>
    <xf numFmtId="0" fontId="4" fillId="45" borderId="0" xfId="8" applyFont="1" applyFill="1" applyBorder="1" applyProtection="1"/>
    <xf numFmtId="0" fontId="4" fillId="45" borderId="0" xfId="8" applyFont="1" applyFill="1" applyBorder="1" applyAlignment="1" applyProtection="1">
      <alignment horizontal="center"/>
    </xf>
    <xf numFmtId="0" fontId="15" fillId="45" borderId="0" xfId="8" applyFont="1" applyFill="1" applyBorder="1" applyAlignment="1" applyProtection="1">
      <alignment horizontal="center"/>
    </xf>
    <xf numFmtId="0" fontId="4" fillId="45" borderId="0" xfId="8" applyFont="1" applyFill="1" applyBorder="1"/>
    <xf numFmtId="0" fontId="4" fillId="45" borderId="14" xfId="8" applyFont="1" applyFill="1" applyBorder="1" applyAlignment="1" applyProtection="1">
      <alignment horizontal="center" wrapText="1"/>
      <protection locked="0"/>
    </xf>
    <xf numFmtId="38" fontId="11" fillId="0" borderId="3" xfId="8" applyNumberFormat="1" applyFont="1" applyBorder="1" applyProtection="1"/>
    <xf numFmtId="176" fontId="17" fillId="5" borderId="3" xfId="0" applyNumberFormat="1" applyFont="1" applyFill="1" applyBorder="1" applyProtection="1"/>
    <xf numFmtId="0" fontId="69" fillId="0" borderId="0" xfId="0" applyFont="1" applyAlignment="1">
      <alignment vertical="center" wrapText="1"/>
    </xf>
    <xf numFmtId="0" fontId="2" fillId="0" borderId="0" xfId="11"/>
    <xf numFmtId="0" fontId="2" fillId="0" borderId="0" xfId="11" applyFont="1"/>
    <xf numFmtId="0" fontId="37" fillId="6" borderId="0" xfId="0" applyFont="1" applyFill="1"/>
    <xf numFmtId="9" fontId="37" fillId="6" borderId="0" xfId="150" applyFont="1" applyFill="1"/>
    <xf numFmtId="3" fontId="83" fillId="0" borderId="3" xfId="0" quotePrefix="1" applyNumberFormat="1" applyFont="1" applyBorder="1" applyProtection="1">
      <protection hidden="1"/>
    </xf>
    <xf numFmtId="0" fontId="2" fillId="10" borderId="0" xfId="0" applyFont="1" applyFill="1"/>
    <xf numFmtId="0" fontId="2" fillId="7" borderId="0" xfId="11" applyFill="1"/>
    <xf numFmtId="0" fontId="2" fillId="11" borderId="0" xfId="11" applyFill="1"/>
    <xf numFmtId="38" fontId="2" fillId="0" borderId="0" xfId="11" applyNumberFormat="1"/>
    <xf numFmtId="0" fontId="2" fillId="0" borderId="0" xfId="11" applyAlignment="1">
      <alignment horizontal="right"/>
    </xf>
    <xf numFmtId="1" fontId="2" fillId="0" borderId="0" xfId="11" applyNumberFormat="1"/>
    <xf numFmtId="0" fontId="2" fillId="7" borderId="0" xfId="11" applyFont="1" applyFill="1"/>
    <xf numFmtId="0" fontId="2" fillId="11" borderId="0" xfId="11" applyFont="1" applyFill="1"/>
    <xf numFmtId="0" fontId="4" fillId="6" borderId="0" xfId="11" applyNumberFormat="1" applyFont="1" applyFill="1" applyBorder="1"/>
    <xf numFmtId="0" fontId="0" fillId="0" borderId="0" xfId="0" applyProtection="1"/>
    <xf numFmtId="49" fontId="75" fillId="0" borderId="0" xfId="0" applyNumberFormat="1" applyFont="1" applyFill="1" applyBorder="1" applyAlignment="1" applyProtection="1">
      <alignment vertical="center"/>
    </xf>
    <xf numFmtId="9" fontId="40" fillId="3" borderId="3" xfId="150" applyFont="1" applyFill="1" applyBorder="1" applyAlignment="1" applyProtection="1">
      <alignment horizontal="center" vertical="center" wrapText="1"/>
      <protection locked="0"/>
    </xf>
    <xf numFmtId="49" fontId="6" fillId="0" borderId="0" xfId="0" applyNumberFormat="1" applyFont="1" applyFill="1" applyBorder="1" applyAlignment="1">
      <alignment horizontal="center" wrapText="1"/>
    </xf>
    <xf numFmtId="0" fontId="4" fillId="0" borderId="0" xfId="0" applyFont="1" applyAlignment="1">
      <alignment horizontal="center"/>
    </xf>
    <xf numFmtId="38" fontId="4" fillId="4" borderId="3" xfId="0" applyNumberFormat="1" applyFont="1" applyFill="1" applyBorder="1" applyAlignment="1" applyProtection="1">
      <alignment horizontal="center"/>
      <protection locked="0"/>
    </xf>
    <xf numFmtId="38" fontId="17" fillId="0" borderId="3" xfId="0" applyNumberFormat="1" applyFont="1" applyBorder="1" applyAlignment="1" applyProtection="1">
      <alignment horizontal="center"/>
    </xf>
    <xf numFmtId="0" fontId="76" fillId="0" borderId="0" xfId="1" applyFont="1" applyBorder="1" applyAlignment="1" applyProtection="1">
      <alignment horizontal="center" vertical="center" wrapText="1"/>
    </xf>
    <xf numFmtId="0" fontId="44" fillId="0" borderId="17" xfId="0" applyFont="1" applyBorder="1" applyAlignment="1">
      <alignment horizontal="left"/>
    </xf>
    <xf numFmtId="0" fontId="44" fillId="0" borderId="0" xfId="0" applyFont="1" applyAlignment="1">
      <alignment horizontal="left"/>
    </xf>
    <xf numFmtId="0" fontId="6" fillId="0" borderId="0" xfId="0" applyFont="1" applyBorder="1" applyAlignment="1">
      <alignment horizontal="center"/>
    </xf>
    <xf numFmtId="0" fontId="89" fillId="0" borderId="0" xfId="0" applyFont="1" applyAlignment="1">
      <alignment horizontal="center"/>
    </xf>
    <xf numFmtId="0" fontId="4" fillId="0" borderId="0" xfId="0" applyFont="1" applyAlignment="1">
      <alignment horizontal="right"/>
    </xf>
    <xf numFmtId="49" fontId="14" fillId="0" borderId="0" xfId="0" applyNumberFormat="1" applyFont="1" applyAlignment="1">
      <alignment horizontal="center"/>
    </xf>
    <xf numFmtId="0" fontId="23" fillId="0" borderId="0" xfId="0" applyFont="1" applyBorder="1" applyAlignment="1">
      <alignment horizontal="center"/>
    </xf>
    <xf numFmtId="0" fontId="70" fillId="0" borderId="0" xfId="0" applyFont="1" applyAlignment="1">
      <alignment horizontal="center"/>
    </xf>
    <xf numFmtId="0" fontId="38" fillId="0" borderId="0" xfId="1" applyBorder="1" applyAlignment="1" applyProtection="1">
      <alignment horizontal="center" vertical="center"/>
    </xf>
    <xf numFmtId="0" fontId="38" fillId="0" borderId="0" xfId="1" applyAlignment="1" applyProtection="1">
      <alignment horizontal="center" vertical="center"/>
    </xf>
    <xf numFmtId="0" fontId="63" fillId="0" borderId="0" xfId="1" applyFont="1" applyBorder="1" applyAlignment="1" applyProtection="1">
      <alignment horizontal="center" vertical="center"/>
    </xf>
    <xf numFmtId="0" fontId="60" fillId="0" borderId="0" xfId="0" applyFont="1" applyBorder="1" applyAlignment="1">
      <alignment horizontal="center" vertical="center" wrapText="1"/>
    </xf>
    <xf numFmtId="0" fontId="9" fillId="0" borderId="0" xfId="0" applyFont="1" applyAlignment="1">
      <alignment horizontal="center"/>
    </xf>
    <xf numFmtId="164" fontId="4" fillId="0" borderId="39" xfId="0" applyNumberFormat="1" applyFont="1" applyBorder="1" applyAlignment="1" applyProtection="1">
      <alignment horizontal="center"/>
    </xf>
    <xf numFmtId="164" fontId="4" fillId="0" borderId="40" xfId="0" applyNumberFormat="1" applyFont="1" applyBorder="1" applyAlignment="1" applyProtection="1">
      <alignment horizontal="center"/>
    </xf>
    <xf numFmtId="164" fontId="4" fillId="0" borderId="41" xfId="0" applyNumberFormat="1" applyFont="1" applyBorder="1" applyAlignment="1" applyProtection="1">
      <alignment horizontal="center"/>
    </xf>
    <xf numFmtId="164" fontId="3" fillId="0" borderId="29" xfId="0" applyNumberFormat="1" applyFont="1" applyBorder="1" applyAlignment="1" applyProtection="1">
      <alignment horizontal="left"/>
    </xf>
    <xf numFmtId="164" fontId="4" fillId="0" borderId="39" xfId="0" applyNumberFormat="1" applyFont="1" applyBorder="1" applyAlignment="1">
      <alignment horizontal="center"/>
    </xf>
    <xf numFmtId="164" fontId="4" fillId="0" borderId="41" xfId="0" applyNumberFormat="1" applyFont="1" applyBorder="1" applyAlignment="1">
      <alignment horizontal="center"/>
    </xf>
    <xf numFmtId="164" fontId="4" fillId="0" borderId="36" xfId="0" applyNumberFormat="1" applyFont="1" applyBorder="1" applyAlignment="1">
      <alignment horizontal="center" vertical="center"/>
    </xf>
    <xf numFmtId="164" fontId="4" fillId="0" borderId="37" xfId="0" applyNumberFormat="1" applyFont="1" applyBorder="1" applyAlignment="1">
      <alignment horizontal="center" vertical="center"/>
    </xf>
    <xf numFmtId="164" fontId="4" fillId="0" borderId="5" xfId="0" applyNumberFormat="1" applyFont="1" applyBorder="1" applyAlignment="1">
      <alignment horizontal="center" vertical="center"/>
    </xf>
    <xf numFmtId="0" fontId="3" fillId="0" borderId="29" xfId="0" applyFont="1" applyBorder="1" applyAlignment="1">
      <alignment horizontal="left"/>
    </xf>
    <xf numFmtId="0" fontId="4" fillId="0" borderId="0" xfId="8" applyFont="1" applyAlignment="1" applyProtection="1">
      <alignment horizontal="center"/>
    </xf>
    <xf numFmtId="0" fontId="14" fillId="0" borderId="0" xfId="8" applyFont="1" applyAlignment="1" applyProtection="1">
      <alignment horizontal="center"/>
    </xf>
    <xf numFmtId="0" fontId="4" fillId="0" borderId="29" xfId="8" applyFont="1" applyBorder="1" applyAlignment="1" applyProtection="1">
      <alignment horizontal="center"/>
    </xf>
    <xf numFmtId="0" fontId="6" fillId="0" borderId="20" xfId="8" applyFont="1" applyFill="1" applyBorder="1" applyAlignment="1">
      <alignment horizontal="left" wrapText="1"/>
    </xf>
    <xf numFmtId="0" fontId="6" fillId="0" borderId="0" xfId="8" applyFont="1" applyFill="1" applyAlignment="1">
      <alignment horizontal="left" wrapText="1"/>
    </xf>
    <xf numFmtId="0" fontId="6" fillId="0" borderId="0" xfId="8" applyFont="1" applyFill="1" applyBorder="1" applyAlignment="1">
      <alignment horizontal="left" wrapText="1"/>
    </xf>
    <xf numFmtId="0" fontId="11" fillId="0" borderId="17" xfId="0" applyNumberFormat="1" applyFont="1" applyBorder="1" applyAlignment="1" applyProtection="1">
      <alignment horizontal="center" vertical="center"/>
    </xf>
    <xf numFmtId="0" fontId="11" fillId="0" borderId="0" xfId="0" applyNumberFormat="1" applyFont="1" applyBorder="1" applyAlignment="1" applyProtection="1">
      <alignment horizontal="center" vertical="center"/>
    </xf>
    <xf numFmtId="0" fontId="25" fillId="0" borderId="17" xfId="0" applyFont="1" applyBorder="1" applyAlignment="1" applyProtection="1">
      <alignment horizontal="center"/>
    </xf>
    <xf numFmtId="0" fontId="25" fillId="0" borderId="0" xfId="0" applyFont="1" applyBorder="1" applyAlignment="1" applyProtection="1">
      <alignment horizontal="center"/>
    </xf>
    <xf numFmtId="0" fontId="25" fillId="0" borderId="6" xfId="0" applyFont="1" applyBorder="1" applyAlignment="1" applyProtection="1">
      <alignment horizontal="center"/>
    </xf>
    <xf numFmtId="0" fontId="37" fillId="0" borderId="0" xfId="0" applyFont="1" applyAlignment="1">
      <alignment horizontal="left"/>
    </xf>
    <xf numFmtId="0" fontId="37" fillId="0" borderId="6" xfId="0" applyFont="1" applyBorder="1" applyAlignment="1">
      <alignment horizontal="left"/>
    </xf>
    <xf numFmtId="0" fontId="37" fillId="0" borderId="0" xfId="0" applyFont="1" applyBorder="1" applyAlignment="1">
      <alignment horizontal="left"/>
    </xf>
    <xf numFmtId="0" fontId="68" fillId="0" borderId="0" xfId="0" quotePrefix="1" applyFont="1" applyAlignment="1">
      <alignment horizontal="center"/>
    </xf>
    <xf numFmtId="0" fontId="68" fillId="0" borderId="0" xfId="0" applyFont="1" applyAlignment="1">
      <alignment horizontal="center"/>
    </xf>
    <xf numFmtId="0" fontId="37" fillId="0" borderId="0" xfId="0" applyFont="1" applyAlignment="1">
      <alignment horizontal="left" vertical="top" wrapText="1"/>
    </xf>
    <xf numFmtId="49" fontId="37" fillId="0" borderId="0" xfId="0" applyNumberFormat="1" applyFont="1" applyAlignment="1">
      <alignment horizontal="center"/>
    </xf>
    <xf numFmtId="0" fontId="37" fillId="0" borderId="0" xfId="0" applyFont="1" applyAlignment="1">
      <alignment horizontal="center"/>
    </xf>
    <xf numFmtId="0" fontId="69" fillId="0" borderId="0" xfId="0" applyFont="1" applyAlignment="1">
      <alignment horizontal="center" vertical="center" wrapText="1"/>
    </xf>
    <xf numFmtId="0" fontId="37" fillId="0" borderId="0" xfId="0" applyFont="1" applyAlignment="1">
      <alignment horizontal="left" vertical="center" wrapText="1"/>
    </xf>
    <xf numFmtId="0" fontId="35" fillId="0" borderId="0" xfId="0" applyFont="1" applyAlignment="1">
      <alignment horizontal="center"/>
    </xf>
    <xf numFmtId="3" fontId="61" fillId="0" borderId="0" xfId="0" applyNumberFormat="1" applyFont="1" applyAlignment="1">
      <alignment horizontal="center"/>
    </xf>
    <xf numFmtId="0" fontId="50" fillId="0" borderId="0" xfId="0" applyFont="1" applyAlignment="1">
      <alignment horizontal="left" vertical="top" wrapText="1"/>
    </xf>
    <xf numFmtId="49" fontId="35" fillId="0" borderId="0" xfId="0" applyNumberFormat="1" applyFont="1" applyAlignment="1">
      <alignment horizontal="center"/>
    </xf>
    <xf numFmtId="3" fontId="23" fillId="0" borderId="0" xfId="0" applyNumberFormat="1" applyFont="1" applyAlignment="1">
      <alignment horizontal="left" vertical="top"/>
    </xf>
    <xf numFmtId="3" fontId="64" fillId="0" borderId="0" xfId="0" applyNumberFormat="1" applyFont="1" applyAlignment="1">
      <alignment horizontal="left" vertical="top"/>
    </xf>
    <xf numFmtId="169" fontId="50" fillId="0" borderId="0" xfId="0" applyNumberFormat="1" applyFont="1" applyAlignment="1">
      <alignment horizontal="center"/>
    </xf>
    <xf numFmtId="49" fontId="3" fillId="0" borderId="0" xfId="0" applyNumberFormat="1" applyFont="1" applyBorder="1" applyAlignment="1" applyProtection="1">
      <alignment horizontal="left"/>
    </xf>
    <xf numFmtId="0" fontId="3" fillId="0" borderId="0" xfId="0" applyFont="1" applyBorder="1" applyAlignment="1" applyProtection="1">
      <alignment horizontal="left"/>
    </xf>
    <xf numFmtId="49" fontId="3" fillId="0" borderId="0" xfId="0" applyNumberFormat="1" applyFont="1" applyAlignment="1" applyProtection="1">
      <alignment horizontal="left"/>
    </xf>
    <xf numFmtId="0" fontId="3" fillId="0" borderId="0" xfId="0" applyFont="1" applyAlignment="1" applyProtection="1">
      <alignment horizontal="left"/>
    </xf>
    <xf numFmtId="0" fontId="3" fillId="0" borderId="0" xfId="0" applyNumberFormat="1" applyFont="1" applyBorder="1" applyAlignment="1" applyProtection="1">
      <alignment horizontal="left"/>
    </xf>
    <xf numFmtId="49" fontId="24" fillId="0" borderId="0" xfId="0" applyNumberFormat="1" applyFont="1" applyBorder="1" applyAlignment="1" applyProtection="1">
      <alignment horizontal="center"/>
      <protection locked="0"/>
    </xf>
    <xf numFmtId="49" fontId="24" fillId="0" borderId="6" xfId="0" applyNumberFormat="1" applyFont="1" applyBorder="1" applyAlignment="1" applyProtection="1">
      <alignment horizontal="center"/>
      <protection locked="0"/>
    </xf>
    <xf numFmtId="0" fontId="25" fillId="0" borderId="17" xfId="0" applyNumberFormat="1" applyFont="1" applyFill="1" applyBorder="1" applyAlignment="1" applyProtection="1">
      <alignment horizontal="center"/>
    </xf>
    <xf numFmtId="0" fontId="25" fillId="0" borderId="0" xfId="0" applyNumberFormat="1" applyFont="1" applyFill="1" applyBorder="1" applyAlignment="1" applyProtection="1">
      <alignment horizontal="center"/>
    </xf>
    <xf numFmtId="0" fontId="25" fillId="0" borderId="6" xfId="0" applyNumberFormat="1" applyFont="1" applyFill="1" applyBorder="1" applyAlignment="1" applyProtection="1">
      <alignment horizontal="center"/>
    </xf>
    <xf numFmtId="0" fontId="25" fillId="0" borderId="17" xfId="0" applyFont="1" applyBorder="1" applyAlignment="1">
      <alignment horizontal="center"/>
    </xf>
    <xf numFmtId="0" fontId="25" fillId="0" borderId="0" xfId="0" applyFont="1" applyBorder="1" applyAlignment="1">
      <alignment horizontal="center"/>
    </xf>
    <xf numFmtId="0" fontId="25" fillId="0" borderId="6" xfId="0" applyFont="1" applyBorder="1" applyAlignment="1">
      <alignment horizontal="center"/>
    </xf>
    <xf numFmtId="172" fontId="24" fillId="0" borderId="0" xfId="0" applyNumberFormat="1" applyFont="1" applyBorder="1" applyAlignment="1" applyProtection="1">
      <alignment horizontal="left"/>
      <protection locked="0"/>
    </xf>
    <xf numFmtId="0" fontId="0" fillId="0" borderId="0" xfId="0" applyAlignment="1">
      <alignment horizontal="left"/>
    </xf>
    <xf numFmtId="0" fontId="24" fillId="0" borderId="0" xfId="0" applyNumberFormat="1" applyFont="1" applyFill="1" applyBorder="1" applyAlignment="1" applyProtection="1">
      <alignment horizontal="left"/>
      <protection locked="0"/>
    </xf>
    <xf numFmtId="172" fontId="11" fillId="0" borderId="0" xfId="8" applyNumberFormat="1" applyFont="1" applyBorder="1" applyAlignment="1" applyProtection="1">
      <protection locked="0"/>
    </xf>
    <xf numFmtId="0" fontId="0" fillId="0" borderId="0" xfId="0" applyAlignment="1"/>
    <xf numFmtId="172" fontId="11" fillId="0" borderId="0" xfId="0" applyNumberFormat="1" applyFont="1" applyBorder="1" applyAlignment="1" applyProtection="1">
      <alignment horizontal="center"/>
      <protection locked="0"/>
    </xf>
    <xf numFmtId="0" fontId="44" fillId="0" borderId="17" xfId="0" applyNumberFormat="1" applyFont="1" applyFill="1" applyBorder="1" applyAlignment="1" applyProtection="1">
      <alignment horizontal="center"/>
    </xf>
    <xf numFmtId="0" fontId="44" fillId="0" borderId="0" xfId="0" applyNumberFormat="1" applyFont="1" applyFill="1" applyBorder="1" applyAlignment="1" applyProtection="1">
      <alignment horizontal="center"/>
    </xf>
    <xf numFmtId="0" fontId="44" fillId="0" borderId="6" xfId="0" applyNumberFormat="1" applyFont="1" applyFill="1" applyBorder="1" applyAlignment="1" applyProtection="1">
      <alignment horizontal="center"/>
    </xf>
    <xf numFmtId="0" fontId="44" fillId="0" borderId="17" xfId="0" applyFont="1" applyBorder="1" applyAlignment="1" applyProtection="1">
      <alignment horizontal="center"/>
    </xf>
    <xf numFmtId="0" fontId="44" fillId="0" borderId="0" xfId="0" applyFont="1" applyBorder="1" applyAlignment="1" applyProtection="1">
      <alignment horizontal="center"/>
    </xf>
    <xf numFmtId="0" fontId="44" fillId="0" borderId="6" xfId="0" applyFont="1" applyBorder="1" applyAlignment="1" applyProtection="1">
      <alignment horizontal="center"/>
    </xf>
    <xf numFmtId="0" fontId="44" fillId="0" borderId="17" xfId="0" applyFont="1" applyBorder="1" applyAlignment="1">
      <alignment horizontal="center"/>
    </xf>
    <xf numFmtId="0" fontId="44" fillId="0" borderId="0" xfId="0" applyFont="1" applyBorder="1" applyAlignment="1">
      <alignment horizontal="center"/>
    </xf>
    <xf numFmtId="0" fontId="44" fillId="0" borderId="6" xfId="0" applyFont="1" applyBorder="1" applyAlignment="1">
      <alignment horizontal="center"/>
    </xf>
    <xf numFmtId="0" fontId="6" fillId="0" borderId="17" xfId="0" applyNumberFormat="1" applyFont="1" applyBorder="1" applyAlignment="1" applyProtection="1">
      <alignment horizontal="center"/>
    </xf>
    <xf numFmtId="0" fontId="6" fillId="0" borderId="0" xfId="0" applyNumberFormat="1" applyFont="1" applyBorder="1" applyAlignment="1" applyProtection="1">
      <alignment horizontal="center"/>
    </xf>
    <xf numFmtId="0" fontId="6" fillId="0" borderId="6" xfId="0" applyNumberFormat="1" applyFont="1" applyBorder="1" applyAlignment="1" applyProtection="1">
      <alignment horizontal="center"/>
    </xf>
    <xf numFmtId="4" fontId="2" fillId="0" borderId="0" xfId="141" applyNumberFormat="1" applyFont="1" applyAlignment="1">
      <alignment horizontal="center"/>
    </xf>
    <xf numFmtId="171" fontId="89" fillId="0" borderId="0" xfId="141" applyNumberFormat="1" applyFont="1" applyBorder="1" applyAlignment="1">
      <alignment horizontal="center"/>
    </xf>
    <xf numFmtId="0" fontId="92" fillId="3" borderId="0" xfId="7" applyFont="1" applyFill="1" applyAlignment="1">
      <alignment horizontal="center"/>
    </xf>
    <xf numFmtId="180" fontId="4" fillId="0" borderId="0" xfId="0" applyNumberFormat="1" applyFont="1" applyFill="1" applyBorder="1" applyProtection="1"/>
  </cellXfs>
  <cellStyles count="151">
    <cellStyle name="20% - Accent1" xfId="31" builtinId="30" customBuiltin="1"/>
    <cellStyle name="20% - Accent1 2" xfId="97"/>
    <cellStyle name="20% - Accent1 3" xfId="64"/>
    <cellStyle name="20% - Accent2" xfId="35" builtinId="34" customBuiltin="1"/>
    <cellStyle name="20% - Accent2 2" xfId="70"/>
    <cellStyle name="20% - Accent2 3" xfId="76"/>
    <cellStyle name="20% - Accent3" xfId="39" builtinId="38" customBuiltin="1"/>
    <cellStyle name="20% - Accent3 2" xfId="62"/>
    <cellStyle name="20% - Accent3 3" xfId="60"/>
    <cellStyle name="20% - Accent4" xfId="43" builtinId="42" customBuiltin="1"/>
    <cellStyle name="20% - Accent4 2" xfId="65"/>
    <cellStyle name="20% - Accent4 3" xfId="68"/>
    <cellStyle name="20% - Accent5" xfId="47" builtinId="46" customBuiltin="1"/>
    <cellStyle name="20% - Accent5 2" xfId="89"/>
    <cellStyle name="20% - Accent5 3" xfId="87"/>
    <cellStyle name="20% - Accent6" xfId="51" builtinId="50" customBuiltin="1"/>
    <cellStyle name="20% - Accent6 2" xfId="63"/>
    <cellStyle name="20% - Accent6 3" xfId="98"/>
    <cellStyle name="40% - Accent1" xfId="32" builtinId="31" customBuiltin="1"/>
    <cellStyle name="40% - Accent1 2" xfId="72"/>
    <cellStyle name="40% - Accent1 3" xfId="88"/>
    <cellStyle name="40% - Accent2" xfId="36" builtinId="35" customBuiltin="1"/>
    <cellStyle name="40% - Accent2 2" xfId="61"/>
    <cellStyle name="40% - Accent2 3" xfId="93"/>
    <cellStyle name="40% - Accent3" xfId="40" builtinId="39" customBuiltin="1"/>
    <cellStyle name="40% - Accent3 2" xfId="83"/>
    <cellStyle name="40% - Accent3 3" xfId="74"/>
    <cellStyle name="40% - Accent4" xfId="44" builtinId="43" customBuiltin="1"/>
    <cellStyle name="40% - Accent4 2" xfId="77"/>
    <cellStyle name="40% - Accent4 3" xfId="78"/>
    <cellStyle name="40% - Accent5" xfId="48" builtinId="47" customBuiltin="1"/>
    <cellStyle name="40% - Accent5 2" xfId="84"/>
    <cellStyle name="40% - Accent5 3" xfId="96"/>
    <cellStyle name="40% - Accent6" xfId="52" builtinId="51" customBuiltin="1"/>
    <cellStyle name="40% - Accent6 2" xfId="92"/>
    <cellStyle name="40% - Accent6 3" xfId="73"/>
    <cellStyle name="60% - Accent1" xfId="33" builtinId="32" customBuiltin="1"/>
    <cellStyle name="60% - Accent1 2" xfId="67"/>
    <cellStyle name="60% - Accent1 3" xfId="82"/>
    <cellStyle name="60% - Accent2" xfId="37" builtinId="36" customBuiltin="1"/>
    <cellStyle name="60% - Accent2 2" xfId="86"/>
    <cellStyle name="60% - Accent2 3" xfId="95"/>
    <cellStyle name="60% - Accent3" xfId="41" builtinId="40" customBuiltin="1"/>
    <cellStyle name="60% - Accent3 2" xfId="91"/>
    <cellStyle name="60% - Accent3 3" xfId="80"/>
    <cellStyle name="60% - Accent4" xfId="45" builtinId="44" customBuiltin="1"/>
    <cellStyle name="60% - Accent4 2" xfId="81"/>
    <cellStyle name="60% - Accent4 3" xfId="71"/>
    <cellStyle name="60% - Accent5" xfId="49" builtinId="48" customBuiltin="1"/>
    <cellStyle name="60% - Accent5 2" xfId="75"/>
    <cellStyle name="60% - Accent5 3" xfId="94"/>
    <cellStyle name="60% - Accent6" xfId="53" builtinId="52" customBuiltin="1"/>
    <cellStyle name="60% - Accent6 2" xfId="90"/>
    <cellStyle name="60% - Accent6 3" xfId="85"/>
    <cellStyle name="Accent1" xfId="30" builtinId="29" customBuiltin="1"/>
    <cellStyle name="Accent1 2" xfId="69"/>
    <cellStyle name="Accent1 3" xfId="66"/>
    <cellStyle name="Accent2" xfId="34" builtinId="33" customBuiltin="1"/>
    <cellStyle name="Accent2 2" xfId="79"/>
    <cellStyle name="Accent2 3" xfId="99"/>
    <cellStyle name="Accent3" xfId="38" builtinId="37" customBuiltin="1"/>
    <cellStyle name="Accent3 2" xfId="100"/>
    <cellStyle name="Accent3 3" xfId="101"/>
    <cellStyle name="Accent4" xfId="42" builtinId="41" customBuiltin="1"/>
    <cellStyle name="Accent4 2" xfId="102"/>
    <cellStyle name="Accent4 3" xfId="103"/>
    <cellStyle name="Accent5" xfId="46" builtinId="45" customBuiltin="1"/>
    <cellStyle name="Accent5 2" xfId="104"/>
    <cellStyle name="Accent5 3" xfId="105"/>
    <cellStyle name="Accent6" xfId="50" builtinId="49" customBuiltin="1"/>
    <cellStyle name="Accent6 2" xfId="106"/>
    <cellStyle name="Accent6 3" xfId="107"/>
    <cellStyle name="Bad" xfId="20" builtinId="27" customBuiltin="1"/>
    <cellStyle name="Bad 2" xfId="108"/>
    <cellStyle name="Bad 3" xfId="109"/>
    <cellStyle name="Calculation" xfId="24" builtinId="22" customBuiltin="1"/>
    <cellStyle name="Calculation 2" xfId="110"/>
    <cellStyle name="Calculation 3" xfId="111"/>
    <cellStyle name="Check Cell" xfId="26" builtinId="23" customBuiltin="1"/>
    <cellStyle name="Check Cell 2" xfId="112"/>
    <cellStyle name="Check Cell 3" xfId="113"/>
    <cellStyle name="Comma" xfId="9" builtinId="3"/>
    <cellStyle name="Comma 2" xfId="13"/>
    <cellStyle name="Comma 2 2" xfId="114"/>
    <cellStyle name="Explanatory Text" xfId="28" builtinId="53" customBuiltin="1"/>
    <cellStyle name="Explanatory Text 2" xfId="115"/>
    <cellStyle name="Explanatory Text 3" xfId="116"/>
    <cellStyle name="Good" xfId="19" builtinId="26" customBuiltin="1"/>
    <cellStyle name="Good 2" xfId="117"/>
    <cellStyle name="Good 3" xfId="118"/>
    <cellStyle name="Heading 1" xfId="15" builtinId="16" customBuiltin="1"/>
    <cellStyle name="Heading 1 2" xfId="119"/>
    <cellStyle name="Heading 1 3" xfId="120"/>
    <cellStyle name="Heading 2" xfId="16" builtinId="17" customBuiltin="1"/>
    <cellStyle name="Heading 2 2" xfId="121"/>
    <cellStyle name="Heading 2 3" xfId="122"/>
    <cellStyle name="Heading 3" xfId="17" builtinId="18" customBuiltin="1"/>
    <cellStyle name="Heading 3 2" xfId="123"/>
    <cellStyle name="Heading 3 3" xfId="124"/>
    <cellStyle name="Heading 4" xfId="18" builtinId="19" customBuiltin="1"/>
    <cellStyle name="Heading 4 2" xfId="125"/>
    <cellStyle name="Heading 4 3" xfId="126"/>
    <cellStyle name="Hyperlink" xfId="1" builtinId="8"/>
    <cellStyle name="Input" xfId="22" builtinId="20" customBuiltin="1"/>
    <cellStyle name="Input 2" xfId="127"/>
    <cellStyle name="Input 3" xfId="128"/>
    <cellStyle name="Linked Cell" xfId="25" builtinId="24" customBuiltin="1"/>
    <cellStyle name="Linked Cell 2" xfId="129"/>
    <cellStyle name="Linked Cell 3" xfId="130"/>
    <cellStyle name="Neutral" xfId="21" builtinId="28" customBuiltin="1"/>
    <cellStyle name="Neutral 2" xfId="131"/>
    <cellStyle name="Neutral 3" xfId="132"/>
    <cellStyle name="Normal" xfId="0" builtinId="0"/>
    <cellStyle name="Normal 10" xfId="2"/>
    <cellStyle name="Normal 2" xfId="3"/>
    <cellStyle name="Normal 2 2" xfId="11"/>
    <cellStyle name="Normal 2 3" xfId="57"/>
    <cellStyle name="Normal 3" xfId="10"/>
    <cellStyle name="Normal 3 2" xfId="142"/>
    <cellStyle name="Normal 3 3" xfId="147"/>
    <cellStyle name="Normal 3 4" xfId="58"/>
    <cellStyle name="Normal 4" xfId="56"/>
    <cellStyle name="Normal 5" xfId="59"/>
    <cellStyle name="Normal 5 2" xfId="144"/>
    <cellStyle name="Normal 5 2 2" xfId="149"/>
    <cellStyle name="Normal 5 2 3" xfId="146"/>
    <cellStyle name="Normal 5 2 4" xfId="145"/>
    <cellStyle name="Normal 5 3" xfId="143"/>
    <cellStyle name="Normal 5 4" xfId="148"/>
    <cellStyle name="Normal 6" xfId="141"/>
    <cellStyle name="Normal 7" xfId="54"/>
    <cellStyle name="Normal 9" xfId="4"/>
    <cellStyle name="Normal 9 2" xfId="12"/>
    <cellStyle name="Normal_Sheet1" xfId="5"/>
    <cellStyle name="Normal_SNAME04" xfId="6"/>
    <cellStyle name="Normal_SNAME04B" xfId="7"/>
    <cellStyle name="Note 2" xfId="133"/>
    <cellStyle name="Note 3" xfId="134"/>
    <cellStyle name="Note 4" xfId="55"/>
    <cellStyle name="Output" xfId="23" builtinId="21" customBuiltin="1"/>
    <cellStyle name="Output 2" xfId="135"/>
    <cellStyle name="Output 3" xfId="136"/>
    <cellStyle name="Percent" xfId="8" builtinId="5"/>
    <cellStyle name="Percent 2" xfId="150"/>
    <cellStyle name="Title" xfId="14" builtinId="15" customBuiltin="1"/>
    <cellStyle name="Total" xfId="29" builtinId="25" customBuiltin="1"/>
    <cellStyle name="Total 2" xfId="137"/>
    <cellStyle name="Total 3" xfId="138"/>
    <cellStyle name="Warning Text" xfId="27" builtinId="11" customBuiltin="1"/>
    <cellStyle name="Warning Text 2" xfId="139"/>
    <cellStyle name="Warning Text 3" xfId="140"/>
  </cellStyles>
  <dxfs count="188">
    <dxf>
      <font>
        <b val="0"/>
        <i val="0"/>
        <strike val="0"/>
        <condense val="0"/>
        <extend val="0"/>
        <outline val="0"/>
        <shadow val="0"/>
        <u val="none"/>
        <vertAlign val="baseline"/>
        <sz val="8"/>
        <color auto="1"/>
        <name val="Courier New"/>
        <scheme val="none"/>
      </font>
      <numFmt numFmtId="3" formatCode="#,##0"/>
      <fill>
        <patternFill patternType="none">
          <fgColor indexed="64"/>
          <bgColor indexed="65"/>
        </patternFill>
      </fill>
    </dxf>
    <dxf>
      <font>
        <b val="0"/>
        <i val="0"/>
        <strike val="0"/>
        <condense val="0"/>
        <extend val="0"/>
        <outline val="0"/>
        <shadow val="0"/>
        <u val="none"/>
        <vertAlign val="baseline"/>
        <sz val="8"/>
        <color auto="1"/>
        <name val="Courier New"/>
        <scheme val="none"/>
      </font>
      <numFmt numFmtId="3" formatCode="#,##0"/>
      <fill>
        <patternFill patternType="none">
          <fgColor indexed="64"/>
          <bgColor indexed="65"/>
        </patternFill>
      </fill>
    </dxf>
    <dxf>
      <font>
        <b val="0"/>
        <i val="0"/>
        <strike val="0"/>
        <condense val="0"/>
        <extend val="0"/>
        <outline val="0"/>
        <shadow val="0"/>
        <u val="none"/>
        <vertAlign val="baseline"/>
        <sz val="8"/>
        <color auto="1"/>
        <name val="Courier New"/>
        <scheme val="none"/>
      </font>
      <numFmt numFmtId="3" formatCode="#,##0"/>
      <fill>
        <patternFill patternType="none">
          <fgColor indexed="64"/>
          <bgColor indexed="65"/>
        </patternFill>
      </fill>
    </dxf>
    <dxf>
      <font>
        <b val="0"/>
        <i val="0"/>
        <strike val="0"/>
        <condense val="0"/>
        <extend val="0"/>
        <outline val="0"/>
        <shadow val="0"/>
        <u val="none"/>
        <vertAlign val="baseline"/>
        <sz val="8"/>
        <color auto="1"/>
        <name val="Courier New"/>
        <scheme val="none"/>
      </font>
      <numFmt numFmtId="3" formatCode="#,##0"/>
      <fill>
        <patternFill patternType="none">
          <fgColor indexed="64"/>
          <bgColor indexed="65"/>
        </patternFill>
      </fill>
    </dxf>
    <dxf>
      <font>
        <b val="0"/>
        <i val="0"/>
        <strike val="0"/>
        <condense val="0"/>
        <extend val="0"/>
        <outline val="0"/>
        <shadow val="0"/>
        <u val="none"/>
        <vertAlign val="baseline"/>
        <sz val="8"/>
        <color auto="1"/>
        <name val="Courier New"/>
        <scheme val="none"/>
      </font>
      <numFmt numFmtId="3" formatCode="#,##0"/>
      <fill>
        <patternFill patternType="none">
          <fgColor indexed="64"/>
          <bgColor indexed="65"/>
        </patternFill>
      </fill>
    </dxf>
    <dxf>
      <font>
        <b val="0"/>
        <i val="0"/>
        <strike val="0"/>
        <condense val="0"/>
        <extend val="0"/>
        <outline val="0"/>
        <shadow val="0"/>
        <u val="none"/>
        <vertAlign val="baseline"/>
        <sz val="8"/>
        <color auto="1"/>
        <name val="Courier New"/>
        <scheme val="none"/>
      </font>
      <numFmt numFmtId="3" formatCode="#,##0"/>
      <fill>
        <patternFill patternType="none">
          <fgColor indexed="64"/>
          <bgColor indexed="65"/>
        </patternFill>
      </fill>
    </dxf>
    <dxf>
      <font>
        <b val="0"/>
        <i val="0"/>
        <strike val="0"/>
        <condense val="0"/>
        <extend val="0"/>
        <outline val="0"/>
        <shadow val="0"/>
        <u val="none"/>
        <vertAlign val="baseline"/>
        <sz val="8"/>
        <color auto="1"/>
        <name val="Courier New"/>
        <scheme val="none"/>
      </font>
      <numFmt numFmtId="3" formatCode="#,##0"/>
      <fill>
        <patternFill patternType="none">
          <fgColor indexed="64"/>
          <bgColor indexed="65"/>
        </patternFill>
      </fill>
    </dxf>
    <dxf>
      <font>
        <b val="0"/>
        <i val="0"/>
        <strike val="0"/>
        <condense val="0"/>
        <extend val="0"/>
        <outline val="0"/>
        <shadow val="0"/>
        <u val="none"/>
        <vertAlign val="baseline"/>
        <sz val="8"/>
        <color auto="1"/>
        <name val="Courier New"/>
        <scheme val="none"/>
      </font>
      <numFmt numFmtId="3" formatCode="#,##0"/>
      <fill>
        <patternFill patternType="none">
          <fgColor indexed="64"/>
          <bgColor indexed="65"/>
        </patternFill>
      </fill>
    </dxf>
    <dxf>
      <font>
        <b val="0"/>
        <i val="0"/>
        <strike val="0"/>
        <condense val="0"/>
        <extend val="0"/>
        <outline val="0"/>
        <shadow val="0"/>
        <u val="none"/>
        <vertAlign val="baseline"/>
        <sz val="8"/>
        <color auto="1"/>
        <name val="Courier New"/>
        <scheme val="none"/>
      </font>
      <numFmt numFmtId="3" formatCode="#,##0"/>
      <fill>
        <patternFill patternType="none">
          <fgColor indexed="64"/>
          <bgColor indexed="65"/>
        </patternFill>
      </fill>
    </dxf>
    <dxf>
      <font>
        <b val="0"/>
        <i val="0"/>
        <strike val="0"/>
        <condense val="0"/>
        <extend val="0"/>
        <outline val="0"/>
        <shadow val="0"/>
        <u val="none"/>
        <vertAlign val="baseline"/>
        <sz val="8"/>
        <color auto="1"/>
        <name val="Courier New"/>
        <scheme val="none"/>
      </font>
      <numFmt numFmtId="3" formatCode="#,##0"/>
      <fill>
        <patternFill patternType="none">
          <fgColor indexed="64"/>
          <bgColor indexed="65"/>
        </patternFill>
      </fill>
    </dxf>
    <dxf>
      <font>
        <b val="0"/>
        <i val="0"/>
        <strike val="0"/>
        <condense val="0"/>
        <extend val="0"/>
        <outline val="0"/>
        <shadow val="0"/>
        <u val="none"/>
        <vertAlign val="baseline"/>
        <sz val="8"/>
        <color auto="1"/>
        <name val="Courier New"/>
        <scheme val="none"/>
      </font>
      <numFmt numFmtId="3" formatCode="#,##0"/>
      <fill>
        <patternFill patternType="none">
          <fgColor indexed="64"/>
          <bgColor indexed="65"/>
        </patternFill>
      </fill>
    </dxf>
    <dxf>
      <font>
        <b val="0"/>
        <i val="0"/>
        <strike val="0"/>
        <condense val="0"/>
        <extend val="0"/>
        <outline val="0"/>
        <shadow val="0"/>
        <u val="none"/>
        <vertAlign val="baseline"/>
        <sz val="8"/>
        <color auto="1"/>
        <name val="Courier New"/>
        <scheme val="none"/>
      </font>
      <numFmt numFmtId="3" formatCode="#,##0"/>
      <fill>
        <patternFill patternType="none">
          <fgColor indexed="64"/>
          <bgColor indexed="65"/>
        </patternFill>
      </fill>
    </dxf>
    <dxf>
      <font>
        <b val="0"/>
        <i val="0"/>
        <strike val="0"/>
        <condense val="0"/>
        <extend val="0"/>
        <outline val="0"/>
        <shadow val="0"/>
        <u val="none"/>
        <vertAlign val="baseline"/>
        <sz val="8"/>
        <color auto="1"/>
        <name val="Courier New"/>
        <scheme val="none"/>
      </font>
      <fill>
        <patternFill patternType="none">
          <fgColor indexed="64"/>
          <bgColor indexed="65"/>
        </patternFill>
      </fill>
    </dxf>
    <dxf>
      <font>
        <b val="0"/>
        <i val="0"/>
        <strike val="0"/>
        <condense val="0"/>
        <extend val="0"/>
        <outline val="0"/>
        <shadow val="0"/>
        <u val="none"/>
        <vertAlign val="baseline"/>
        <sz val="8"/>
        <color auto="1"/>
        <name val="Courier New"/>
        <scheme val="none"/>
      </font>
      <fill>
        <patternFill patternType="none">
          <fgColor indexed="64"/>
          <bgColor indexed="65"/>
        </patternFill>
      </fill>
    </dxf>
    <dxf>
      <font>
        <b val="0"/>
        <i val="0"/>
        <strike val="0"/>
        <condense val="0"/>
        <extend val="0"/>
        <outline val="0"/>
        <shadow val="0"/>
        <u val="none"/>
        <vertAlign val="baseline"/>
        <sz val="8"/>
        <color auto="1"/>
        <name val="Courier New"/>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ourier New"/>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ourier New"/>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ourier New"/>
        <scheme val="none"/>
      </font>
      <fill>
        <patternFill patternType="none">
          <fgColor indexed="64"/>
          <bgColor indexed="65"/>
        </patternFill>
      </fill>
    </dxf>
    <dxf>
      <font>
        <b val="0"/>
        <i val="0"/>
        <strike val="0"/>
        <condense val="0"/>
        <extend val="0"/>
        <outline val="0"/>
        <shadow val="0"/>
        <u val="none"/>
        <vertAlign val="baseline"/>
        <sz val="8"/>
        <color auto="1"/>
        <name val="Courier New"/>
        <scheme val="none"/>
      </font>
      <fill>
        <patternFill patternType="none">
          <fgColor indexed="64"/>
          <bgColor indexed="65"/>
        </patternFill>
      </fill>
    </dxf>
    <dxf>
      <font>
        <b val="0"/>
        <i val="0"/>
        <strike val="0"/>
        <condense val="0"/>
        <extend val="0"/>
        <outline val="0"/>
        <shadow val="0"/>
        <u val="none"/>
        <vertAlign val="baseline"/>
        <sz val="8"/>
        <color auto="1"/>
        <name val="Courier New"/>
        <scheme val="none"/>
      </font>
      <fill>
        <patternFill patternType="none">
          <fgColor indexed="64"/>
          <bgColor indexed="65"/>
        </patternFill>
      </fill>
    </dxf>
    <dxf>
      <font>
        <b val="0"/>
        <i val="0"/>
        <strike val="0"/>
        <condense val="0"/>
        <extend val="0"/>
        <outline val="0"/>
        <shadow val="0"/>
        <u val="none"/>
        <vertAlign val="baseline"/>
        <sz val="10"/>
        <color auto="1"/>
        <name val="Times New Roman"/>
        <scheme val="none"/>
      </font>
      <alignment horizontal="general" vertical="bottom" textRotation="0" wrapText="1" indent="0" justifyLastLine="0" shrinkToFit="0" readingOrder="0"/>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numFmt numFmtId="3" formatCode="#,##0"/>
      <fill>
        <patternFill patternType="none">
          <fgColor indexed="64"/>
          <bgColor indexed="65"/>
        </patternFill>
      </fill>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fill>
        <patternFill patternType="none">
          <fgColor indexed="64"/>
          <bgColor auto="1"/>
        </patternFill>
      </fill>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numFmt numFmtId="3" formatCode="#,##0"/>
      <alignment horizontal="general" vertical="top" textRotation="0" wrapText="1" indent="0" justifyLastLine="0" shrinkToFit="0" readingOrder="0"/>
    </dxf>
    <dxf>
      <font>
        <b val="0"/>
        <i val="0"/>
        <strike val="0"/>
        <condense val="0"/>
        <extend val="0"/>
        <outline val="0"/>
        <shadow val="0"/>
        <u val="none"/>
        <vertAlign val="baseline"/>
        <sz val="8"/>
        <color auto="1"/>
        <name val="Courier New"/>
        <scheme val="none"/>
      </font>
      <numFmt numFmtId="0" formatCode="General"/>
      <alignment horizontal="right" vertical="bottom" textRotation="0" wrapText="0" indent="0" justifyLastLine="0" shrinkToFit="0" readingOrder="0"/>
    </dxf>
    <dxf>
      <font>
        <b val="0"/>
        <i val="0"/>
        <strike val="0"/>
        <condense val="0"/>
        <extend val="0"/>
        <outline val="0"/>
        <shadow val="0"/>
        <u val="none"/>
        <vertAlign val="baseline"/>
        <sz val="8"/>
        <color auto="1"/>
        <name val="Courier New"/>
        <scheme val="none"/>
      </font>
      <numFmt numFmtId="1" formatCode="0"/>
    </dxf>
    <dxf>
      <numFmt numFmtId="171" formatCode="00"/>
    </dxf>
    <dxf>
      <alignment horizontal="general" vertical="top" textRotation="0" wrapText="1" indent="0" justifyLastLine="0" shrinkToFit="0" readingOrder="0"/>
    </dxf>
    <dxf>
      <font>
        <b val="0"/>
        <i val="0"/>
        <strike val="0"/>
        <condense val="0"/>
        <extend val="0"/>
        <outline val="0"/>
        <shadow val="0"/>
        <u val="none"/>
        <vertAlign val="baseline"/>
        <sz val="8"/>
        <color auto="1"/>
        <name val="Courier New"/>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Courier New"/>
        <scheme val="none"/>
      </font>
      <numFmt numFmtId="3" formatCode="#,##0"/>
    </dxf>
    <dxf>
      <font>
        <b val="0"/>
        <i val="0"/>
        <strike val="0"/>
        <condense val="0"/>
        <extend val="0"/>
        <outline val="0"/>
        <shadow val="0"/>
        <u val="none"/>
        <vertAlign val="baseline"/>
        <sz val="8"/>
        <color theme="1"/>
        <name val="Courier New"/>
        <scheme val="none"/>
      </font>
      <numFmt numFmtId="0" formatCode="General"/>
    </dxf>
    <dxf>
      <font>
        <b val="0"/>
        <i val="0"/>
        <strike val="0"/>
        <condense val="0"/>
        <extend val="0"/>
        <outline val="0"/>
        <shadow val="0"/>
        <u val="none"/>
        <vertAlign val="baseline"/>
        <sz val="8"/>
        <color theme="1"/>
        <name val="Courier New"/>
        <scheme val="none"/>
      </font>
      <numFmt numFmtId="182" formatCode="0.0%"/>
    </dxf>
    <dxf>
      <font>
        <b val="0"/>
        <i val="0"/>
        <strike val="0"/>
        <condense val="0"/>
        <extend val="0"/>
        <outline val="0"/>
        <shadow val="0"/>
        <u val="none"/>
        <vertAlign val="baseline"/>
        <sz val="8"/>
        <color theme="1"/>
        <name val="Courier New"/>
        <scheme val="none"/>
      </font>
      <numFmt numFmtId="3" formatCode="#,##0"/>
    </dxf>
    <dxf>
      <font>
        <b val="0"/>
        <i val="0"/>
        <strike val="0"/>
        <condense val="0"/>
        <extend val="0"/>
        <outline val="0"/>
        <shadow val="0"/>
        <u val="none"/>
        <vertAlign val="baseline"/>
        <sz val="8"/>
        <color theme="1"/>
        <name val="Courier New"/>
        <scheme val="none"/>
      </font>
      <numFmt numFmtId="3" formatCode="#,##0"/>
    </dxf>
    <dxf>
      <font>
        <b val="0"/>
        <i val="0"/>
        <strike val="0"/>
        <condense val="0"/>
        <extend val="0"/>
        <outline val="0"/>
        <shadow val="0"/>
        <u val="none"/>
        <vertAlign val="baseline"/>
        <sz val="8"/>
        <color theme="1"/>
        <name val="Courier New"/>
        <scheme val="none"/>
      </font>
      <numFmt numFmtId="168" formatCode="0.000"/>
    </dxf>
    <dxf>
      <font>
        <b val="0"/>
        <i val="0"/>
        <strike val="0"/>
        <condense val="0"/>
        <extend val="0"/>
        <outline val="0"/>
        <shadow val="0"/>
        <u val="none"/>
        <vertAlign val="baseline"/>
        <sz val="8"/>
        <color theme="1"/>
        <name val="Courier New"/>
        <scheme val="none"/>
      </font>
      <numFmt numFmtId="167" formatCode="0.0"/>
    </dxf>
    <dxf>
      <font>
        <b val="0"/>
        <i val="0"/>
        <strike val="0"/>
        <condense val="0"/>
        <extend val="0"/>
        <outline val="0"/>
        <shadow val="0"/>
        <u val="none"/>
        <vertAlign val="baseline"/>
        <sz val="8"/>
        <color theme="1"/>
        <name val="Courier New"/>
        <scheme val="none"/>
      </font>
      <numFmt numFmtId="3" formatCode="#,##0"/>
    </dxf>
    <dxf>
      <font>
        <b val="0"/>
        <i val="0"/>
        <strike val="0"/>
        <condense val="0"/>
        <extend val="0"/>
        <outline val="0"/>
        <shadow val="0"/>
        <u val="none"/>
        <vertAlign val="baseline"/>
        <sz val="8"/>
        <color theme="1"/>
        <name val="Courier New"/>
        <scheme val="none"/>
      </font>
      <numFmt numFmtId="3" formatCode="#,##0"/>
    </dxf>
    <dxf>
      <font>
        <b val="0"/>
        <i val="0"/>
        <strike val="0"/>
        <condense val="0"/>
        <extend val="0"/>
        <outline val="0"/>
        <shadow val="0"/>
        <u val="none"/>
        <vertAlign val="baseline"/>
        <sz val="8"/>
        <color theme="1"/>
        <name val="Courier New"/>
        <scheme val="none"/>
      </font>
      <numFmt numFmtId="3" formatCode="#,##0"/>
    </dxf>
    <dxf>
      <font>
        <b val="0"/>
        <i val="0"/>
        <strike val="0"/>
        <condense val="0"/>
        <extend val="0"/>
        <outline val="0"/>
        <shadow val="0"/>
        <u val="none"/>
        <vertAlign val="baseline"/>
        <sz val="8"/>
        <color theme="1"/>
        <name val="Courier New"/>
        <scheme val="none"/>
      </font>
      <numFmt numFmtId="3" formatCode="#,##0"/>
    </dxf>
    <dxf>
      <font>
        <b val="0"/>
        <i val="0"/>
        <strike val="0"/>
        <condense val="0"/>
        <extend val="0"/>
        <outline val="0"/>
        <shadow val="0"/>
        <u val="none"/>
        <vertAlign val="baseline"/>
        <sz val="8"/>
        <color theme="1"/>
        <name val="Courier New"/>
        <scheme val="none"/>
      </font>
    </dxf>
    <dxf>
      <font>
        <b val="0"/>
        <i val="0"/>
        <strike val="0"/>
        <condense val="0"/>
        <extend val="0"/>
        <outline val="0"/>
        <shadow val="0"/>
        <u val="none"/>
        <vertAlign val="baseline"/>
        <sz val="8"/>
        <color theme="1"/>
        <name val="Courier New"/>
        <scheme val="none"/>
      </font>
      <numFmt numFmtId="3" formatCode="#,##0"/>
    </dxf>
    <dxf>
      <font>
        <b val="0"/>
        <i val="0"/>
        <strike val="0"/>
        <condense val="0"/>
        <extend val="0"/>
        <outline val="0"/>
        <shadow val="0"/>
        <u val="none"/>
        <vertAlign val="baseline"/>
        <sz val="8"/>
        <color theme="1"/>
        <name val="Courier New"/>
        <scheme val="none"/>
      </font>
      <numFmt numFmtId="3" formatCode="#,##0"/>
    </dxf>
    <dxf>
      <numFmt numFmtId="3" formatCode="#,##0"/>
    </dxf>
    <dxf>
      <numFmt numFmtId="3" formatCode="#,##0"/>
    </dxf>
    <dxf>
      <font>
        <b val="0"/>
        <i val="0"/>
        <strike val="0"/>
        <condense val="0"/>
        <extend val="0"/>
        <outline val="0"/>
        <shadow val="0"/>
        <u val="none"/>
        <vertAlign val="baseline"/>
        <sz val="8"/>
        <color auto="1"/>
        <name val="Courier New"/>
        <scheme val="none"/>
      </font>
      <numFmt numFmtId="184" formatCode="0.0000000"/>
    </dxf>
    <dxf>
      <font>
        <b val="0"/>
        <i val="0"/>
        <strike val="0"/>
        <condense val="0"/>
        <extend val="0"/>
        <outline val="0"/>
        <shadow val="0"/>
        <u val="none"/>
        <vertAlign val="baseline"/>
        <sz val="8"/>
        <color auto="1"/>
        <name val="Courier New"/>
        <scheme val="none"/>
      </font>
      <numFmt numFmtId="3" formatCode="#,##0"/>
    </dxf>
    <dxf>
      <font>
        <b val="0"/>
        <i val="0"/>
        <strike val="0"/>
        <condense val="0"/>
        <extend val="0"/>
        <outline val="0"/>
        <shadow val="0"/>
        <u val="none"/>
        <vertAlign val="baseline"/>
        <sz val="8"/>
        <color auto="1"/>
        <name val="Courier New"/>
        <scheme val="none"/>
      </font>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8"/>
        <color theme="1"/>
        <name val="Courier New"/>
        <scheme val="none"/>
      </font>
      <numFmt numFmtId="3" formatCode="#,##0"/>
    </dxf>
    <dxf>
      <font>
        <b val="0"/>
        <i val="0"/>
        <strike val="0"/>
        <condense val="0"/>
        <extend val="0"/>
        <outline val="0"/>
        <shadow val="0"/>
        <u val="none"/>
        <vertAlign val="baseline"/>
        <sz val="8"/>
        <color theme="1"/>
        <name val="Courier New"/>
        <scheme val="none"/>
      </font>
      <numFmt numFmtId="3" formatCode="#,##0"/>
    </dxf>
    <dxf>
      <font>
        <sz val="8"/>
        <name val="Courier New"/>
      </font>
      <numFmt numFmtId="3" formatCode="#,##0"/>
    </dxf>
    <dxf>
      <font>
        <b val="0"/>
        <i val="0"/>
        <strike val="0"/>
        <condense val="0"/>
        <extend val="0"/>
        <outline val="0"/>
        <shadow val="0"/>
        <u val="none"/>
        <vertAlign val="baseline"/>
        <sz val="8"/>
        <color auto="1"/>
        <name val="Courier New"/>
        <scheme val="none"/>
      </font>
      <numFmt numFmtId="3" formatCode="#,##0"/>
      <fill>
        <patternFill patternType="none">
          <fgColor indexed="64"/>
          <bgColor indexed="65"/>
        </patternFill>
      </fill>
    </dxf>
    <dxf>
      <font>
        <b val="0"/>
        <i val="0"/>
        <strike val="0"/>
        <condense val="0"/>
        <extend val="0"/>
        <outline val="0"/>
        <shadow val="0"/>
        <u val="none"/>
        <vertAlign val="baseline"/>
        <sz val="8"/>
        <color auto="1"/>
        <name val="Courier New"/>
        <scheme val="none"/>
      </font>
      <numFmt numFmtId="188" formatCode="0.00000"/>
    </dxf>
    <dxf>
      <numFmt numFmtId="3" formatCode="#,##0"/>
    </dxf>
    <dxf>
      <numFmt numFmtId="3" formatCode="#,##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8"/>
        <color theme="1"/>
        <name val="Courier New"/>
        <scheme val="none"/>
      </font>
      <numFmt numFmtId="185" formatCode="#,##0.0"/>
    </dxf>
    <dxf>
      <font>
        <b val="0"/>
        <i val="0"/>
        <strike val="0"/>
        <condense val="0"/>
        <extend val="0"/>
        <outline val="0"/>
        <shadow val="0"/>
        <u val="none"/>
        <vertAlign val="baseline"/>
        <sz val="8"/>
        <color theme="1"/>
        <name val="Courier New"/>
        <scheme val="none"/>
      </font>
      <numFmt numFmtId="3" formatCode="#,##0"/>
    </dxf>
    <dxf>
      <font>
        <sz val="8"/>
        <name val="Courier New"/>
      </font>
      <numFmt numFmtId="3" formatCode="#,##0"/>
    </dxf>
    <dxf>
      <font>
        <sz val="8"/>
        <name val="Courier New"/>
      </font>
      <numFmt numFmtId="3" formatCode="#,##0"/>
    </dxf>
    <dxf>
      <font>
        <b val="0"/>
        <i val="0"/>
        <strike val="0"/>
        <condense val="0"/>
        <extend val="0"/>
        <outline val="0"/>
        <shadow val="0"/>
        <u val="none"/>
        <vertAlign val="baseline"/>
        <sz val="8"/>
        <color auto="1"/>
        <name val="Courier New"/>
        <scheme val="none"/>
      </font>
      <numFmt numFmtId="3" formatCode="#,##0"/>
    </dxf>
    <dxf>
      <numFmt numFmtId="3" formatCode="#,##0"/>
      <fill>
        <patternFill patternType="none">
          <fgColor indexed="64"/>
          <bgColor indexed="65"/>
        </patternFill>
      </fill>
    </dxf>
    <dxf>
      <numFmt numFmtId="3" formatCode="#,##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8"/>
        <color theme="1"/>
        <name val="Courier New"/>
        <scheme val="none"/>
      </font>
      <numFmt numFmtId="3" formatCode="#,##0"/>
      <fill>
        <patternFill patternType="none">
          <fgColor indexed="64"/>
          <bgColor indexed="65"/>
        </patternFill>
      </fill>
    </dxf>
    <dxf>
      <font>
        <b val="0"/>
        <i val="0"/>
        <strike val="0"/>
        <condense val="0"/>
        <extend val="0"/>
        <outline val="0"/>
        <shadow val="0"/>
        <u val="none"/>
        <vertAlign val="baseline"/>
        <sz val="8"/>
        <color theme="1"/>
        <name val="Courier New"/>
        <scheme val="none"/>
      </font>
      <numFmt numFmtId="189" formatCode="#,##0.000"/>
    </dxf>
    <dxf>
      <font>
        <b val="0"/>
        <i val="0"/>
        <strike val="0"/>
        <condense val="0"/>
        <extend val="0"/>
        <outline val="0"/>
        <shadow val="0"/>
        <u val="none"/>
        <vertAlign val="baseline"/>
        <sz val="8"/>
        <color theme="1"/>
        <name val="Courier New"/>
        <scheme val="none"/>
      </font>
      <numFmt numFmtId="4" formatCode="#,##0.00"/>
    </dxf>
    <dxf>
      <font>
        <b val="0"/>
        <i val="0"/>
        <strike val="0"/>
        <condense val="0"/>
        <extend val="0"/>
        <outline val="0"/>
        <shadow val="0"/>
        <u val="none"/>
        <vertAlign val="baseline"/>
        <sz val="8"/>
        <color auto="1"/>
        <name val="Courier New"/>
        <scheme val="none"/>
      </font>
      <numFmt numFmtId="168" formatCode="0.000"/>
    </dxf>
    <dxf>
      <font>
        <b val="0"/>
        <i val="0"/>
        <strike val="0"/>
        <condense val="0"/>
        <extend val="0"/>
        <outline val="0"/>
        <shadow val="0"/>
        <u val="none"/>
        <vertAlign val="baseline"/>
        <sz val="8"/>
        <color auto="1"/>
        <name val="Courier New"/>
        <scheme val="none"/>
      </font>
      <numFmt numFmtId="189" formatCode="#,##0.000"/>
    </dxf>
    <dxf>
      <font>
        <b val="0"/>
        <i val="0"/>
        <strike val="0"/>
        <condense val="0"/>
        <extend val="0"/>
        <outline val="0"/>
        <shadow val="0"/>
        <u val="none"/>
        <vertAlign val="baseline"/>
        <sz val="8"/>
        <color theme="1"/>
        <name val="Courier New"/>
        <scheme val="none"/>
      </font>
      <numFmt numFmtId="4" formatCode="#,##0.00"/>
    </dxf>
    <dxf>
      <font>
        <b val="0"/>
        <i val="0"/>
        <strike val="0"/>
        <condense val="0"/>
        <extend val="0"/>
        <outline val="0"/>
        <shadow val="0"/>
        <u val="none"/>
        <vertAlign val="baseline"/>
        <sz val="8"/>
        <color theme="1"/>
        <name val="Courier New"/>
        <scheme val="none"/>
      </font>
      <numFmt numFmtId="4" formatCode="#,##0.00"/>
    </dxf>
    <dxf>
      <font>
        <b val="0"/>
        <i val="0"/>
        <strike val="0"/>
        <condense val="0"/>
        <extend val="0"/>
        <outline val="0"/>
        <shadow val="0"/>
        <u val="none"/>
        <vertAlign val="baseline"/>
        <sz val="8"/>
        <color theme="1"/>
        <name val="Courier New"/>
        <scheme val="none"/>
      </font>
      <numFmt numFmtId="4" formatCode="#,##0.00"/>
    </dxf>
    <dxf>
      <font>
        <b val="0"/>
        <i val="0"/>
        <strike val="0"/>
        <condense val="0"/>
        <extend val="0"/>
        <outline val="0"/>
        <shadow val="0"/>
        <u val="none"/>
        <vertAlign val="baseline"/>
        <sz val="8"/>
        <color theme="1"/>
        <name val="Courier New"/>
        <scheme val="none"/>
      </font>
      <numFmt numFmtId="4" formatCode="#,##0.00"/>
    </dxf>
    <dxf>
      <font>
        <b val="0"/>
        <i val="0"/>
        <strike val="0"/>
        <condense val="0"/>
        <extend val="0"/>
        <outline val="0"/>
        <shadow val="0"/>
        <u val="none"/>
        <vertAlign val="baseline"/>
        <sz val="8"/>
        <color auto="1"/>
        <name val="Courier New"/>
        <scheme val="none"/>
      </font>
      <numFmt numFmtId="4" formatCode="#,##0.00"/>
    </dxf>
    <dxf>
      <numFmt numFmtId="2" formatCode="0.00"/>
    </dxf>
    <dxf>
      <numFmt numFmtId="2" formatCode="0.00"/>
    </dxf>
    <dxf>
      <numFmt numFmtId="2" formatCode="0.00"/>
    </dxf>
    <dxf>
      <font>
        <sz val="8"/>
        <name val="Courier New"/>
        <scheme val="none"/>
      </font>
      <numFmt numFmtId="3" formatCode="#,##0"/>
    </dxf>
    <dxf>
      <font>
        <b val="0"/>
        <i val="0"/>
        <strike val="0"/>
        <condense val="0"/>
        <extend val="0"/>
        <outline val="0"/>
        <shadow val="0"/>
        <u val="none"/>
        <vertAlign val="baseline"/>
        <sz val="8"/>
        <color theme="1"/>
        <name val="Courier New"/>
        <scheme val="none"/>
      </font>
      <numFmt numFmtId="185" formatCode="#,##0.0"/>
    </dxf>
    <dxf>
      <font>
        <b val="0"/>
        <i val="0"/>
        <strike val="0"/>
        <condense val="0"/>
        <extend val="0"/>
        <outline val="0"/>
        <shadow val="0"/>
        <u val="none"/>
        <vertAlign val="baseline"/>
        <sz val="8"/>
        <color auto="1"/>
        <name val="Courier New"/>
        <scheme val="none"/>
      </font>
      <numFmt numFmtId="1" formatCode="0"/>
    </dxf>
    <dxf>
      <numFmt numFmtId="171" formatCode="00"/>
    </dxf>
    <dxf>
      <font>
        <b val="0"/>
        <i val="0"/>
        <strike val="0"/>
        <condense val="0"/>
        <extend val="0"/>
        <outline val="0"/>
        <shadow val="0"/>
        <u val="none"/>
        <vertAlign val="baseline"/>
        <sz val="8"/>
        <color theme="1"/>
        <name val="Courier New"/>
        <scheme val="none"/>
      </font>
    </dxf>
    <dxf>
      <font>
        <b val="0"/>
        <i val="0"/>
        <strike val="0"/>
        <condense val="0"/>
        <extend val="0"/>
        <outline val="0"/>
        <shadow val="0"/>
        <u val="none"/>
        <vertAlign val="baseline"/>
        <sz val="8"/>
        <color auto="1"/>
        <name val="Courier New"/>
        <scheme val="none"/>
      </font>
      <numFmt numFmtId="3" formatCode="#,##0"/>
      <fill>
        <patternFill patternType="none">
          <fgColor indexed="64"/>
          <bgColor indexed="65"/>
        </patternFill>
      </fill>
    </dxf>
    <dxf>
      <fill>
        <patternFill>
          <bgColor indexed="42"/>
        </patternFill>
      </fill>
    </dxf>
    <dxf>
      <fill>
        <patternFill>
          <bgColor indexed="13"/>
        </patternFill>
      </fill>
    </dxf>
    <dxf>
      <fill>
        <patternFill>
          <bgColor indexed="10"/>
        </patternFill>
      </fill>
    </dxf>
    <dxf>
      <fill>
        <patternFill>
          <bgColor indexed="42"/>
        </patternFill>
      </fill>
    </dxf>
    <dxf>
      <fill>
        <patternFill>
          <bgColor indexed="13"/>
        </patternFill>
      </fill>
    </dxf>
    <dxf>
      <fill>
        <patternFill>
          <bgColor indexed="10"/>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6"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tables/table1.xml><?xml version="1.0" encoding="utf-8"?>
<table xmlns="http://schemas.openxmlformats.org/spreadsheetml/2006/main" id="9" name="SNAME" displayName="SNAME" ref="A2:BE335" totalsRowShown="0" headerRowDxfId="174" dataDxfId="173" headerRowCellStyle="Normal_SNAME04">
  <autoFilter ref="A2:BE335"/>
  <tableColumns count="57">
    <tableColumn id="1" name="AEA" dataDxfId="172"/>
    <tableColumn id="2" name="DIST" dataDxfId="171" dataCellStyle="Normal_SNAME04"/>
    <tableColumn id="3" name="NAME"/>
    <tableColumn id="18" name="line 1.1 x249" dataDxfId="170"/>
    <tableColumn id="6" name="line 1.3 x272" dataDxfId="169" dataCellStyle="Normal_SNAME04"/>
    <tableColumn id="42" name="line 2.4 x531" dataDxfId="168"/>
    <tableColumn id="43" name="line 2.7 x535" dataDxfId="167"/>
    <tableColumn id="44" name="line 2.10 x539" dataDxfId="166"/>
    <tableColumn id="54" name="line 2.13 x552" dataDxfId="165" dataCellStyle="Normal_SNAME04"/>
    <tableColumn id="20" name="line 3.1 x266" dataDxfId="164"/>
    <tableColumn id="21" name="line 3.2 x265" dataDxfId="163"/>
    <tableColumn id="22" name="line 3.3 x264" dataDxfId="162"/>
    <tableColumn id="40" name="line 3.7 x259" dataDxfId="161"/>
    <tableColumn id="23" name="line 3.9 x268" dataDxfId="160"/>
    <tableColumn id="24" name="line 3.10 x273" dataDxfId="159"/>
    <tableColumn id="25" name="line 3.11 x269" dataDxfId="158"/>
    <tableColumn id="26" name="line 3.12 x446" dataDxfId="157"/>
    <tableColumn id="37" name="line 4.4 x214" dataDxfId="156"/>
    <tableColumn id="45" name="line 4.18 x532" dataDxfId="155"/>
    <tableColumn id="46" name="line 4.26 x536" dataDxfId="154"/>
    <tableColumn id="47" name="line 4.34 x540" dataDxfId="153"/>
    <tableColumn id="55" name="line 4.42 x553" dataDxfId="152" dataCellStyle="Normal_SNAME04"/>
    <tableColumn id="9" name="line 4.50 x218" dataDxfId="151" dataCellStyle="Normal_SNAME04"/>
    <tableColumn id="10" name="line 4.51 x219" dataDxfId="150" dataCellStyle="Normal_SNAME04"/>
    <tableColumn id="27" name="line 4.56 x270" dataDxfId="149"/>
    <tableColumn id="28" name="line 4.57 x271" dataDxfId="148"/>
    <tableColumn id="48" name="line 4.70 x544" dataDxfId="147"/>
    <tableColumn id="49" name="line 4.78 x548" dataDxfId="146"/>
    <tableColumn id="11" name="line 5.16 x300" dataDxfId="145"/>
    <tableColumn id="38" name="line 6.2" dataDxfId="144" dataCellStyle="Normal_SNAME04"/>
    <tableColumn id="31" name="line 6.4 x386" dataDxfId="143" dataCellStyle="Normal_SNAME04"/>
    <tableColumn id="32" name="line 6.5 x387" dataDxfId="142" dataCellStyle="Normal_SNAME04"/>
    <tableColumn id="50" name="line 6.14 x600" dataDxfId="141"/>
    <tableColumn id="51" name="line 6.15 x601" dataDxfId="140"/>
    <tableColumn id="41" name="line 7.28 x251" dataDxfId="139"/>
    <tableColumn id="15" name="line 8.6 x335/336" dataDxfId="138"/>
    <tableColumn id="16" name="line 8.10 x274" dataDxfId="137"/>
    <tableColumn id="35" name="line 8.39 x365" dataDxfId="136"/>
    <tableColumn id="39" name="line 9.10 x305" dataDxfId="135"/>
    <tableColumn id="4" name="line 10.9" dataDxfId="134" dataCellStyle="Normal_SNAME04"/>
    <tableColumn id="5" name="line 10.23" dataDxfId="133" dataCellStyle="Normal_SNAME04"/>
    <tableColumn id="33" name="line 13.1 x388" dataDxfId="132"/>
    <tableColumn id="34" name="line 13.2 x389" dataDxfId="131"/>
    <tableColumn id="52" name="line 13.15 x604" dataDxfId="130"/>
    <tableColumn id="53" name="line 13.16 x605" dataDxfId="129"/>
    <tableColumn id="7" name="Extra Data" dataDxfId="128"/>
    <tableColumn id="29" name="PriorPriorYearBudget Adjustment" dataDxfId="127" dataCellStyle="Normal_SNAME04"/>
    <tableColumn id="8" name="PriorYearBudgetAdjustment" dataDxfId="126"/>
    <tableColumn id="12" name="CE_Audit_PPY" dataDxfId="125"/>
    <tableColumn id="13" name="SW_Audit_PPY" dataDxfId="124"/>
    <tableColumn id="14" name="CE_Audit_PY" dataDxfId="123"/>
    <tableColumn id="17" name="SW_Audit_PY" dataDxfId="122"/>
    <tableColumn id="19" name="line 7.31 x257" dataDxfId="121"/>
    <tableColumn id="30" name="CashReserveLimit" dataDxfId="120"/>
    <tableColumn id="36" name="MaximumDropoutPercent" dataDxfId="119" dataCellStyle="Normal_SNAME04"/>
    <tableColumn id="56" name="ControlCounty" dataDxfId="118"/>
    <tableColumn id="57" name="C&amp;I_EstimatedPayment" dataDxfId="117"/>
  </tableColumns>
  <tableStyleInfo name="TableStyleLight14" showFirstColumn="0" showLastColumn="0" showRowStripes="1" showColumnStripes="0"/>
</table>
</file>

<file path=xl/tables/table2.xml><?xml version="1.0" encoding="utf-8"?>
<table xmlns="http://schemas.openxmlformats.org/spreadsheetml/2006/main" id="1" name="SNAMEB" displayName="SNAMEB" ref="A2:BB335" totalsRowShown="0" headerRowDxfId="116" dataDxfId="115" headerRowCellStyle="Normal_SNAME04B">
  <autoFilter ref="A2:BB335"/>
  <tableColumns count="54">
    <tableColumn id="1" name="AEA" dataDxfId="114"/>
    <tableColumn id="2" name="DIST" dataDxfId="113" dataCellStyle="Normal_SNAME04"/>
    <tableColumn id="3" name="DE_DIST" dataDxfId="112" dataCellStyle="Normal_SNAME04"/>
    <tableColumn id="4" name="NAME"/>
    <tableColumn id="5" name="General Fund Balance" dataDxfId="111"/>
    <tableColumn id="6" name="Activity Fund Balance" dataDxfId="110"/>
    <tableColumn id="7" name="Management Fund Balance" dataDxfId="109"/>
    <tableColumn id="8" name="PERL Fund Balance" dataDxfId="108"/>
    <tableColumn id="9" name="Entre/Equal/SupportTrust/Library FundBalance" dataDxfId="107"/>
    <tableColumn id="10" name="Emergency/DisasterRecovery Fund Balance" dataDxfId="106"/>
    <tableColumn id="11" name="Sales Tax Fund Balance" dataDxfId="105"/>
    <tableColumn id="12" name="PPEL Fund Balance" dataDxfId="104"/>
    <tableColumn id="13" name="Capital Project FundBalance" dataDxfId="103"/>
    <tableColumn id="14" name="Debt Service Fund Balance" dataDxfId="102"/>
    <tableColumn id="15" name="Nutrition Fund Balance" dataDxfId="101"/>
    <tableColumn id="16" name="Other Enterprise FundBalance" dataDxfId="100"/>
    <tableColumn id="17" name="Total Fund Balance" dataDxfId="99"/>
    <tableColumn id="18" name="Property Tax Revenue" dataDxfId="98"/>
    <tableColumn id="19" name="Utility Excise ReplacementTax Revenue" dataDxfId="97"/>
    <tableColumn id="20" name="Income Surtax Revenue" dataDxfId="96"/>
    <tableColumn id="21" name="Tuition/TransportationRevenue" dataDxfId="95"/>
    <tableColumn id="22" name="Interest Revenue" dataDxfId="94"/>
    <tableColumn id="23" name="Nutrition Revenue" dataDxfId="93"/>
    <tableColumn id="24" name="Activities Revenue" dataDxfId="92"/>
    <tableColumn id="25" name="Other Local SourcesRevenue" dataDxfId="91"/>
    <tableColumn id="26" name="Intermediary Revenue" dataDxfId="90"/>
    <tableColumn id="27" name="State Aid Revenue" dataDxfId="89"/>
    <tableColumn id="28" name="Instructional SupportRevenue" dataDxfId="88"/>
    <tableColumn id="29" name="Other State Revenue" dataDxfId="87"/>
    <tableColumn id="30" name="Commercial and IndustrialReplacement Revenue" dataDxfId="86"/>
    <tableColumn id="31" name="Title I Revenue" dataDxfId="85"/>
    <tableColumn id="32" name="IDEA/Other Fed Revenue" dataDxfId="84"/>
    <tableColumn id="33" name="Total Revenues" dataDxfId="83"/>
    <tableColumn id="34" name="General Long-term DebtProceeds" dataDxfId="82"/>
    <tableColumn id="35" name="TransfersIn/Other Financing" dataDxfId="81"/>
    <tableColumn id="36" name="Fixed Asset Disposition" dataDxfId="80"/>
    <tableColumn id="37" name="Total Revenues &amp; OtherSources" dataDxfId="79"/>
    <tableColumn id="38" name="Beginning Fund Balance" dataDxfId="78"/>
    <tableColumn id="39" name="Instruction Expenditures" dataDxfId="77"/>
    <tableColumn id="40" name="Student Support Services" dataDxfId="76"/>
    <tableColumn id="41" name="Instruction Staff Support" dataDxfId="75"/>
    <tableColumn id="42" name="General Administration" dataDxfId="74"/>
    <tableColumn id="43" name="Building Administration" dataDxfId="73"/>
    <tableColumn id="44" name="Business &amp; CentralAdministration" dataDxfId="72"/>
    <tableColumn id="45" name="Plant Operation &amp; Maintenance" dataDxfId="71"/>
    <tableColumn id="46" name="Student Transportation" dataDxfId="70"/>
    <tableColumn id="47" name="Noninstructional Expenditures" dataDxfId="69"/>
    <tableColumn id="48" name="Facilities Acq &amp; Construction" dataDxfId="68"/>
    <tableColumn id="49" name="Debt Service" dataDxfId="67"/>
    <tableColumn id="50" name="AEA Support" dataDxfId="66"/>
    <tableColumn id="51" name="Transfers Out/OtherFinancing" dataDxfId="65"/>
    <tableColumn id="52" name="Ending Fund Balance" dataDxfId="64"/>
    <tableColumn id="53" name="Calculated Total Requirements" dataDxfId="63">
      <calculatedColumnFormula>SUM(SNAMEB[[#This Row],[Instruction Expenditures]:[Transfers Out/OtherFinancing]])+SUM(SNAMEB[[#This Row],[General Fund Balance]:[Other Enterprise FundBalance]])</calculatedColumnFormula>
    </tableColumn>
    <tableColumn id="54" name="Calculated Total Resources With BFB" dataDxfId="62">
      <calculatedColumnFormula>SUM(SNAMEB[[#This Row],[Property Tax Revenue]:[IDEA/Other Fed Revenue]])+SNAMEB[General Long-term DebtProceeds]+SNAMEB[TransfersIn/Other Financing]+SNAMEB[Fixed Asset Disposition]+SNAMEB[Beginning Fund Balance]</calculatedColumnFormula>
    </tableColumn>
  </tableColumns>
  <tableStyleInfo name="TableStyleLight16" showFirstColumn="0" showLastColumn="0" showRowStripes="1" showColumnStripes="0"/>
</table>
</file>

<file path=xl/tables/table3.xml><?xml version="1.0" encoding="utf-8"?>
<table xmlns="http://schemas.openxmlformats.org/spreadsheetml/2006/main" id="2" name="SNAMEC" displayName="SNAMEC" ref="A1:AM1666" totalsRowShown="0" headerRowDxfId="61" dataDxfId="60">
  <autoFilter ref="A1:AM1666"/>
  <tableColumns count="39">
    <tableColumn id="1" name="FiscalYear" dataDxfId="59"/>
    <tableColumn id="2" name="AEA" dataDxfId="58"/>
    <tableColumn id="3" name="DIST" dataDxfId="57"/>
    <tableColumn id="4" name="DE_DIST" dataDxfId="56"/>
    <tableColumn id="5" name="NAME" dataDxfId="55"/>
    <tableColumn id="6" name="L501_Sum" dataDxfId="54"/>
    <tableColumn id="7" name="L502_Sum" dataDxfId="53"/>
    <tableColumn id="8" name="L503_Sum" dataDxfId="52"/>
    <tableColumn id="9" name="L504_Sum" dataDxfId="51"/>
    <tableColumn id="10" name="L505_Sum" dataDxfId="50"/>
    <tableColumn id="11" name="L506_Sum" dataDxfId="49"/>
    <tableColumn id="12" name="L507_Sum" dataDxfId="48"/>
    <tableColumn id="13" name="L508_Sum" dataDxfId="47"/>
    <tableColumn id="14" name="L509_Sum" dataDxfId="46"/>
    <tableColumn id="15" name="L510_Sum" dataDxfId="45"/>
    <tableColumn id="16" name="L511_Sum" dataDxfId="44"/>
    <tableColumn id="17" name="L512_Sum" dataDxfId="43"/>
    <tableColumn id="18" name="L513_Sum" dataDxfId="42"/>
    <tableColumn id="19" name="L514_Sum" dataDxfId="41"/>
    <tableColumn id="20" name="L515_Sum" dataDxfId="40"/>
    <tableColumn id="21" name="L517_Sum" dataDxfId="39"/>
    <tableColumn id="22" name="'SBRC #1'n_Sum" dataDxfId="38"/>
    <tableColumn id="23" name="'SBRC #2'n_Sum" dataDxfId="37"/>
    <tableColumn id="24" name="'Spec Ed Def'n_Sum" dataDxfId="36"/>
    <tableColumn id="25" name="'Spec Ed Pos'n_Sum" dataDxfId="35"/>
    <tableColumn id="26" name="'AEA Spec Ed Red'n_Sum" dataDxfId="34"/>
    <tableColumn id="27" name="'Constr All'n_Sum" dataDxfId="33"/>
    <tableColumn id="28" name="'Unsp Constr'n_Sum" dataDxfId="32"/>
    <tableColumn id="29" name="L518_Sum" dataDxfId="31"/>
    <tableColumn id="30" name="L516_Sum" dataDxfId="30"/>
    <tableColumn id="31" name="MaximumDC_Sum" dataDxfId="29"/>
    <tableColumn id="32" name="L735_Sum" dataDxfId="28"/>
    <tableColumn id="33" name="L1027_Sum" dataDxfId="27"/>
    <tableColumn id="34" name="L1103_Sum" dataDxfId="26"/>
    <tableColumn id="35" name="'Misc Inc'n_Sum" dataDxfId="25"/>
    <tableColumn id="36" name="'UAB Prev FY12'n_Sum" dataDxfId="24"/>
    <tableColumn id="37" name="MaxAuthBud_Sum" dataDxfId="23"/>
    <tableColumn id="38" name="Exp_Sum" dataDxfId="22"/>
    <tableColumn id="39" name="UAB_Sum" dataDxfId="21"/>
  </tableColumns>
  <tableStyleInfo name="TableStyleMedium5" showFirstColumn="0" showLastColumn="0" showRowStripes="1" showColumnStripes="0"/>
</table>
</file>

<file path=xl/tables/table4.xml><?xml version="1.0" encoding="utf-8"?>
<table xmlns="http://schemas.openxmlformats.org/spreadsheetml/2006/main" id="3" name="Categorical" displayName="Categorical" ref="A1:S1000" totalsRowShown="0" headerRowDxfId="20" dataDxfId="19">
  <autoFilter ref="A1:S1000"/>
  <tableColumns count="19">
    <tableColumn id="1" name="FiscalYear" dataDxfId="18"/>
    <tableColumn id="2" name="AEA" dataDxfId="17"/>
    <tableColumn id="3" name="DIST" dataDxfId="16"/>
    <tableColumn id="4" name="DE_DIST_x000a_Sub1" dataDxfId="15"/>
    <tableColumn id="5" name="DE_DIST_x000a_Sub2" dataDxfId="14"/>
    <tableColumn id="6" name="DE_DIST" dataDxfId="13"/>
    <tableColumn id="7" name="NAME" dataDxfId="12"/>
    <tableColumn id="8" name="Home School Assistance Program (1113)" dataDxfId="11"/>
    <tableColumn id="9" name="Limited English Proficiency (1112)" dataDxfId="10"/>
    <tableColumn id="10" name="At-Risk and Dropout Prevention (1116/1119)" dataDxfId="9"/>
    <tableColumn id="11" name="Talented and Gifted (1118)" dataDxfId="8"/>
    <tableColumn id="12" name="Special Education" dataDxfId="7"/>
    <tableColumn id="13" name="Four-Year-Old Preschool (3117)" dataDxfId="6"/>
    <tableColumn id="14" name="Teacher Salary Supplement (3204)" dataDxfId="5"/>
    <tableColumn id="15" name="Professional Development General (3376)" dataDxfId="4"/>
    <tableColumn id="16" name="Professional Development Core (3373)" dataDxfId="3"/>
    <tableColumn id="17" name="Early Intervention Block Grant (3216)" dataDxfId="2"/>
    <tableColumn id="18" name="Teacher Leadership Compensation (3387/3116)" dataDxfId="1"/>
    <tableColumn id="19" name="Miscellaneous Categoricals" dataDxfId="0"/>
  </tableColumns>
  <tableStyleInfo name="TableStyleMedium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iowaonline.state.ia.us/dompvs/default.aspx?cmd=RptCriteriaLA&amp;selReport=AR100PCTClassLA-LA&amp;selFormat=PDF" TargetMode="External"/><Relationship Id="rId7" Type="http://schemas.openxmlformats.org/officeDocument/2006/relationships/printerSettings" Target="../printerSettings/printerSettings1.bin"/><Relationship Id="rId2" Type="http://schemas.openxmlformats.org/officeDocument/2006/relationships/hyperlink" Target="https://www.iowaonline.state.ia.us/dompvs/default.aspx?cmd=RptCriteriaLA&amp;selReport=ARTVClassLA-LA&amp;selFormat=PDF" TargetMode="External"/><Relationship Id="rId1" Type="http://schemas.openxmlformats.org/officeDocument/2006/relationships/hyperlink" Target="https://www.iowaonline.state.ia.us/dompvs/default.aspx?cmd=RptCriteriaLA&amp;selReport=ARTVClassLA-LA&amp;selFormat=PDF" TargetMode="External"/><Relationship Id="rId6" Type="http://schemas.openxmlformats.org/officeDocument/2006/relationships/hyperlink" Target="https://www.iowaonline.state.ia.us/dompvs/default.aspx?cmd=RptCriteriaLA&amp;selReport=ARTVClassLA-LA&amp;selFormat=PDF" TargetMode="External"/><Relationship Id="rId5" Type="http://schemas.openxmlformats.org/officeDocument/2006/relationships/hyperlink" Target="https://www.iowaonline.state.ia.us/dompvs/default.aspx?cmd=RptCriteriaLA&amp;selReport=ARTVLA2Public-LA&amp;selFormat=PDF" TargetMode="External"/><Relationship Id="rId4" Type="http://schemas.openxmlformats.org/officeDocument/2006/relationships/hyperlink" Target="https://www.iowaonline.state.ia.us/dompvs/default.aspx?cmd=RptCriteriaLA&amp;selReport=ARTVClassLA-LA&amp;selFormat=PDF"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1.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4.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5.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99"/>
  </sheetPr>
  <dimension ref="A1:W107"/>
  <sheetViews>
    <sheetView showGridLines="0" tabSelected="1" zoomScale="90" zoomScaleNormal="90" zoomScaleSheetLayoutView="90" workbookViewId="0">
      <selection activeCell="K3" sqref="K3"/>
    </sheetView>
  </sheetViews>
  <sheetFormatPr defaultRowHeight="11.25" x14ac:dyDescent="0.2"/>
  <cols>
    <col min="1" max="1" width="13.7109375" customWidth="1"/>
    <col min="2" max="2" width="13.28515625" customWidth="1"/>
    <col min="3" max="3" width="3.5703125" customWidth="1"/>
    <col min="4" max="4" width="9.7109375" customWidth="1"/>
    <col min="5" max="5" width="61.5703125" customWidth="1"/>
    <col min="6" max="6" width="4.7109375" customWidth="1"/>
    <col min="7" max="7" width="22.42578125" style="763" hidden="1" customWidth="1"/>
    <col min="8" max="8" width="12.42578125" customWidth="1"/>
    <col min="9" max="9" width="2.140625" customWidth="1"/>
    <col min="10" max="10" width="12.140625" customWidth="1"/>
    <col min="11" max="11" width="62.5703125" bestFit="1" customWidth="1"/>
    <col min="12" max="12" width="16.7109375" style="763" hidden="1" customWidth="1"/>
    <col min="13" max="13" width="33.7109375" style="763" hidden="1" customWidth="1"/>
    <col min="14" max="14" width="13.140625" style="763" hidden="1" customWidth="1"/>
    <col min="15" max="15" width="0" style="763" hidden="1" customWidth="1"/>
    <col min="16" max="16" width="11.140625" style="763" hidden="1" customWidth="1"/>
  </cols>
  <sheetData>
    <row r="1" spans="1:16" ht="14.25" customHeight="1" x14ac:dyDescent="0.2">
      <c r="A1" s="889" t="s">
        <v>1904</v>
      </c>
      <c r="B1" s="889"/>
      <c r="C1" s="889"/>
      <c r="D1" s="889"/>
      <c r="E1" s="889"/>
      <c r="F1" s="666"/>
      <c r="J1" s="887" t="s">
        <v>2015</v>
      </c>
      <c r="K1" s="887"/>
    </row>
    <row r="2" spans="1:16" ht="12.75" x14ac:dyDescent="0.2">
      <c r="A2" s="886" t="str">
        <f>CONCATENATE("1-1-",RIGHT(DoM!$B$6,2)-2," Valuation WITH Gas &amp; Electric Utilities")</f>
        <v>1-1-16 Valuation WITH Gas &amp; Electric Utilities</v>
      </c>
      <c r="B2" s="886"/>
      <c r="C2" s="886"/>
      <c r="D2" s="886"/>
      <c r="E2" s="886"/>
      <c r="F2" s="666"/>
      <c r="J2" s="664" t="s">
        <v>828</v>
      </c>
      <c r="K2" s="664" t="s">
        <v>1795</v>
      </c>
    </row>
    <row r="3" spans="1:16" ht="12.75" x14ac:dyDescent="0.2">
      <c r="A3" s="888" t="s">
        <v>1898</v>
      </c>
      <c r="B3" s="888"/>
      <c r="C3" s="888"/>
      <c r="D3" s="888"/>
      <c r="E3" s="616"/>
      <c r="F3" s="666"/>
      <c r="G3" s="764" t="str">
        <f>SNAME!$B$2</f>
        <v>DIST</v>
      </c>
      <c r="H3" s="876"/>
      <c r="I3" s="877"/>
      <c r="J3" s="665" t="e">
        <f>INDEX(SNAME!$A$3:$AS$335,MATCH(InputsResults!$K$3,SNAME!$C$3:$C$335,0),MATCH(InputsResults!$G$3,SNAME!$A$2:$AS$2,0))</f>
        <v>#N/A</v>
      </c>
      <c r="K3" s="658"/>
      <c r="L3" s="768"/>
    </row>
    <row r="4" spans="1:16" ht="12.75" x14ac:dyDescent="0.2">
      <c r="A4" s="888" t="s">
        <v>1899</v>
      </c>
      <c r="B4" s="888"/>
      <c r="C4" s="888"/>
      <c r="D4" s="888"/>
      <c r="E4" s="616"/>
      <c r="F4" s="666"/>
      <c r="K4" s="672" t="s">
        <v>1786</v>
      </c>
    </row>
    <row r="5" spans="1:16" ht="12.75" x14ac:dyDescent="0.2">
      <c r="A5" s="888" t="s">
        <v>1900</v>
      </c>
      <c r="B5" s="888"/>
      <c r="C5" s="888"/>
      <c r="D5" s="888"/>
      <c r="E5" s="607">
        <f>SUM(E3:E4)</f>
        <v>0</v>
      </c>
      <c r="F5" s="666"/>
      <c r="K5" s="806"/>
    </row>
    <row r="6" spans="1:16" ht="12.75" x14ac:dyDescent="0.2">
      <c r="A6" s="886" t="str">
        <f>CONCATENATE("1-1-",RIGHT(DoM!$B$6,2)-2," Valuation WITHOUT Gas &amp; Electric Utilities")</f>
        <v>1-1-16 Valuation WITHOUT Gas &amp; Electric Utilities</v>
      </c>
      <c r="B6" s="886"/>
      <c r="C6" s="886"/>
      <c r="D6" s="886"/>
      <c r="E6" s="886"/>
      <c r="F6" s="666"/>
      <c r="K6" s="672" t="s">
        <v>1787</v>
      </c>
    </row>
    <row r="7" spans="1:16" ht="12.75" x14ac:dyDescent="0.2">
      <c r="A7" s="888" t="s">
        <v>1901</v>
      </c>
      <c r="B7" s="888"/>
      <c r="C7" s="888"/>
      <c r="D7" s="888"/>
      <c r="E7" s="616"/>
      <c r="F7" s="666"/>
      <c r="K7" s="806"/>
    </row>
    <row r="8" spans="1:16" ht="12.75" x14ac:dyDescent="0.2">
      <c r="A8" s="888" t="s">
        <v>1902</v>
      </c>
      <c r="B8" s="888"/>
      <c r="C8" s="888"/>
      <c r="D8" s="888"/>
      <c r="E8" s="616"/>
      <c r="F8" s="666"/>
      <c r="K8" s="672" t="s">
        <v>1788</v>
      </c>
    </row>
    <row r="9" spans="1:16" ht="12.75" x14ac:dyDescent="0.2">
      <c r="A9" s="888" t="s">
        <v>1903</v>
      </c>
      <c r="B9" s="888"/>
      <c r="C9" s="888"/>
      <c r="D9" s="888"/>
      <c r="E9" s="607">
        <f>SUM(E7:E8)</f>
        <v>0</v>
      </c>
      <c r="F9" s="666"/>
      <c r="K9" s="807"/>
    </row>
    <row r="10" spans="1:16" ht="12.75" x14ac:dyDescent="0.2">
      <c r="A10" s="2"/>
      <c r="B10" s="2"/>
      <c r="C10" s="2"/>
      <c r="D10" s="2"/>
      <c r="E10" s="2"/>
      <c r="F10" s="666"/>
      <c r="K10" s="672" t="s">
        <v>1789</v>
      </c>
    </row>
    <row r="11" spans="1:16" ht="12.75" x14ac:dyDescent="0.2">
      <c r="A11" s="883" t="s">
        <v>2077</v>
      </c>
      <c r="B11" s="883"/>
      <c r="C11" s="883"/>
      <c r="D11" s="883"/>
      <c r="E11" s="883"/>
      <c r="F11" s="666"/>
      <c r="K11" s="808"/>
      <c r="L11" s="769" t="e">
        <f>INDEX(SNAME[],MATCH($D$32,SNAME[DIST],0),MATCH(M11,SNAME[#Headers],0))</f>
        <v>#N/A</v>
      </c>
      <c r="M11" s="765" t="str">
        <f>SNAME[[#Headers],[PriorPriorYearBudget Adjustment]]</f>
        <v>PriorPriorYearBudget Adjustment</v>
      </c>
    </row>
    <row r="12" spans="1:16" ht="7.5" customHeight="1" x14ac:dyDescent="0.2">
      <c r="A12" s="609"/>
      <c r="B12" s="609"/>
      <c r="C12" s="609"/>
      <c r="D12" s="609"/>
      <c r="E12" s="609"/>
      <c r="F12" s="666"/>
      <c r="K12" s="674"/>
    </row>
    <row r="13" spans="1:16" ht="12.75" x14ac:dyDescent="0.2">
      <c r="A13" s="886" t="str">
        <f>CONCATENATE("1-1-",RIGHT(DoM!$B$6,2)-2," Commercial and Industrial Taxable Property Valuations:")</f>
        <v>1-1-16 Commercial and Industrial Taxable Property Valuations:</v>
      </c>
      <c r="B13" s="886"/>
      <c r="C13" s="886"/>
      <c r="D13" s="886"/>
      <c r="E13" s="886"/>
      <c r="F13" s="666"/>
      <c r="K13" s="672" t="s">
        <v>1790</v>
      </c>
      <c r="L13" s="769" t="e">
        <f>INDEX(SNAME[],MATCH($D$32,SNAME[DIST],0),MATCH(M13,SNAME[#Headers],0))</f>
        <v>#N/A</v>
      </c>
      <c r="M13" s="765" t="str">
        <f>SNAME[[#Headers],[PriorYearBudgetAdjustment]]</f>
        <v>PriorYearBudgetAdjustment</v>
      </c>
    </row>
    <row r="14" spans="1:16" ht="12.75" x14ac:dyDescent="0.2">
      <c r="A14" s="2"/>
      <c r="B14" s="474" t="s">
        <v>1625</v>
      </c>
      <c r="C14" s="880" t="s">
        <v>1626</v>
      </c>
      <c r="D14" s="880"/>
      <c r="E14" s="603" t="s">
        <v>936</v>
      </c>
      <c r="F14" s="666"/>
      <c r="K14" s="809"/>
      <c r="L14" s="769" t="e">
        <f>INDEX(SNAME[],MATCH($D$32,SNAME[DIST],0),MATCH(M14,SNAME[#Headers],0))</f>
        <v>#N/A</v>
      </c>
      <c r="M14" s="765" t="str">
        <f>SNAME[[#Headers],[line 1.3 x272]]</f>
        <v>line 1.3 x272</v>
      </c>
      <c r="N14" s="763" t="str">
        <f>CONCATENATE("DCPP FY ",DoM!B5)</f>
        <v>DCPP FY 2017</v>
      </c>
    </row>
    <row r="15" spans="1:16" ht="12.75" x14ac:dyDescent="0.2">
      <c r="A15" s="2" t="s">
        <v>1895</v>
      </c>
      <c r="B15" s="696"/>
      <c r="C15" s="881"/>
      <c r="D15" s="881"/>
      <c r="E15" s="607">
        <f>SUM(B15:D15)</f>
        <v>0</v>
      </c>
      <c r="F15" s="666"/>
      <c r="L15" s="770">
        <f>INDEX(Constants!$A$2:$AR$100,MATCH(DoM!B5,Constants!$A$2:$A$100,0),MATCH(P15,Constants!$A$1:$AR$1,0))</f>
        <v>145</v>
      </c>
      <c r="M15" s="766" t="str">
        <f>CONCATENATE("CPP Added from prior year to FY ",DoM!B5)</f>
        <v>CPP Added from prior year to FY 2017</v>
      </c>
      <c r="P15" s="766" t="s">
        <v>1801</v>
      </c>
    </row>
    <row r="16" spans="1:16" ht="12.75" x14ac:dyDescent="0.2">
      <c r="A16" s="2" t="s">
        <v>1896</v>
      </c>
      <c r="B16" s="696"/>
      <c r="C16" s="881"/>
      <c r="D16" s="881"/>
      <c r="E16" s="607">
        <f>SUM(B16:D16)</f>
        <v>0</v>
      </c>
      <c r="F16" s="666"/>
      <c r="L16" s="769" t="e">
        <f>L14-L15</f>
        <v>#N/A</v>
      </c>
      <c r="M16" s="763" t="str">
        <f>CONCATENATE("DCPP FY ",DoM!B5-1)</f>
        <v>DCPP FY 2016</v>
      </c>
    </row>
    <row r="17" spans="1:16" ht="12.75" x14ac:dyDescent="0.2">
      <c r="A17" s="2" t="s">
        <v>1897</v>
      </c>
      <c r="B17" s="387">
        <f>SUM(B15:B16)</f>
        <v>0</v>
      </c>
      <c r="C17" s="882">
        <f>SUM(C15:C16)</f>
        <v>0</v>
      </c>
      <c r="D17" s="882"/>
      <c r="E17" s="607">
        <f>SUM(B17:D17)</f>
        <v>0</v>
      </c>
      <c r="F17" s="666"/>
      <c r="L17" s="770">
        <f>INDEX(Constants!$A$2:$AR$100,MATCH(DoM!$B$5,Constants!$A$2:$A$100,0),MATCH(P17,Constants!$A$1:$AR$1,0))</f>
        <v>5767</v>
      </c>
      <c r="M17" s="763" t="str">
        <f>CONCATENATE("Regular Program Foundation Level FY ",DoM!$B$5)</f>
        <v>Regular Program Foundation Level FY 2017</v>
      </c>
      <c r="P17" s="771" t="s">
        <v>1824</v>
      </c>
    </row>
    <row r="18" spans="1:16" ht="12.75" x14ac:dyDescent="0.2">
      <c r="A18" s="2"/>
      <c r="B18" s="2"/>
      <c r="C18" s="2"/>
      <c r="D18" s="2"/>
      <c r="E18" s="2"/>
      <c r="F18" s="666"/>
      <c r="L18" s="770">
        <f>INDEX(Constants!$A$2:$AR$100,MATCH(DoM!$B$5-1,Constants!$A$2:$A$100,0),MATCH(P18,Constants!$A$1:$AR$1,0))</f>
        <v>5640</v>
      </c>
      <c r="M18" s="763" t="str">
        <f>CONCATENATE("Regular Program Foundation Level FY ",DoM!$B$5-1)</f>
        <v>Regular Program Foundation Level FY 2016</v>
      </c>
      <c r="P18" s="771" t="s">
        <v>1824</v>
      </c>
    </row>
    <row r="19" spans="1:16" ht="15" customHeight="1" x14ac:dyDescent="0.2">
      <c r="A19" s="883" t="s">
        <v>2078</v>
      </c>
      <c r="B19" s="883"/>
      <c r="C19" s="883"/>
      <c r="D19" s="883"/>
      <c r="E19" s="883"/>
      <c r="F19" s="666"/>
    </row>
    <row r="20" spans="1:16" ht="7.5" customHeight="1" x14ac:dyDescent="0.2">
      <c r="A20" s="609"/>
      <c r="B20" s="609"/>
      <c r="C20" s="609"/>
      <c r="D20" s="609"/>
      <c r="E20" s="609"/>
      <c r="F20" s="666"/>
      <c r="H20" s="666"/>
      <c r="I20" s="666"/>
      <c r="J20" s="666"/>
      <c r="K20" s="666"/>
    </row>
    <row r="21" spans="1:16" ht="12.75" x14ac:dyDescent="0.2">
      <c r="A21" s="886" t="str">
        <f>CONCATENATE("1-1-",RIGHT(DoM!$B$6,2)-2," Commercial and Industrial 100% Property Valuations:")</f>
        <v>1-1-16 Commercial and Industrial 100% Property Valuations:</v>
      </c>
      <c r="B21" s="886"/>
      <c r="C21" s="886"/>
      <c r="D21" s="886"/>
      <c r="E21" s="886"/>
      <c r="F21" s="666"/>
      <c r="G21" s="763" t="s">
        <v>1798</v>
      </c>
      <c r="H21" s="670" t="s">
        <v>1914</v>
      </c>
      <c r="I21" s="627"/>
      <c r="J21" s="627"/>
      <c r="K21" s="627"/>
      <c r="L21" s="766" t="s">
        <v>1911</v>
      </c>
      <c r="M21" s="766" t="s">
        <v>1912</v>
      </c>
    </row>
    <row r="22" spans="1:16" ht="12.75" x14ac:dyDescent="0.2">
      <c r="A22" s="2"/>
      <c r="B22" s="474" t="s">
        <v>1625</v>
      </c>
      <c r="C22" s="880" t="s">
        <v>1626</v>
      </c>
      <c r="D22" s="880"/>
      <c r="E22" s="603" t="s">
        <v>936</v>
      </c>
      <c r="F22" s="666"/>
      <c r="G22" s="765" t="str">
        <f>SNAME[[#Headers],[CE_Audit_PPY]]</f>
        <v>CE_Audit_PPY</v>
      </c>
      <c r="H22" s="669" t="e">
        <f>INDEX(SNAME[],MATCH($D$32,SNAME[DIST],0),MATCH($G22,SNAME[#Headers],0))</f>
        <v>#N/A</v>
      </c>
      <c r="I22" s="884" t="str">
        <f>CONCATENATE("Fall ",DoM!$B$5-3," Certified Enrollment Change")</f>
        <v>Fall 2014 Certified Enrollment Change</v>
      </c>
      <c r="J22" s="885"/>
      <c r="K22" s="885"/>
      <c r="L22" s="769" t="e">
        <f>IF($L$11&gt;0,0,ROUND(H22*L16,0))</f>
        <v>#N/A</v>
      </c>
      <c r="M22" s="769" t="e">
        <f>ROUND(H22*$L$18,0)</f>
        <v>#N/A</v>
      </c>
    </row>
    <row r="23" spans="1:16" ht="12.75" x14ac:dyDescent="0.2">
      <c r="A23" s="2" t="s">
        <v>1895</v>
      </c>
      <c r="B23" s="615"/>
      <c r="C23" s="881"/>
      <c r="D23" s="881"/>
      <c r="E23" s="607">
        <f>SUM(B23:D23)</f>
        <v>0</v>
      </c>
      <c r="F23" s="666"/>
      <c r="G23" s="765" t="str">
        <f>SNAME[[#Headers],[SW_Audit_PPY]]</f>
        <v>SW_Audit_PPY</v>
      </c>
      <c r="H23" s="623" t="e">
        <f>INDEX(SNAME[],MATCH($D$32,SNAME[DIST],0),MATCH($G23,SNAME[#Headers],0))</f>
        <v>#N/A</v>
      </c>
      <c r="I23" s="884" t="str">
        <f>CONCATENATE("Fall ",DoM!$B$5-3," Supplementary Weight Change - Sharing and ELL")</f>
        <v>Fall 2014 Supplementary Weight Change - Sharing and ELL</v>
      </c>
      <c r="J23" s="885"/>
      <c r="K23" s="885"/>
      <c r="L23" s="769" t="e">
        <f>ROUND(H23*L16,0)</f>
        <v>#N/A</v>
      </c>
      <c r="M23" s="769" t="e">
        <f>ROUND(H23*$L$18,0)</f>
        <v>#N/A</v>
      </c>
    </row>
    <row r="24" spans="1:16" ht="12.75" x14ac:dyDescent="0.2">
      <c r="A24" s="2" t="s">
        <v>1896</v>
      </c>
      <c r="B24" s="615"/>
      <c r="C24" s="881"/>
      <c r="D24" s="881"/>
      <c r="E24" s="607">
        <f>SUM(B24:D24)</f>
        <v>0</v>
      </c>
      <c r="F24" s="666"/>
      <c r="G24" s="765" t="str">
        <f>SNAME[[#Headers],[CE_Audit_PY]]</f>
        <v>CE_Audit_PY</v>
      </c>
      <c r="H24" s="622" t="e">
        <f>INDEX(SNAME[],MATCH($D$32,SNAME[DIST],0),MATCH($G24,SNAME[#Headers],0))</f>
        <v>#N/A</v>
      </c>
      <c r="I24" s="884" t="str">
        <f>CONCATENATE("Fall ",DoM!$B$5-2," Certified Enrollment Change")</f>
        <v>Fall 2015 Certified Enrollment Change</v>
      </c>
      <c r="J24" s="885"/>
      <c r="K24" s="885"/>
      <c r="L24" s="769" t="e">
        <f>IF($L$13&gt;0,0,ROUND(H24*L14,0))</f>
        <v>#N/A</v>
      </c>
      <c r="M24" s="769" t="e">
        <f>ROUND(H24*$L$17,0)</f>
        <v>#N/A</v>
      </c>
    </row>
    <row r="25" spans="1:16" ht="12.75" x14ac:dyDescent="0.2">
      <c r="A25" s="2" t="s">
        <v>1897</v>
      </c>
      <c r="B25" s="70">
        <f>SUM(B23:B24)</f>
        <v>0</v>
      </c>
      <c r="C25" s="882">
        <f>SUM(C23:C24)</f>
        <v>0</v>
      </c>
      <c r="D25" s="882"/>
      <c r="E25" s="607">
        <f>SUM(B25:D25)</f>
        <v>0</v>
      </c>
      <c r="F25" s="666"/>
      <c r="G25" s="765" t="str">
        <f>SNAME[[#Headers],[SW_Audit_PY]]</f>
        <v>SW_Audit_PY</v>
      </c>
      <c r="H25" s="623" t="e">
        <f>INDEX(SNAME[],MATCH($D$32,SNAME[DIST],0),MATCH($G25,SNAME[#Headers],0))</f>
        <v>#N/A</v>
      </c>
      <c r="I25" s="884" t="str">
        <f>CONCATENATE("Fall ",DoM!$B$5-2," Supplementary Weight Change  - Sharing and ELL")</f>
        <v>Fall 2015 Supplementary Weight Change  - Sharing and ELL</v>
      </c>
      <c r="J25" s="885"/>
      <c r="K25" s="885"/>
      <c r="L25" s="769" t="e">
        <f>ROUND(H25*L14,0)</f>
        <v>#N/A</v>
      </c>
      <c r="M25" s="769" t="e">
        <f>ROUND(H25*$L$17,0)</f>
        <v>#N/A</v>
      </c>
    </row>
    <row r="26" spans="1:16" ht="13.5" thickBot="1" x14ac:dyDescent="0.25">
      <c r="A26" s="698"/>
      <c r="B26" s="2"/>
      <c r="C26" s="2"/>
      <c r="D26" s="2"/>
      <c r="E26" s="2"/>
      <c r="F26" s="666"/>
      <c r="L26" s="772" t="e">
        <f>SUM(L22:L25)</f>
        <v>#N/A</v>
      </c>
      <c r="M26" s="772" t="e">
        <f>SUM(M22:M25)</f>
        <v>#N/A</v>
      </c>
      <c r="N26" s="766" t="s">
        <v>936</v>
      </c>
    </row>
    <row r="27" spans="1:16" ht="12.75" customHeight="1" thickTop="1" x14ac:dyDescent="0.2">
      <c r="A27" s="883" t="s">
        <v>2079</v>
      </c>
      <c r="B27" s="883"/>
      <c r="C27" s="883"/>
      <c r="D27" s="883"/>
      <c r="E27" s="883"/>
      <c r="F27" s="666"/>
    </row>
    <row r="28" spans="1:16" x14ac:dyDescent="0.2">
      <c r="F28" s="666"/>
    </row>
    <row r="29" spans="1:16" ht="7.5" customHeight="1" x14ac:dyDescent="0.2">
      <c r="A29" s="608"/>
      <c r="B29" s="608"/>
      <c r="C29" s="608"/>
      <c r="D29" s="608"/>
      <c r="E29" s="608"/>
      <c r="F29" s="666"/>
      <c r="H29" s="608"/>
      <c r="I29" s="608"/>
      <c r="J29" s="608"/>
      <c r="K29" s="608"/>
    </row>
    <row r="30" spans="1:16" x14ac:dyDescent="0.2">
      <c r="F30" s="666"/>
    </row>
    <row r="31" spans="1:16" ht="14.25" x14ac:dyDescent="0.2">
      <c r="E31" s="513" t="s">
        <v>1882</v>
      </c>
      <c r="F31" s="666"/>
      <c r="G31" s="766"/>
      <c r="K31" s="513" t="s">
        <v>1883</v>
      </c>
    </row>
    <row r="32" spans="1:16" ht="14.25" x14ac:dyDescent="0.2">
      <c r="D32" s="512" t="e">
        <f>InputsResults!$J$3</f>
        <v>#N/A</v>
      </c>
      <c r="E32" s="513">
        <f>InputsResults!$K$3</f>
        <v>0</v>
      </c>
      <c r="F32" s="666"/>
      <c r="K32" s="513">
        <f>InputsResults!$K$3</f>
        <v>0</v>
      </c>
    </row>
    <row r="33" spans="1:23" x14ac:dyDescent="0.2">
      <c r="F33" s="666"/>
    </row>
    <row r="34" spans="1:23" s="28" customFormat="1" ht="12.75" customHeight="1" x14ac:dyDescent="0.2">
      <c r="A34" s="31"/>
      <c r="B34" s="64"/>
      <c r="C34" s="176"/>
      <c r="D34" s="349">
        <v>0</v>
      </c>
      <c r="E34" s="115" t="s">
        <v>1525</v>
      </c>
      <c r="F34" s="678"/>
      <c r="G34" s="767"/>
      <c r="H34" s="445"/>
      <c r="I34" s="478"/>
      <c r="J34" s="478"/>
      <c r="K34" s="478"/>
      <c r="L34" s="773"/>
      <c r="M34" s="773"/>
      <c r="N34" s="773"/>
      <c r="O34" s="773"/>
      <c r="P34" s="773"/>
      <c r="Q34" s="445"/>
      <c r="R34" s="445"/>
      <c r="S34" s="445"/>
      <c r="T34" s="445"/>
      <c r="U34" s="445"/>
      <c r="V34" s="445"/>
      <c r="W34" s="445"/>
    </row>
    <row r="35" spans="1:23" s="28" customFormat="1" ht="12.75" customHeight="1" x14ac:dyDescent="0.2">
      <c r="A35" s="31"/>
      <c r="B35" s="64"/>
      <c r="C35" s="176"/>
      <c r="D35" s="349">
        <v>0</v>
      </c>
      <c r="E35" s="115" t="s">
        <v>1526</v>
      </c>
      <c r="F35" s="678"/>
      <c r="G35" s="764"/>
      <c r="H35" s="478"/>
      <c r="I35" s="478"/>
      <c r="J35" s="478"/>
      <c r="K35" s="478"/>
      <c r="L35" s="773"/>
      <c r="M35" s="773"/>
      <c r="N35" s="773"/>
      <c r="O35" s="773"/>
      <c r="P35" s="773"/>
      <c r="Q35" s="445"/>
      <c r="R35" s="445"/>
      <c r="S35" s="445"/>
      <c r="T35" s="445"/>
      <c r="U35" s="445"/>
      <c r="V35" s="445"/>
      <c r="W35" s="445"/>
    </row>
    <row r="36" spans="1:23" s="28" customFormat="1" ht="12.75" customHeight="1" x14ac:dyDescent="0.2">
      <c r="A36" s="31"/>
      <c r="B36" s="31"/>
      <c r="C36" s="176"/>
      <c r="D36" s="349">
        <v>0</v>
      </c>
      <c r="E36" s="115" t="s">
        <v>1527</v>
      </c>
      <c r="F36" s="678"/>
      <c r="G36" s="764"/>
      <c r="H36" s="478"/>
      <c r="I36" s="478"/>
      <c r="J36" s="478"/>
      <c r="K36" s="478"/>
      <c r="L36" s="773"/>
      <c r="M36" s="773"/>
      <c r="N36" s="773"/>
      <c r="O36" s="773"/>
      <c r="P36" s="773"/>
      <c r="Q36" s="445"/>
      <c r="R36" s="445"/>
      <c r="S36" s="445"/>
      <c r="T36" s="445"/>
      <c r="U36" s="445"/>
      <c r="V36" s="445"/>
      <c r="W36" s="445"/>
    </row>
    <row r="37" spans="1:23" s="28" customFormat="1" ht="12.75" customHeight="1" x14ac:dyDescent="0.2">
      <c r="A37" s="31"/>
      <c r="B37" s="31"/>
      <c r="C37" s="176"/>
      <c r="D37" s="349">
        <v>0</v>
      </c>
      <c r="E37" s="115" t="s">
        <v>1528</v>
      </c>
      <c r="F37" s="678"/>
      <c r="G37" s="764"/>
      <c r="H37" s="478"/>
      <c r="I37" s="478"/>
      <c r="J37" s="478"/>
      <c r="K37" s="478"/>
      <c r="L37" s="773"/>
      <c r="M37" s="773"/>
      <c r="N37" s="773"/>
      <c r="O37" s="773"/>
      <c r="P37" s="773"/>
      <c r="Q37" s="445"/>
      <c r="R37" s="445"/>
      <c r="S37" s="445"/>
      <c r="T37" s="445"/>
      <c r="U37" s="445"/>
      <c r="V37" s="445"/>
      <c r="W37" s="445"/>
    </row>
    <row r="38" spans="1:23" s="28" customFormat="1" ht="12.75" customHeight="1" x14ac:dyDescent="0.2">
      <c r="A38" s="31"/>
      <c r="B38" s="31"/>
      <c r="C38" s="176"/>
      <c r="D38" s="349">
        <v>0</v>
      </c>
      <c r="E38" s="115" t="s">
        <v>1657</v>
      </c>
      <c r="F38" s="678"/>
      <c r="G38" s="764"/>
      <c r="H38" s="478"/>
      <c r="I38" s="478"/>
      <c r="J38" s="478"/>
      <c r="K38" s="478"/>
      <c r="L38" s="773"/>
      <c r="M38" s="773"/>
      <c r="N38" s="773"/>
      <c r="O38" s="774"/>
      <c r="P38" s="773"/>
      <c r="Q38" s="445"/>
      <c r="R38" s="445"/>
      <c r="S38" s="445"/>
      <c r="T38" s="445"/>
      <c r="U38" s="445"/>
      <c r="V38" s="445"/>
      <c r="W38" s="445"/>
    </row>
    <row r="39" spans="1:23" x14ac:dyDescent="0.2">
      <c r="F39" s="666"/>
    </row>
    <row r="40" spans="1:23" ht="12.75" x14ac:dyDescent="0.2">
      <c r="B40" s="693"/>
      <c r="C40" s="505"/>
      <c r="D40" s="505"/>
      <c r="E40" s="83" t="s">
        <v>36</v>
      </c>
      <c r="F40" s="667"/>
      <c r="G40" s="765"/>
      <c r="H40" s="81" t="e">
        <f>AidLevy!B49</f>
        <v>#N/A</v>
      </c>
      <c r="I40" s="6"/>
      <c r="J40" s="47" t="s">
        <v>1460</v>
      </c>
      <c r="K40" s="569" t="str">
        <f>CONCATENATE(DoM!$C$6," Regular Program District Cost without Adjustment")</f>
        <v>FY18 Regular Program District Cost without Adjustment</v>
      </c>
    </row>
    <row r="41" spans="1:23" ht="12.75" x14ac:dyDescent="0.2">
      <c r="B41" s="350">
        <v>0</v>
      </c>
      <c r="C41" s="6"/>
      <c r="D41" s="662" t="s">
        <v>1318</v>
      </c>
      <c r="E41" s="572" t="str">
        <f>CONCATENATE(DoM!$C$6," SBRC Modified Supplemental Amount - Dropout")</f>
        <v>FY18 SBRC Modified Supplemental Amount - Dropout</v>
      </c>
      <c r="F41" s="666"/>
      <c r="H41" s="347" t="e">
        <f>AidLevy!B54</f>
        <v>#N/A</v>
      </c>
      <c r="I41" s="6"/>
      <c r="J41" s="47" t="s">
        <v>1465</v>
      </c>
      <c r="K41" s="569" t="str">
        <f>CONCATENATE(DoM!$C$6," Regular Program Budget Adjustment (if negative, enter zero)")</f>
        <v>FY18 Regular Program Budget Adjustment (if negative, enter zero)</v>
      </c>
    </row>
    <row r="42" spans="1:23" ht="12.75" x14ac:dyDescent="0.2">
      <c r="B42" s="695"/>
      <c r="C42" s="346"/>
      <c r="D42" s="505"/>
      <c r="E42" s="82" t="s">
        <v>1373</v>
      </c>
      <c r="F42" s="666"/>
      <c r="H42" s="81" t="e">
        <f>AidLevy!B150</f>
        <v>#N/A</v>
      </c>
      <c r="I42" s="6"/>
      <c r="J42" s="47" t="s">
        <v>1679</v>
      </c>
      <c r="K42" s="348" t="s">
        <v>54</v>
      </c>
    </row>
    <row r="43" spans="1:23" ht="12.75" x14ac:dyDescent="0.2">
      <c r="B43" s="575">
        <v>0</v>
      </c>
      <c r="C43" s="6"/>
      <c r="D43" s="662" t="s">
        <v>1210</v>
      </c>
      <c r="E43" s="572" t="str">
        <f>CONCATENATE("Audited Change in October ",DoM!$B$6-3," Preschool Budget Enrollment")</f>
        <v>Audited Change in October 2015 Preschool Budget Enrollment</v>
      </c>
      <c r="F43" s="666"/>
      <c r="H43" s="81" t="e">
        <f>AidLevy!B210</f>
        <v>#N/A</v>
      </c>
      <c r="I43" s="6"/>
      <c r="J43" s="47" t="s">
        <v>1695</v>
      </c>
      <c r="K43" s="348" t="s">
        <v>1215</v>
      </c>
    </row>
    <row r="44" spans="1:23" ht="12.75" x14ac:dyDescent="0.2">
      <c r="B44" s="471"/>
      <c r="C44" s="346"/>
      <c r="D44" s="694"/>
      <c r="E44" s="82" t="s">
        <v>517</v>
      </c>
      <c r="F44" s="666"/>
      <c r="H44" s="81" t="e">
        <f>AidLevy!B274</f>
        <v>#N/A</v>
      </c>
      <c r="I44" s="6"/>
      <c r="J44" s="455" t="s">
        <v>1575</v>
      </c>
      <c r="K44" s="348" t="s">
        <v>516</v>
      </c>
    </row>
    <row r="45" spans="1:23" ht="12.75" x14ac:dyDescent="0.2">
      <c r="B45" s="610">
        <v>0</v>
      </c>
      <c r="C45" s="6"/>
      <c r="D45" s="662" t="s">
        <v>522</v>
      </c>
      <c r="E45" s="572" t="s">
        <v>523</v>
      </c>
      <c r="F45" s="666"/>
      <c r="H45" s="81" t="e">
        <f>AidLevy!B292</f>
        <v>#N/A</v>
      </c>
      <c r="I45" s="6"/>
      <c r="J45" s="47" t="s">
        <v>546</v>
      </c>
      <c r="K45" s="572" t="s">
        <v>547</v>
      </c>
    </row>
    <row r="46" spans="1:23" ht="12.75" x14ac:dyDescent="0.2">
      <c r="B46" s="352">
        <v>0</v>
      </c>
      <c r="C46" s="662" t="s">
        <v>1428</v>
      </c>
      <c r="D46" s="662" t="s">
        <v>543</v>
      </c>
      <c r="E46" s="572" t="s">
        <v>544</v>
      </c>
      <c r="F46" s="666"/>
      <c r="H46" s="81" t="e">
        <f>AidLevy!B296</f>
        <v>#N/A</v>
      </c>
      <c r="I46" s="6"/>
      <c r="J46" s="47" t="s">
        <v>555</v>
      </c>
      <c r="K46" s="572" t="s">
        <v>556</v>
      </c>
    </row>
    <row r="47" spans="1:23" ht="12.75" x14ac:dyDescent="0.2">
      <c r="B47" s="350">
        <v>0</v>
      </c>
      <c r="C47" s="6"/>
      <c r="D47" s="662" t="s">
        <v>545</v>
      </c>
      <c r="E47" s="572" t="str">
        <f>CONCATENATE("District Income Tax Paid in ",DoM!$B$6-3)</f>
        <v>District Income Tax Paid in 2015</v>
      </c>
      <c r="F47" s="666"/>
      <c r="H47" s="81" t="e">
        <f>AidLevy!B345</f>
        <v>#N/A</v>
      </c>
      <c r="I47" s="6"/>
      <c r="J47" s="47" t="s">
        <v>674</v>
      </c>
      <c r="K47" s="662" t="s">
        <v>675</v>
      </c>
    </row>
    <row r="48" spans="1:23" ht="12.75" x14ac:dyDescent="0.2">
      <c r="B48" s="471"/>
      <c r="C48" s="346"/>
      <c r="D48" s="505"/>
      <c r="E48" s="82" t="s">
        <v>586</v>
      </c>
      <c r="F48" s="666"/>
      <c r="H48" s="81" t="e">
        <f>AidLevy!B347</f>
        <v>#N/A</v>
      </c>
      <c r="I48" s="6"/>
      <c r="J48" s="47" t="s">
        <v>678</v>
      </c>
      <c r="K48" s="662" t="s">
        <v>679</v>
      </c>
    </row>
    <row r="49" spans="1:11" ht="12.75" x14ac:dyDescent="0.2">
      <c r="B49" s="351">
        <v>0</v>
      </c>
      <c r="C49" s="6"/>
      <c r="D49" s="662" t="s">
        <v>588</v>
      </c>
      <c r="E49" s="47" t="s">
        <v>1881</v>
      </c>
      <c r="F49" s="666"/>
      <c r="H49" s="581">
        <f>AidLevy!B351</f>
        <v>0</v>
      </c>
      <c r="I49" s="6"/>
      <c r="J49" s="47" t="s">
        <v>684</v>
      </c>
      <c r="K49" s="662" t="s">
        <v>685</v>
      </c>
    </row>
    <row r="50" spans="1:11" ht="12.75" x14ac:dyDescent="0.2">
      <c r="B50" s="352">
        <v>0</v>
      </c>
      <c r="C50" s="662" t="s">
        <v>1428</v>
      </c>
      <c r="D50" s="662" t="s">
        <v>592</v>
      </c>
      <c r="E50" s="47" t="s">
        <v>593</v>
      </c>
      <c r="F50" s="666"/>
      <c r="H50" s="581">
        <f>AidLevy!B352</f>
        <v>0</v>
      </c>
      <c r="I50" s="6"/>
      <c r="J50" s="47" t="s">
        <v>686</v>
      </c>
      <c r="K50" s="662" t="s">
        <v>687</v>
      </c>
    </row>
    <row r="51" spans="1:11" ht="12.75" x14ac:dyDescent="0.2">
      <c r="B51" s="969"/>
      <c r="C51" s="506"/>
      <c r="D51" s="505"/>
      <c r="E51" s="82" t="s">
        <v>671</v>
      </c>
      <c r="F51" s="666"/>
      <c r="H51" s="581">
        <f>AidLevy!B353</f>
        <v>0</v>
      </c>
      <c r="I51" s="6"/>
      <c r="J51" s="47" t="s">
        <v>688</v>
      </c>
      <c r="K51" s="662" t="s">
        <v>689</v>
      </c>
    </row>
    <row r="52" spans="1:11" ht="12.75" x14ac:dyDescent="0.2">
      <c r="B52" s="350">
        <v>0</v>
      </c>
      <c r="C52" s="6"/>
      <c r="D52" s="662" t="s">
        <v>684</v>
      </c>
      <c r="E52" s="47" t="s">
        <v>685</v>
      </c>
      <c r="F52" s="666"/>
      <c r="H52" s="81" t="e">
        <f>AidLevy!B356</f>
        <v>#N/A</v>
      </c>
      <c r="I52" s="6"/>
      <c r="J52" s="47" t="s">
        <v>1508</v>
      </c>
      <c r="K52" s="662" t="s">
        <v>1519</v>
      </c>
    </row>
    <row r="53" spans="1:11" ht="12.75" x14ac:dyDescent="0.2">
      <c r="B53" s="350">
        <v>0</v>
      </c>
      <c r="C53" s="6"/>
      <c r="D53" s="662" t="s">
        <v>686</v>
      </c>
      <c r="E53" s="47" t="s">
        <v>687</v>
      </c>
      <c r="F53" s="666"/>
      <c r="G53" s="852">
        <f>SUM(B52:B53)</f>
        <v>0</v>
      </c>
      <c r="H53" s="81" t="e">
        <f>AidLevy!B355</f>
        <v>#N/A</v>
      </c>
      <c r="I53" s="6"/>
      <c r="J53" s="47" t="s">
        <v>1507</v>
      </c>
      <c r="K53" s="662" t="s">
        <v>677</v>
      </c>
    </row>
    <row r="54" spans="1:11" ht="12.75" x14ac:dyDescent="0.2">
      <c r="B54" s="350">
        <v>0</v>
      </c>
      <c r="C54" s="6"/>
      <c r="D54" s="662" t="s">
        <v>688</v>
      </c>
      <c r="E54" s="47" t="s">
        <v>689</v>
      </c>
      <c r="F54" s="666"/>
      <c r="H54" s="81" t="e">
        <f>AidLevy!B354</f>
        <v>#N/A</v>
      </c>
      <c r="I54" s="6"/>
      <c r="J54" s="47" t="s">
        <v>690</v>
      </c>
      <c r="K54" s="662" t="s">
        <v>691</v>
      </c>
    </row>
    <row r="55" spans="1:11" ht="12.75" x14ac:dyDescent="0.2">
      <c r="B55" s="345"/>
      <c r="C55" s="346"/>
      <c r="D55" s="505"/>
      <c r="E55" s="579" t="s">
        <v>1748</v>
      </c>
      <c r="F55" s="666"/>
      <c r="H55" s="444">
        <f>AidLevy!B358</f>
        <v>0</v>
      </c>
      <c r="I55" s="6"/>
      <c r="J55" s="47" t="s">
        <v>1510</v>
      </c>
      <c r="K55" s="662" t="s">
        <v>1516</v>
      </c>
    </row>
    <row r="56" spans="1:11" ht="12.75" x14ac:dyDescent="0.2">
      <c r="B56" s="353">
        <v>0</v>
      </c>
      <c r="C56" s="6"/>
      <c r="D56" s="662" t="s">
        <v>738</v>
      </c>
      <c r="E56" s="569" t="s">
        <v>1784</v>
      </c>
      <c r="F56" s="666"/>
      <c r="H56" s="444">
        <f>AidLevy!B361</f>
        <v>0</v>
      </c>
      <c r="I56" s="6"/>
      <c r="J56" s="47" t="s">
        <v>1513</v>
      </c>
      <c r="K56" s="662" t="s">
        <v>1517</v>
      </c>
    </row>
    <row r="57" spans="1:11" ht="12.75" x14ac:dyDescent="0.2">
      <c r="B57" s="352">
        <v>0</v>
      </c>
      <c r="C57" s="662" t="s">
        <v>1428</v>
      </c>
      <c r="D57" s="662" t="s">
        <v>741</v>
      </c>
      <c r="E57" s="569" t="s">
        <v>742</v>
      </c>
      <c r="F57" s="666"/>
      <c r="H57" s="444">
        <f>AidLevy!B363</f>
        <v>0</v>
      </c>
      <c r="I57" s="6"/>
      <c r="J57" s="47" t="s">
        <v>1515</v>
      </c>
      <c r="K57" s="662" t="s">
        <v>1518</v>
      </c>
    </row>
    <row r="58" spans="1:11" ht="12.75" x14ac:dyDescent="0.2">
      <c r="A58" s="472"/>
      <c r="E58" s="82" t="s">
        <v>771</v>
      </c>
      <c r="F58" s="666"/>
      <c r="H58" s="587"/>
      <c r="I58" s="13"/>
      <c r="J58" s="588"/>
      <c r="K58" s="115"/>
    </row>
    <row r="59" spans="1:11" ht="12.75" x14ac:dyDescent="0.2">
      <c r="A59" s="472"/>
      <c r="B59" s="350">
        <v>0</v>
      </c>
      <c r="C59" s="6"/>
      <c r="D59" s="47" t="s">
        <v>772</v>
      </c>
      <c r="E59" s="47" t="s">
        <v>773</v>
      </c>
      <c r="F59" s="666"/>
      <c r="H59" s="587"/>
      <c r="I59" s="13"/>
      <c r="J59" s="115"/>
      <c r="K59" s="82" t="s">
        <v>1884</v>
      </c>
    </row>
    <row r="60" spans="1:11" ht="12.75" x14ac:dyDescent="0.2">
      <c r="A60" s="13"/>
      <c r="B60" s="350">
        <v>0</v>
      </c>
      <c r="C60" s="6"/>
      <c r="D60" s="47" t="s">
        <v>774</v>
      </c>
      <c r="E60" s="47" t="s">
        <v>775</v>
      </c>
      <c r="F60" s="666"/>
      <c r="J60" s="879" t="s">
        <v>1886</v>
      </c>
    </row>
    <row r="61" spans="1:11" ht="12.75" x14ac:dyDescent="0.2">
      <c r="A61" s="13"/>
      <c r="B61" s="612">
        <v>0</v>
      </c>
      <c r="C61" s="6"/>
      <c r="D61" s="47" t="s">
        <v>776</v>
      </c>
      <c r="E61" s="47" t="s">
        <v>777</v>
      </c>
      <c r="F61" s="666"/>
      <c r="H61" s="472" t="s">
        <v>1885</v>
      </c>
      <c r="I61" s="2"/>
      <c r="J61" s="879"/>
    </row>
    <row r="62" spans="1:11" ht="12.75" x14ac:dyDescent="0.2">
      <c r="A62" s="13"/>
      <c r="B62" s="350">
        <v>0</v>
      </c>
      <c r="C62" s="6"/>
      <c r="D62" s="47" t="s">
        <v>778</v>
      </c>
      <c r="E62" s="47" t="s">
        <v>494</v>
      </c>
      <c r="F62" s="666"/>
      <c r="H62" s="589">
        <f>TaxCert!D38</f>
        <v>0</v>
      </c>
      <c r="I62" s="590"/>
      <c r="J62" s="591">
        <f>TaxCert!C38</f>
        <v>0</v>
      </c>
      <c r="K62" s="6" t="s">
        <v>1648</v>
      </c>
    </row>
    <row r="63" spans="1:11" ht="12.75" x14ac:dyDescent="0.2">
      <c r="A63" s="102"/>
      <c r="B63" s="350">
        <v>0</v>
      </c>
      <c r="C63" s="6"/>
      <c r="D63" s="47" t="s">
        <v>779</v>
      </c>
      <c r="E63" s="47" t="s">
        <v>598</v>
      </c>
      <c r="F63" s="666"/>
      <c r="H63" s="589">
        <f>TaxCert!D39</f>
        <v>0</v>
      </c>
      <c r="I63" s="590"/>
      <c r="J63" s="591">
        <f>TaxCert!C39</f>
        <v>0</v>
      </c>
      <c r="K63" s="6" t="s">
        <v>1649</v>
      </c>
    </row>
    <row r="64" spans="1:11" ht="12.75" x14ac:dyDescent="0.2">
      <c r="A64" s="102"/>
      <c r="B64" s="350">
        <v>0</v>
      </c>
      <c r="C64" s="6"/>
      <c r="D64" s="47" t="s">
        <v>781</v>
      </c>
      <c r="E64" s="47" t="s">
        <v>780</v>
      </c>
      <c r="F64" s="666"/>
      <c r="H64" s="589"/>
      <c r="I64" s="590"/>
      <c r="J64" s="591">
        <f>TaxCert!C40</f>
        <v>0</v>
      </c>
      <c r="K64" s="6" t="s">
        <v>854</v>
      </c>
    </row>
    <row r="65" spans="1:16" ht="12.75" x14ac:dyDescent="0.2">
      <c r="B65" s="593">
        <f>AidLevy!B428</f>
        <v>0</v>
      </c>
      <c r="C65" s="6"/>
      <c r="D65" s="47" t="s">
        <v>493</v>
      </c>
      <c r="E65" s="580" t="s">
        <v>782</v>
      </c>
      <c r="F65" s="666"/>
      <c r="H65" s="589"/>
      <c r="I65" s="590"/>
      <c r="J65" s="591">
        <f>TaxCert!C41</f>
        <v>0</v>
      </c>
      <c r="K65" s="6" t="s">
        <v>855</v>
      </c>
    </row>
    <row r="66" spans="1:16" ht="12.75" x14ac:dyDescent="0.2">
      <c r="F66" s="666"/>
      <c r="H66" s="589" t="str">
        <f>TaxCert!D42</f>
        <v>.00000</v>
      </c>
      <c r="I66" s="590"/>
      <c r="J66" s="591">
        <f>TaxCert!C42</f>
        <v>0</v>
      </c>
      <c r="K66" s="6" t="s">
        <v>856</v>
      </c>
    </row>
    <row r="67" spans="1:16" ht="12.75" x14ac:dyDescent="0.2">
      <c r="B67" s="661"/>
      <c r="C67" s="28"/>
      <c r="D67" s="28"/>
      <c r="E67" s="28"/>
      <c r="F67" s="666"/>
      <c r="H67" s="589" t="str">
        <f>TaxCert!D43</f>
        <v>.00000</v>
      </c>
      <c r="I67" s="590"/>
      <c r="J67" s="591">
        <f>TaxCert!C43</f>
        <v>0</v>
      </c>
      <c r="K67" s="6" t="s">
        <v>857</v>
      </c>
    </row>
    <row r="68" spans="1:16" ht="14.25" x14ac:dyDescent="0.2">
      <c r="B68" s="28"/>
      <c r="C68" s="28"/>
      <c r="D68" s="28"/>
      <c r="E68" s="614" t="s">
        <v>2016</v>
      </c>
      <c r="F68" s="666"/>
      <c r="G68" s="765" t="str">
        <f>SNAME[[#Headers],[MaximumDropoutPercent]]</f>
        <v>MaximumDropoutPercent</v>
      </c>
      <c r="H68" s="589"/>
      <c r="I68" s="590"/>
      <c r="J68" s="591">
        <f>TaxCert!C44</f>
        <v>0</v>
      </c>
      <c r="K68" s="6" t="s">
        <v>858</v>
      </c>
    </row>
    <row r="69" spans="1:16" ht="12.75" x14ac:dyDescent="0.2">
      <c r="B69" s="668" t="e">
        <f>ROUND(AidLevy!B13*AidLevy!B5*InputsResults!G69,0)</f>
        <v>#N/A</v>
      </c>
      <c r="D69" s="662" t="s">
        <v>1318</v>
      </c>
      <c r="E69" s="572" t="str">
        <f>CONCATENATE(DoM!$C$6," Maximum SBRC Modified Supplemental Amount - Dropout")</f>
        <v>FY18 Maximum SBRC Modified Supplemental Amount - Dropout</v>
      </c>
      <c r="F69" s="666"/>
      <c r="G69" s="782" t="e">
        <f>INDEX(SNAME[],MATCH($D$32,SNAME[DIST],0),MATCH($G68,SNAME[#Headers],0))</f>
        <v>#N/A</v>
      </c>
      <c r="H69" s="585"/>
      <c r="I69" s="585"/>
      <c r="J69" s="585"/>
      <c r="K69" s="585"/>
    </row>
    <row r="70" spans="1:16" ht="12.75" x14ac:dyDescent="0.2">
      <c r="B70" s="668" t="e">
        <f>INDEX(SNAME[],MATCH($D$32,SNAME[DIST],0),MATCH($G70,SNAME[#Headers],0))</f>
        <v>#N/A</v>
      </c>
      <c r="D70" s="676" t="s">
        <v>2019</v>
      </c>
      <c r="E70" s="662" t="s">
        <v>2018</v>
      </c>
      <c r="F70" s="666"/>
      <c r="G70" s="765" t="str">
        <f>SNAME[[#Headers],[CashReserveLimit]]</f>
        <v>CashReserveLimit</v>
      </c>
      <c r="H70" s="589">
        <f>TaxCert!D46</f>
        <v>0</v>
      </c>
      <c r="I70" s="590"/>
      <c r="J70" s="591">
        <f>TaxCert!C46</f>
        <v>0</v>
      </c>
      <c r="K70" s="582" t="s">
        <v>495</v>
      </c>
    </row>
    <row r="71" spans="1:16" ht="12.75" x14ac:dyDescent="0.2">
      <c r="B71" s="613" t="str">
        <f>IF(E5&gt;0,ROUND(0.33*(TaxCert!C54/1000),0),"Enter Valuation")</f>
        <v>Enter Valuation</v>
      </c>
      <c r="C71" s="28"/>
      <c r="D71" s="675" t="s">
        <v>776</v>
      </c>
      <c r="E71" s="662" t="s">
        <v>2097</v>
      </c>
      <c r="F71" s="666"/>
      <c r="H71" s="589" t="str">
        <f>TaxCert!D47</f>
        <v>.00000</v>
      </c>
      <c r="I71" s="590"/>
      <c r="J71" s="591">
        <f>TaxCert!C47</f>
        <v>0</v>
      </c>
      <c r="K71" s="582" t="s">
        <v>599</v>
      </c>
    </row>
    <row r="72" spans="1:16" ht="12.75" x14ac:dyDescent="0.2">
      <c r="B72" s="783" t="e">
        <f>IF(AND(B45&gt;0,H46&lt;0),"Lower Surtax","")</f>
        <v>#N/A</v>
      </c>
      <c r="C72" s="28"/>
      <c r="D72" s="662" t="s">
        <v>543</v>
      </c>
      <c r="E72" s="572" t="s">
        <v>2060</v>
      </c>
      <c r="F72" s="666"/>
      <c r="H72" s="589" t="str">
        <f>TaxCert!D48</f>
        <v>.00000</v>
      </c>
      <c r="I72" s="590"/>
      <c r="J72" s="591">
        <f>TaxCert!C48</f>
        <v>0</v>
      </c>
      <c r="K72" s="582" t="s">
        <v>859</v>
      </c>
    </row>
    <row r="73" spans="1:16" ht="12.75" x14ac:dyDescent="0.2">
      <c r="B73" s="783" t="e">
        <f>IF(AND(B49&gt;0,H48&lt;0),"Lower Surtax","")</f>
        <v>#N/A</v>
      </c>
      <c r="C73" s="28"/>
      <c r="D73" s="662" t="s">
        <v>592</v>
      </c>
      <c r="E73" s="662" t="s">
        <v>2061</v>
      </c>
      <c r="F73" s="666"/>
      <c r="H73" s="589">
        <f>TaxCert!D49</f>
        <v>0</v>
      </c>
      <c r="I73" s="590"/>
      <c r="J73" s="591">
        <f>TaxCert!C49</f>
        <v>0</v>
      </c>
      <c r="K73" s="582" t="s">
        <v>860</v>
      </c>
    </row>
    <row r="74" spans="1:16" ht="12.75" x14ac:dyDescent="0.2">
      <c r="B74" s="783" t="str">
        <f>IF(AND(B56&gt;0,J65&lt;0),"Lower Surtax","")</f>
        <v/>
      </c>
      <c r="C74" s="28"/>
      <c r="D74" s="662" t="s">
        <v>741</v>
      </c>
      <c r="E74" s="569" t="s">
        <v>2062</v>
      </c>
      <c r="F74" s="666"/>
      <c r="H74" s="589">
        <f>TaxCert!D50</f>
        <v>0</v>
      </c>
      <c r="I74" s="590"/>
      <c r="J74" s="591" t="e">
        <f>TaxCert!C50</f>
        <v>#N/A</v>
      </c>
      <c r="K74" s="592" t="s">
        <v>861</v>
      </c>
    </row>
    <row r="75" spans="1:16" s="659" customFormat="1" ht="12.75" x14ac:dyDescent="0.2">
      <c r="B75" s="661"/>
      <c r="C75" s="661"/>
      <c r="E75" s="661"/>
      <c r="F75" s="666"/>
      <c r="G75" s="763"/>
      <c r="H75" s="679"/>
      <c r="I75" s="680"/>
      <c r="J75" s="681"/>
      <c r="K75" s="682"/>
      <c r="L75" s="763"/>
      <c r="M75" s="763"/>
      <c r="N75" s="763"/>
      <c r="O75" s="763"/>
      <c r="P75" s="763"/>
    </row>
    <row r="76" spans="1:16" ht="6.75" customHeight="1" x14ac:dyDescent="0.2">
      <c r="A76" s="666"/>
      <c r="B76" s="683"/>
      <c r="C76" s="683"/>
      <c r="D76" s="683"/>
      <c r="E76" s="683"/>
      <c r="F76" s="666"/>
      <c r="H76" s="666"/>
      <c r="I76" s="666"/>
      <c r="J76" s="666"/>
      <c r="K76" s="666"/>
    </row>
    <row r="77" spans="1:16" ht="18" customHeight="1" x14ac:dyDescent="0.25">
      <c r="D77" s="661"/>
      <c r="E77" s="684" t="s">
        <v>2020</v>
      </c>
    </row>
    <row r="78" spans="1:16" ht="12.75" x14ac:dyDescent="0.2">
      <c r="D78" s="661"/>
      <c r="E78" s="677" t="s">
        <v>903</v>
      </c>
    </row>
    <row r="79" spans="1:16" ht="12.75" x14ac:dyDescent="0.2">
      <c r="D79" s="661"/>
      <c r="E79" s="663" t="e">
        <f>IF((Proposed!D27&lt;&gt;Proposed!E48),"Proposed FY2017 Ending Fund Balance does not equal FY2018 Beg. Fund Bal.","")</f>
        <v>#N/A</v>
      </c>
    </row>
    <row r="80" spans="1:16" ht="12.75" x14ac:dyDescent="0.2">
      <c r="D80" s="661"/>
      <c r="E80" s="663" t="e">
        <f>IF((Adopted!D25&lt;&gt;Adopted!E46),"Adopted FY2017 Ending Fund Balance does not equal FY2018 Beg. Fund Bal.","")</f>
        <v>#N/A</v>
      </c>
    </row>
    <row r="81" spans="4:5" ht="12.75" x14ac:dyDescent="0.2">
      <c r="D81" s="661"/>
      <c r="E81" s="663" t="e">
        <f>IF((Proposed!E27&lt;&gt;Proposed!F48),"Proposed FY2016 Ending Fund Balance does not equal FY2017 Beg. Fund Bal.","")</f>
        <v>#N/A</v>
      </c>
    </row>
    <row r="82" spans="4:5" ht="12.75" x14ac:dyDescent="0.2">
      <c r="D82" s="661"/>
      <c r="E82" s="663" t="e">
        <f>IF((Adopted!E25&lt;&gt;Adopted!F46),"Adopted FY2016 Ending Fund Balance does not equal FY2017 Beg. Fund Bal.","")</f>
        <v>#N/A</v>
      </c>
    </row>
    <row r="83" spans="4:5" ht="12.75" x14ac:dyDescent="0.2">
      <c r="D83" s="661"/>
      <c r="E83" s="660"/>
    </row>
    <row r="84" spans="4:5" ht="12.75" x14ac:dyDescent="0.2">
      <c r="D84" s="661"/>
      <c r="E84" s="677" t="s">
        <v>904</v>
      </c>
    </row>
    <row r="85" spans="4:5" ht="12.75" x14ac:dyDescent="0.2">
      <c r="D85" s="661"/>
      <c r="E85" s="663" t="str">
        <f>IF((TaxCert!C22&gt;0)*AND(TaxCert!C42&lt;0),"Voted Physical Plant and Equipment property tax cannot be negative","")</f>
        <v/>
      </c>
    </row>
    <row r="86" spans="4:5" ht="12.75" x14ac:dyDescent="0.2">
      <c r="D86" s="661"/>
      <c r="E86" s="663" t="e">
        <f>IF((TaxCert!C18&gt;0)*AND(TaxCert!C35&lt;0),"Instructional Support property tax levy cannot be negative","")</f>
        <v>#N/A</v>
      </c>
    </row>
    <row r="87" spans="4:5" ht="12.75" x14ac:dyDescent="0.2">
      <c r="D87" s="661"/>
      <c r="E87" s="663" t="e">
        <f>IF(AidLevy!B415&gt;0.2,"Total Income Surtax Rates cannot exceed 20%","")</f>
        <v>#N/A</v>
      </c>
    </row>
    <row r="88" spans="4:5" ht="12.75" x14ac:dyDescent="0.2">
      <c r="D88" s="661"/>
      <c r="E88" s="663"/>
    </row>
    <row r="89" spans="4:5" ht="12.75" x14ac:dyDescent="0.2">
      <c r="D89" s="661"/>
      <c r="E89" s="677" t="s">
        <v>905</v>
      </c>
    </row>
    <row r="90" spans="4:5" ht="12.75" x14ac:dyDescent="0.2">
      <c r="D90" s="661"/>
      <c r="E90" s="663" t="str">
        <f>IF((TaxCert!C40&gt;0) *AND(TaxCert!C41&lt;0),"VPPEL Capital Project cannot be negative","")</f>
        <v/>
      </c>
    </row>
    <row r="91" spans="4:5" ht="12.75" x14ac:dyDescent="0.2">
      <c r="D91" s="661"/>
      <c r="E91" s="663" t="str">
        <f>IF((TaxCert!C49&gt;0)*AND(TaxCert!D49&gt;4.05),"Debt Service levy exceeds statutory limit","")</f>
        <v/>
      </c>
    </row>
    <row r="92" spans="4:5" ht="12.75" x14ac:dyDescent="0.2">
      <c r="D92" s="661"/>
      <c r="E92" s="663"/>
    </row>
    <row r="93" spans="4:5" ht="12.75" x14ac:dyDescent="0.2">
      <c r="D93" s="661"/>
      <c r="E93" s="660"/>
    </row>
    <row r="94" spans="4:5" ht="12.75" x14ac:dyDescent="0.2">
      <c r="D94" s="661"/>
      <c r="E94" s="677" t="s">
        <v>906</v>
      </c>
    </row>
    <row r="95" spans="4:5" ht="12.75" x14ac:dyDescent="0.2">
      <c r="D95" s="661"/>
      <c r="E95" s="663" t="str">
        <f>IF(TaxCert!C52&lt;TaxCert!E52,"Taxable valuation WITH utilities should be greater than valuation WITHOUT util.","")</f>
        <v/>
      </c>
    </row>
    <row r="96" spans="4:5" ht="12.75" x14ac:dyDescent="0.2">
      <c r="D96" s="661"/>
      <c r="E96" s="663" t="str">
        <f>IF(TaxCert!C53&lt;TaxCert!E53,"TIF valuation WITH utilities should be greater than valuation WITHOUT util.","")</f>
        <v/>
      </c>
    </row>
    <row r="97" spans="4:5" ht="12.75" x14ac:dyDescent="0.2">
      <c r="D97" s="661"/>
      <c r="E97" s="851" t="str">
        <f>IF(E17&gt;E25,"Double Check C&amp;I Valuations - 100% Valuation needs to be higher than Taxable valuation","")</f>
        <v/>
      </c>
    </row>
    <row r="98" spans="4:5" ht="12.75" x14ac:dyDescent="0.2">
      <c r="D98" s="661"/>
      <c r="E98" s="677" t="s">
        <v>907</v>
      </c>
    </row>
    <row r="99" spans="4:5" ht="12.75" x14ac:dyDescent="0.2">
      <c r="D99" s="661"/>
      <c r="E99" s="663" t="str">
        <f>IF((Proposed!A52="")*AND(Proposed!A53="")*AND(Proposed!A54=""),"Location of public hearing on Notice of Public Hearing Form is blank","")</f>
        <v>Location of public hearing on Notice of Public Hearing Form is blank</v>
      </c>
    </row>
    <row r="100" spans="4:5" ht="12.75" x14ac:dyDescent="0.2">
      <c r="D100" s="661"/>
      <c r="E100" s="663" t="str">
        <f>IF((Proposed!D53=""),"Date of public hearing on Notice of Public Hearing Form is blank","")</f>
        <v>Date of public hearing on Notice of Public Hearing Form is blank</v>
      </c>
    </row>
    <row r="101" spans="4:5" ht="12.75" x14ac:dyDescent="0.2">
      <c r="D101" s="661"/>
      <c r="E101" s="663" t="str">
        <f>IF((Proposed!F53=""),"Time of public hearing on Notice of Public Hearing Form is blank","")</f>
        <v>Time of public hearing on Notice of Public Hearing Form is blank</v>
      </c>
    </row>
    <row r="102" spans="4:5" ht="12.75" x14ac:dyDescent="0.2">
      <c r="D102" s="661"/>
      <c r="E102" s="660"/>
    </row>
    <row r="103" spans="4:5" ht="12.75" x14ac:dyDescent="0.2">
      <c r="D103" s="661"/>
      <c r="E103" s="677" t="s">
        <v>1523</v>
      </c>
    </row>
    <row r="104" spans="4:5" ht="12.75" x14ac:dyDescent="0.2">
      <c r="D104" s="661"/>
      <c r="E104" s="663" t="str">
        <f>IF((TaxCert!D43&gt;0)*AND(TaxCert!D43&lt;0.33),"Regular Physical Plant &amp; Equipment Levy is less than .33 rate allowable","")</f>
        <v/>
      </c>
    </row>
    <row r="105" spans="4:5" ht="12.75" x14ac:dyDescent="0.2">
      <c r="D105" s="661"/>
      <c r="E105" s="663" t="str">
        <f>IF((TaxCert!D48&gt;0)*AND(TaxCert!D48&lt;0.135),"Public Education/Recreation Levy is less than .135 rate allowable","")</f>
        <v/>
      </c>
    </row>
    <row r="106" spans="4:5" ht="12.75" x14ac:dyDescent="0.2">
      <c r="E106" s="663" t="e">
        <f>IF((B52+B53)&gt;B70,"Cash Reserve Levy (Aid and Levy Worksheet lines 15.9 and 15.10) exceeds maximum allowable","")</f>
        <v>#N/A</v>
      </c>
    </row>
    <row r="107" spans="4:5" ht="29.25" customHeight="1" x14ac:dyDescent="0.2">
      <c r="E107" s="853" t="e">
        <f>IF(H41&gt;0,"If you would like the Budget Adjustment be sure to email a copy of your board resolution to the Department of Management.","")</f>
        <v>#N/A</v>
      </c>
    </row>
  </sheetData>
  <sheetProtection password="C47C" sheet="1" objects="1" scenarios="1"/>
  <mergeCells count="28">
    <mergeCell ref="J1:K1"/>
    <mergeCell ref="A6:E6"/>
    <mergeCell ref="A7:D7"/>
    <mergeCell ref="A9:D9"/>
    <mergeCell ref="A13:E13"/>
    <mergeCell ref="A8:D8"/>
    <mergeCell ref="A3:D3"/>
    <mergeCell ref="A4:D4"/>
    <mergeCell ref="A5:D5"/>
    <mergeCell ref="A2:E2"/>
    <mergeCell ref="A1:E1"/>
    <mergeCell ref="A21:E21"/>
    <mergeCell ref="A11:E11"/>
    <mergeCell ref="C15:D15"/>
    <mergeCell ref="C16:D16"/>
    <mergeCell ref="C17:D17"/>
    <mergeCell ref="C14:D14"/>
    <mergeCell ref="A19:E19"/>
    <mergeCell ref="J60:J61"/>
    <mergeCell ref="C22:D22"/>
    <mergeCell ref="C23:D23"/>
    <mergeCell ref="C24:D24"/>
    <mergeCell ref="C25:D25"/>
    <mergeCell ref="A27:E27"/>
    <mergeCell ref="I22:K22"/>
    <mergeCell ref="I23:K23"/>
    <mergeCell ref="I24:K24"/>
    <mergeCell ref="I25:K25"/>
  </mergeCells>
  <conditionalFormatting sqref="B72:E72">
    <cfRule type="expression" dxfId="187" priority="3">
      <formula>$B$72="Lower Surtax"</formula>
    </cfRule>
  </conditionalFormatting>
  <conditionalFormatting sqref="B73:E73">
    <cfRule type="expression" dxfId="186" priority="2">
      <formula>$B$73="Lower Surtax"</formula>
    </cfRule>
  </conditionalFormatting>
  <conditionalFormatting sqref="B74:E74">
    <cfRule type="expression" dxfId="185" priority="1">
      <formula>$B$74="Lower Surtax"</formula>
    </cfRule>
  </conditionalFormatting>
  <dataValidations count="14">
    <dataValidation errorStyle="warning" allowBlank="1" showInputMessage="1" showErrorMessage="1" promptTitle="Audit Adjustment" prompt="Fill in Audited Change in Enrollment Section to populate." sqref="B40"/>
    <dataValidation type="custom" allowBlank="1" showInputMessage="1" showErrorMessage="1" error="The Maximum Amount is Exceeded.  Look in the &quot;Information to help fill out budget&quot; area below to find the maximum amount.  " prompt="Enter the district's At Risk Modified Allowable Growth amount approved by the SBRC." sqref="B41">
      <formula1>IF(B41&gt;B69,"max rate",B69)</formula1>
    </dataValidation>
    <dataValidation type="whole" allowBlank="1" showInputMessage="1" showErrorMessage="1" error="Only a WHOLE number can be entered in this area.  Select cancel and reenter an appropriate number." sqref="B44 B54 H49:H51 B15:C17 B23:C25 E3:E4 E7:E8">
      <formula1>-999999999999</formula1>
      <formula2>999999999999</formula2>
    </dataValidation>
    <dataValidation allowBlank="1" showInputMessage="1" showErrorMessage="1" error="Only a WHOLE number can be entered in this area.  Select cancel and reenter an appropriate number." sqref="B59:B60 B62:B65"/>
    <dataValidation type="whole" allowBlank="1" showInputMessage="1" showErrorMessage="1" error="Only a WHOLE number can be entered in this area.  Select cancel and reenter an appropriate number." prompt="Check DOM website for current Income Tax Collections. If not available, estimate using line 10.16 from last year's Aid and Levy Worksheet " sqref="B47:B48">
      <formula1>-999999999999</formula1>
      <formula2>999999999999</formula2>
    </dataValidation>
    <dataValidation type="custom" allowBlank="1" showInputMessage="1" showErrorMessage="1" error="You have exceeded your Maximum Cash Reserve Levy. Look in the &quot;Information to help fill out budget&quot; area below to find the maximum amount.  " prompt="Cash reserve levy for SBRC approved Modified Allowable Growth such as Open Enrollment Out and special education deficit." sqref="B52">
      <formula1>IF(G53&gt;B70,"Max",B70)</formula1>
    </dataValidation>
    <dataValidation type="custom" allowBlank="1" showInputMessage="1" showErrorMessage="1" error="You have exceeded your Maximum Cash Reserve Levy. Look in the &quot;Information to help fill out budget&quot; area below to find the maximum amount.  " prompt="Cash reserve levy for cash flow purposes._x000a_" sqref="B53">
      <formula1>IF(G53&gt;B70,"Max",B70)</formula1>
    </dataValidation>
    <dataValidation allowBlank="1" showInputMessage="1" showErrorMessage="1" prompt="Other Property &amp; Utility Replacement Taxes" sqref="E65"/>
    <dataValidation type="decimal" allowBlank="1" showInputMessage="1" showErrorMessage="1" error="Cannot Exceed .1000" sqref="B45">
      <formula1>0</formula1>
      <formula2>0.1</formula2>
    </dataValidation>
    <dataValidation type="custom" allowBlank="1" showInputMessage="1" showErrorMessage="1" error="The Maximum Amount is Exceeded.  Look in the &quot;Information to help fill out budget&quot; area below to find the maximum amount.  " sqref="B61">
      <formula1>IF(B61&gt;B71,"max rate",B71)</formula1>
    </dataValidation>
    <dataValidation allowBlank="1" showInputMessage="1" showErrorMessage="1" prompt="Prefilled with data the Department of Management had at the time.  Change if not correct or if audit has recently been completed." sqref="H22:H25"/>
    <dataValidation type="list" allowBlank="1" showInputMessage="1" showErrorMessage="1" sqref="K3">
      <formula1>DistrictName</formula1>
    </dataValidation>
    <dataValidation allowBlank="1" showInputMessage="1" showErrorMessage="1" promptTitle="Surtax Rate" prompt="The Surtax rate is to high if no property taxes are levied.  The &quot;Information to help fill out budget&quot; area will highlight if your rate is not generating any property taxes._x000a_" sqref="B50"/>
    <dataValidation allowBlank="1" showInputMessage="1" showErrorMessage="1" promptTitle="Surtax Rate" prompt="The Surtax rate is to high if no property taxes are levied.  The &quot;Information to help fill out budget&quot; area will highlight if your rate is not generating any property taxes." sqref="B46 B57"/>
  </dataValidations>
  <hyperlinks>
    <hyperlink ref="E65" location="Form703!A1" display="Debt Service (Complete Form 703)"/>
    <hyperlink ref="A19:B19" r:id="rId1" display="Taxable Valuations by Class of Property"/>
    <hyperlink ref="A27:B27" r:id="rId2" display="100% Valuations by Class of Property"/>
    <hyperlink ref="A27:E27" r:id="rId3" display="Click here to view 100% Valuations by Class by Levy Authority"/>
    <hyperlink ref="A11:B11" r:id="rId4" display="Taxable Valuations by Class of Property"/>
    <hyperlink ref="A11:E11" r:id="rId5" display="Click here to view Taxable Valuations By Individual Levy Authority"/>
    <hyperlink ref="A19:E19" r:id="rId6" display="Click here to view Taxable Valuations by Class by Levy Authority"/>
  </hyperlinks>
  <printOptions horizontalCentered="1"/>
  <pageMargins left="0.7" right="0.7" top="0.75" bottom="0.75" header="0.3" footer="0.3"/>
  <pageSetup scale="85" orientation="portrait" r:id="rId7"/>
  <rowBreaks count="1" manualBreakCount="1">
    <brk id="76" max="10" man="1"/>
  </rowBreaks>
  <colBreaks count="1" manualBreakCount="1">
    <brk id="5" max="106" man="1"/>
  </colBreaks>
  <ignoredErrors>
    <ignoredError sqref="J55:J57 J40:J51 J52:J54" numberStoredAsText="1"/>
  </ignoredError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99"/>
    <pageSetUpPr fitToPage="1"/>
  </sheetPr>
  <dimension ref="A1:O37"/>
  <sheetViews>
    <sheetView showGridLines="0" zoomScale="90" zoomScaleNormal="90" workbookViewId="0">
      <pane xSplit="1" topLeftCell="B1" activePane="topRight" state="frozen"/>
      <selection pane="topRight" activeCell="F9" sqref="F9"/>
    </sheetView>
  </sheetViews>
  <sheetFormatPr defaultColWidth="9" defaultRowHeight="12.75" x14ac:dyDescent="0.2"/>
  <cols>
    <col min="1" max="1" width="4.42578125" style="29" customWidth="1"/>
    <col min="2" max="2" width="39.28515625" style="29" customWidth="1"/>
    <col min="3" max="7" width="12.5703125" style="29" customWidth="1"/>
    <col min="8" max="8" width="13.42578125" style="29" customWidth="1"/>
    <col min="9" max="9" width="12.5703125" style="29" customWidth="1"/>
    <col min="10" max="10" width="13.28515625" style="29" customWidth="1"/>
    <col min="11" max="11" width="12.5703125" style="29" customWidth="1"/>
    <col min="12" max="13" width="9" style="50"/>
    <col min="14" max="15" width="9" style="857" hidden="1" customWidth="1"/>
    <col min="16" max="16384" width="9" style="50"/>
  </cols>
  <sheetData>
    <row r="1" spans="1:15" s="48" customFormat="1" x14ac:dyDescent="0.2">
      <c r="A1" s="42" t="s">
        <v>868</v>
      </c>
      <c r="B1" s="30"/>
      <c r="C1" s="30"/>
      <c r="D1" s="30"/>
      <c r="E1" s="30"/>
      <c r="F1" s="30"/>
      <c r="G1" s="30"/>
      <c r="H1" s="30"/>
      <c r="I1" s="51"/>
      <c r="J1" s="30"/>
      <c r="K1" s="43" t="s">
        <v>881</v>
      </c>
      <c r="N1" s="854"/>
      <c r="O1" s="854"/>
    </row>
    <row r="2" spans="1:15" s="48" customFormat="1" ht="14.25" x14ac:dyDescent="0.2">
      <c r="A2" s="44" t="s">
        <v>882</v>
      </c>
      <c r="B2" s="45"/>
      <c r="C2" s="45"/>
      <c r="D2" s="45"/>
      <c r="E2" s="45"/>
      <c r="F2" s="45"/>
      <c r="G2" s="45"/>
      <c r="H2" s="45"/>
      <c r="I2" s="45"/>
      <c r="J2" s="45"/>
      <c r="K2" s="45"/>
      <c r="N2" s="854"/>
      <c r="O2" s="854"/>
    </row>
    <row r="3" spans="1:15" s="48" customFormat="1" ht="14.25" x14ac:dyDescent="0.2">
      <c r="A3" s="44" t="s">
        <v>1005</v>
      </c>
      <c r="B3" s="45"/>
      <c r="C3" s="45"/>
      <c r="D3" s="45"/>
      <c r="E3" s="45"/>
      <c r="F3" s="45"/>
      <c r="G3" s="45"/>
      <c r="H3" s="45"/>
      <c r="I3" s="45"/>
      <c r="J3" s="45"/>
      <c r="K3" s="45"/>
      <c r="N3" s="854"/>
      <c r="O3" s="854"/>
    </row>
    <row r="4" spans="1:15" s="48" customFormat="1" ht="14.25" x14ac:dyDescent="0.2">
      <c r="A4" s="908"/>
      <c r="B4" s="908"/>
      <c r="C4" s="908"/>
      <c r="D4" s="908"/>
      <c r="E4" s="908"/>
      <c r="F4" s="908"/>
      <c r="G4" s="908"/>
      <c r="H4" s="908"/>
      <c r="I4" s="908"/>
      <c r="J4" s="908"/>
      <c r="K4" s="908"/>
      <c r="N4" s="854"/>
      <c r="O4" s="854"/>
    </row>
    <row r="5" spans="1:15" s="201" customFormat="1" ht="15.95" customHeight="1" x14ac:dyDescent="0.2">
      <c r="A5" s="907"/>
      <c r="B5" s="907"/>
      <c r="C5" s="907"/>
      <c r="D5" s="907"/>
      <c r="E5" s="907"/>
      <c r="F5" s="907"/>
      <c r="G5" s="907"/>
      <c r="H5" s="907"/>
      <c r="I5" s="907"/>
      <c r="J5" s="907"/>
      <c r="K5" s="907"/>
      <c r="N5" s="855"/>
      <c r="O5" s="855"/>
    </row>
    <row r="6" spans="1:15" s="48" customFormat="1" ht="12.95" customHeight="1" thickBot="1" x14ac:dyDescent="0.25">
      <c r="A6" s="909" t="s">
        <v>1761</v>
      </c>
      <c r="B6" s="909"/>
      <c r="C6" s="909"/>
      <c r="D6" s="909"/>
      <c r="E6" s="909"/>
      <c r="F6" s="909"/>
      <c r="G6" s="909"/>
      <c r="H6" s="909"/>
      <c r="I6" s="909"/>
      <c r="J6" s="909"/>
      <c r="K6" s="909"/>
      <c r="N6" s="854"/>
      <c r="O6" s="854"/>
    </row>
    <row r="7" spans="1:15" s="49" customFormat="1" ht="161.44999999999999" customHeight="1" thickBot="1" x14ac:dyDescent="0.3">
      <c r="A7" s="440"/>
      <c r="B7" s="441" t="s">
        <v>883</v>
      </c>
      <c r="C7" s="584" t="s">
        <v>1892</v>
      </c>
      <c r="D7" s="485" t="s">
        <v>1889</v>
      </c>
      <c r="E7" s="393" t="s">
        <v>1890</v>
      </c>
      <c r="F7" s="393" t="str">
        <f>CONCATENATE("Principal Due ",DoM!C6,
"                   (E)")</f>
        <v>Principal Due FY18                   (E)</v>
      </c>
      <c r="G7" s="393" t="str">
        <f>CONCATENATE("Interest Due ",DoM!C6,
"                               +(F)")</f>
        <v>Interest Due FY18                               +(F)</v>
      </c>
      <c r="H7" s="393" t="str">
        <f>CONCATENATE("Bond Registration Due                ",DoM!C6,
"                                      +(G)")</f>
        <v>Bond Registration Due                FY18                                      +(G)</v>
      </c>
      <c r="I7" s="393" t="str">
        <f>CONCATENATE("Total Obligation Due                ",DoM!C6,"                              =(H)")</f>
        <v>Total Obligation Due                FY18                              =(H)</v>
      </c>
      <c r="J7" s="393" t="s">
        <v>1891</v>
      </c>
      <c r="K7" s="393" t="s">
        <v>1763</v>
      </c>
      <c r="N7" s="856"/>
      <c r="O7" s="856"/>
    </row>
    <row r="8" spans="1:15" ht="13.35" customHeight="1" thickBot="1" x14ac:dyDescent="0.25">
      <c r="A8" s="442" t="s">
        <v>884</v>
      </c>
      <c r="B8" s="599" t="s">
        <v>885</v>
      </c>
      <c r="C8" s="71"/>
      <c r="D8" s="600" t="s">
        <v>1760</v>
      </c>
      <c r="E8" s="285"/>
      <c r="F8" s="72"/>
      <c r="G8" s="72"/>
      <c r="H8" s="73"/>
      <c r="I8" s="76">
        <f t="shared" ref="I8:I32" si="0">SUM(F8:H8)</f>
        <v>0</v>
      </c>
      <c r="J8" s="73"/>
      <c r="K8" s="77">
        <f>I8-J8</f>
        <v>0</v>
      </c>
    </row>
    <row r="9" spans="1:15" ht="13.35" customHeight="1" x14ac:dyDescent="0.2">
      <c r="A9" s="442" t="s">
        <v>886</v>
      </c>
      <c r="B9" s="583"/>
      <c r="C9" s="113"/>
      <c r="D9" s="486"/>
      <c r="E9" s="113"/>
      <c r="F9" s="113"/>
      <c r="G9" s="113"/>
      <c r="H9" s="113"/>
      <c r="I9" s="113"/>
      <c r="J9" s="289"/>
      <c r="K9" s="289"/>
      <c r="N9" s="858" t="s">
        <v>1888</v>
      </c>
    </row>
    <row r="10" spans="1:15" ht="13.35" customHeight="1" x14ac:dyDescent="0.2">
      <c r="A10" s="442" t="s">
        <v>887</v>
      </c>
      <c r="B10" s="46"/>
      <c r="C10" s="71"/>
      <c r="D10" s="586"/>
      <c r="E10" s="285"/>
      <c r="F10" s="73"/>
      <c r="G10" s="73"/>
      <c r="H10" s="73"/>
      <c r="I10" s="77">
        <f>SUM(F10:H10)</f>
        <v>0</v>
      </c>
      <c r="J10" s="75"/>
      <c r="K10" s="77">
        <f>IF(D10="GO",I10-J10,0)</f>
        <v>0</v>
      </c>
      <c r="N10" s="857" t="s">
        <v>1760</v>
      </c>
      <c r="O10" s="857">
        <f>IF(D10="Non-GO",1,0)</f>
        <v>0</v>
      </c>
    </row>
    <row r="11" spans="1:15" ht="13.35" customHeight="1" x14ac:dyDescent="0.2">
      <c r="A11" s="442" t="s">
        <v>888</v>
      </c>
      <c r="B11" s="46"/>
      <c r="C11" s="71"/>
      <c r="D11" s="586"/>
      <c r="E11" s="285"/>
      <c r="F11" s="73"/>
      <c r="G11" s="73"/>
      <c r="H11" s="73"/>
      <c r="I11" s="77">
        <f t="shared" si="0"/>
        <v>0</v>
      </c>
      <c r="J11" s="75"/>
      <c r="K11" s="77">
        <f t="shared" ref="K11:K32" si="1">IF(D11="GO",I11-J11,0)</f>
        <v>0</v>
      </c>
      <c r="O11" s="857">
        <f t="shared" ref="O11:O32" si="2">IF(D11="Non-GO",1,0)</f>
        <v>0</v>
      </c>
    </row>
    <row r="12" spans="1:15" ht="13.35" customHeight="1" x14ac:dyDescent="0.2">
      <c r="A12" s="442" t="s">
        <v>889</v>
      </c>
      <c r="B12" s="46"/>
      <c r="C12" s="71"/>
      <c r="D12" s="586"/>
      <c r="E12" s="285"/>
      <c r="F12" s="73"/>
      <c r="G12" s="73"/>
      <c r="H12" s="73"/>
      <c r="I12" s="77">
        <f t="shared" si="0"/>
        <v>0</v>
      </c>
      <c r="J12" s="75"/>
      <c r="K12" s="77">
        <f t="shared" si="1"/>
        <v>0</v>
      </c>
      <c r="O12" s="857">
        <f t="shared" si="2"/>
        <v>0</v>
      </c>
    </row>
    <row r="13" spans="1:15" ht="13.35" customHeight="1" x14ac:dyDescent="0.2">
      <c r="A13" s="442" t="s">
        <v>890</v>
      </c>
      <c r="B13" s="46"/>
      <c r="C13" s="71"/>
      <c r="D13" s="586"/>
      <c r="E13" s="285"/>
      <c r="F13" s="73"/>
      <c r="G13" s="73"/>
      <c r="H13" s="73"/>
      <c r="I13" s="77">
        <f t="shared" si="0"/>
        <v>0</v>
      </c>
      <c r="J13" s="75"/>
      <c r="K13" s="77">
        <f t="shared" si="1"/>
        <v>0</v>
      </c>
      <c r="O13" s="857">
        <f t="shared" si="2"/>
        <v>0</v>
      </c>
    </row>
    <row r="14" spans="1:15" ht="13.35" customHeight="1" x14ac:dyDescent="0.2">
      <c r="A14" s="442" t="s">
        <v>891</v>
      </c>
      <c r="B14" s="46"/>
      <c r="C14" s="71"/>
      <c r="D14" s="586"/>
      <c r="E14" s="285"/>
      <c r="F14" s="73"/>
      <c r="G14" s="73"/>
      <c r="H14" s="73"/>
      <c r="I14" s="77">
        <f t="shared" si="0"/>
        <v>0</v>
      </c>
      <c r="J14" s="75"/>
      <c r="K14" s="77">
        <f t="shared" si="1"/>
        <v>0</v>
      </c>
      <c r="O14" s="857">
        <f t="shared" si="2"/>
        <v>0</v>
      </c>
    </row>
    <row r="15" spans="1:15" ht="13.35" customHeight="1" x14ac:dyDescent="0.2">
      <c r="A15" s="442" t="s">
        <v>892</v>
      </c>
      <c r="B15" s="46"/>
      <c r="C15" s="71"/>
      <c r="D15" s="586"/>
      <c r="E15" s="285"/>
      <c r="F15" s="73"/>
      <c r="G15" s="73"/>
      <c r="H15" s="73"/>
      <c r="I15" s="77">
        <f t="shared" si="0"/>
        <v>0</v>
      </c>
      <c r="J15" s="75"/>
      <c r="K15" s="77">
        <f t="shared" si="1"/>
        <v>0</v>
      </c>
      <c r="O15" s="857">
        <f t="shared" si="2"/>
        <v>0</v>
      </c>
    </row>
    <row r="16" spans="1:15" ht="13.35" customHeight="1" x14ac:dyDescent="0.2">
      <c r="A16" s="442" t="s">
        <v>893</v>
      </c>
      <c r="B16" s="46"/>
      <c r="C16" s="71"/>
      <c r="D16" s="586"/>
      <c r="E16" s="285"/>
      <c r="F16" s="73"/>
      <c r="G16" s="73"/>
      <c r="H16" s="73"/>
      <c r="I16" s="77">
        <f t="shared" si="0"/>
        <v>0</v>
      </c>
      <c r="J16" s="75"/>
      <c r="K16" s="77">
        <f t="shared" si="1"/>
        <v>0</v>
      </c>
      <c r="O16" s="857">
        <f t="shared" si="2"/>
        <v>0</v>
      </c>
    </row>
    <row r="17" spans="1:15" ht="13.35" customHeight="1" x14ac:dyDescent="0.2">
      <c r="A17" s="442" t="s">
        <v>894</v>
      </c>
      <c r="B17" s="46"/>
      <c r="C17" s="71"/>
      <c r="D17" s="586"/>
      <c r="E17" s="285"/>
      <c r="F17" s="73"/>
      <c r="G17" s="73"/>
      <c r="H17" s="73"/>
      <c r="I17" s="77">
        <f t="shared" si="0"/>
        <v>0</v>
      </c>
      <c r="J17" s="75"/>
      <c r="K17" s="77">
        <f t="shared" si="1"/>
        <v>0</v>
      </c>
      <c r="O17" s="857">
        <f t="shared" si="2"/>
        <v>0</v>
      </c>
    </row>
    <row r="18" spans="1:15" ht="13.35" customHeight="1" x14ac:dyDescent="0.2">
      <c r="A18" s="442" t="s">
        <v>895</v>
      </c>
      <c r="B18" s="46"/>
      <c r="C18" s="71"/>
      <c r="D18" s="586"/>
      <c r="E18" s="285"/>
      <c r="F18" s="73"/>
      <c r="G18" s="73"/>
      <c r="H18" s="73"/>
      <c r="I18" s="77">
        <f t="shared" si="0"/>
        <v>0</v>
      </c>
      <c r="J18" s="75"/>
      <c r="K18" s="77">
        <f t="shared" si="1"/>
        <v>0</v>
      </c>
      <c r="O18" s="857">
        <f t="shared" si="2"/>
        <v>0</v>
      </c>
    </row>
    <row r="19" spans="1:15" ht="13.35" customHeight="1" x14ac:dyDescent="0.2">
      <c r="A19" s="442" t="s">
        <v>896</v>
      </c>
      <c r="B19" s="46"/>
      <c r="C19" s="71"/>
      <c r="D19" s="586"/>
      <c r="E19" s="285"/>
      <c r="F19" s="73"/>
      <c r="G19" s="73"/>
      <c r="H19" s="73"/>
      <c r="I19" s="77">
        <f t="shared" si="0"/>
        <v>0</v>
      </c>
      <c r="J19" s="75"/>
      <c r="K19" s="77">
        <f t="shared" si="1"/>
        <v>0</v>
      </c>
      <c r="O19" s="857">
        <f t="shared" si="2"/>
        <v>0</v>
      </c>
    </row>
    <row r="20" spans="1:15" ht="13.35" customHeight="1" x14ac:dyDescent="0.2">
      <c r="A20" s="442" t="s">
        <v>897</v>
      </c>
      <c r="B20" s="46"/>
      <c r="C20" s="71"/>
      <c r="D20" s="586"/>
      <c r="E20" s="285"/>
      <c r="F20" s="73"/>
      <c r="G20" s="73"/>
      <c r="H20" s="73"/>
      <c r="I20" s="77">
        <f t="shared" si="0"/>
        <v>0</v>
      </c>
      <c r="J20" s="75"/>
      <c r="K20" s="77">
        <f t="shared" si="1"/>
        <v>0</v>
      </c>
      <c r="O20" s="857">
        <f t="shared" si="2"/>
        <v>0</v>
      </c>
    </row>
    <row r="21" spans="1:15" ht="13.35" customHeight="1" x14ac:dyDescent="0.2">
      <c r="A21" s="442" t="s">
        <v>898</v>
      </c>
      <c r="B21" s="46"/>
      <c r="C21" s="71"/>
      <c r="D21" s="586"/>
      <c r="E21" s="285"/>
      <c r="F21" s="73"/>
      <c r="G21" s="73"/>
      <c r="H21" s="73"/>
      <c r="I21" s="77">
        <f t="shared" si="0"/>
        <v>0</v>
      </c>
      <c r="J21" s="75"/>
      <c r="K21" s="77">
        <f t="shared" si="1"/>
        <v>0</v>
      </c>
      <c r="O21" s="857">
        <f t="shared" si="2"/>
        <v>0</v>
      </c>
    </row>
    <row r="22" spans="1:15" ht="13.35" customHeight="1" x14ac:dyDescent="0.2">
      <c r="A22" s="442" t="s">
        <v>899</v>
      </c>
      <c r="B22" s="46"/>
      <c r="C22" s="71"/>
      <c r="D22" s="586"/>
      <c r="E22" s="285"/>
      <c r="F22" s="73"/>
      <c r="G22" s="73"/>
      <c r="H22" s="73"/>
      <c r="I22" s="77">
        <f t="shared" si="0"/>
        <v>0</v>
      </c>
      <c r="J22" s="75"/>
      <c r="K22" s="77">
        <f t="shared" si="1"/>
        <v>0</v>
      </c>
      <c r="O22" s="857">
        <f t="shared" si="2"/>
        <v>0</v>
      </c>
    </row>
    <row r="23" spans="1:15" ht="13.35" customHeight="1" x14ac:dyDescent="0.2">
      <c r="A23" s="442" t="s">
        <v>900</v>
      </c>
      <c r="B23" s="46"/>
      <c r="C23" s="71"/>
      <c r="D23" s="586"/>
      <c r="E23" s="285"/>
      <c r="F23" s="73"/>
      <c r="G23" s="73"/>
      <c r="H23" s="73"/>
      <c r="I23" s="77">
        <f t="shared" si="0"/>
        <v>0</v>
      </c>
      <c r="J23" s="75"/>
      <c r="K23" s="77">
        <f t="shared" si="1"/>
        <v>0</v>
      </c>
      <c r="O23" s="857">
        <f t="shared" si="2"/>
        <v>0</v>
      </c>
    </row>
    <row r="24" spans="1:15" ht="13.35" customHeight="1" x14ac:dyDescent="0.2">
      <c r="A24" s="442" t="s">
        <v>901</v>
      </c>
      <c r="B24" s="46"/>
      <c r="C24" s="71"/>
      <c r="D24" s="586"/>
      <c r="E24" s="285"/>
      <c r="F24" s="73"/>
      <c r="G24" s="73"/>
      <c r="H24" s="73"/>
      <c r="I24" s="77">
        <f t="shared" si="0"/>
        <v>0</v>
      </c>
      <c r="J24" s="75"/>
      <c r="K24" s="77">
        <f t="shared" si="1"/>
        <v>0</v>
      </c>
      <c r="O24" s="857">
        <f t="shared" si="2"/>
        <v>0</v>
      </c>
    </row>
    <row r="25" spans="1:15" ht="13.35" customHeight="1" x14ac:dyDescent="0.2">
      <c r="A25" s="442" t="s">
        <v>902</v>
      </c>
      <c r="B25" s="46"/>
      <c r="C25" s="71"/>
      <c r="D25" s="586"/>
      <c r="E25" s="285"/>
      <c r="F25" s="73"/>
      <c r="G25" s="73"/>
      <c r="H25" s="73"/>
      <c r="I25" s="77">
        <f t="shared" si="0"/>
        <v>0</v>
      </c>
      <c r="J25" s="75"/>
      <c r="K25" s="77">
        <f t="shared" si="1"/>
        <v>0</v>
      </c>
      <c r="O25" s="857">
        <f t="shared" si="2"/>
        <v>0</v>
      </c>
    </row>
    <row r="26" spans="1:15" ht="13.35" customHeight="1" x14ac:dyDescent="0.2">
      <c r="A26" s="442" t="s">
        <v>1496</v>
      </c>
      <c r="B26" s="46"/>
      <c r="C26" s="71"/>
      <c r="D26" s="586"/>
      <c r="E26" s="285"/>
      <c r="F26" s="73"/>
      <c r="G26" s="73"/>
      <c r="H26" s="73"/>
      <c r="I26" s="77">
        <f t="shared" si="0"/>
        <v>0</v>
      </c>
      <c r="J26" s="75"/>
      <c r="K26" s="77">
        <f t="shared" si="1"/>
        <v>0</v>
      </c>
      <c r="O26" s="857">
        <f t="shared" si="2"/>
        <v>0</v>
      </c>
    </row>
    <row r="27" spans="1:15" ht="13.35" customHeight="1" x14ac:dyDescent="0.2">
      <c r="A27" s="442" t="s">
        <v>1497</v>
      </c>
      <c r="B27" s="46"/>
      <c r="C27" s="71"/>
      <c r="D27" s="586"/>
      <c r="E27" s="285"/>
      <c r="F27" s="73"/>
      <c r="G27" s="73"/>
      <c r="H27" s="73"/>
      <c r="I27" s="77">
        <f t="shared" si="0"/>
        <v>0</v>
      </c>
      <c r="J27" s="75"/>
      <c r="K27" s="77">
        <f t="shared" si="1"/>
        <v>0</v>
      </c>
      <c r="O27" s="857">
        <f t="shared" si="2"/>
        <v>0</v>
      </c>
    </row>
    <row r="28" spans="1:15" ht="13.35" customHeight="1" x14ac:dyDescent="0.2">
      <c r="A28" s="442" t="s">
        <v>1498</v>
      </c>
      <c r="B28" s="46"/>
      <c r="C28" s="71"/>
      <c r="D28" s="586"/>
      <c r="E28" s="285"/>
      <c r="F28" s="73"/>
      <c r="G28" s="73"/>
      <c r="H28" s="73"/>
      <c r="I28" s="77">
        <f t="shared" si="0"/>
        <v>0</v>
      </c>
      <c r="J28" s="75"/>
      <c r="K28" s="77">
        <f t="shared" si="1"/>
        <v>0</v>
      </c>
      <c r="O28" s="857">
        <f t="shared" si="2"/>
        <v>0</v>
      </c>
    </row>
    <row r="29" spans="1:15" ht="13.35" customHeight="1" x14ac:dyDescent="0.2">
      <c r="A29" s="442" t="s">
        <v>1499</v>
      </c>
      <c r="B29" s="46"/>
      <c r="C29" s="71"/>
      <c r="D29" s="586"/>
      <c r="E29" s="285"/>
      <c r="F29" s="73"/>
      <c r="G29" s="73"/>
      <c r="H29" s="73"/>
      <c r="I29" s="77">
        <f t="shared" si="0"/>
        <v>0</v>
      </c>
      <c r="J29" s="75"/>
      <c r="K29" s="77">
        <f t="shared" si="1"/>
        <v>0</v>
      </c>
      <c r="O29" s="857">
        <f t="shared" si="2"/>
        <v>0</v>
      </c>
    </row>
    <row r="30" spans="1:15" ht="13.35" customHeight="1" x14ac:dyDescent="0.2">
      <c r="A30" s="442" t="s">
        <v>1500</v>
      </c>
      <c r="B30" s="46"/>
      <c r="C30" s="71"/>
      <c r="D30" s="586"/>
      <c r="E30" s="285"/>
      <c r="F30" s="73"/>
      <c r="G30" s="73"/>
      <c r="H30" s="73"/>
      <c r="I30" s="77">
        <f t="shared" si="0"/>
        <v>0</v>
      </c>
      <c r="J30" s="75"/>
      <c r="K30" s="77">
        <f t="shared" si="1"/>
        <v>0</v>
      </c>
      <c r="O30" s="857">
        <f t="shared" si="2"/>
        <v>0</v>
      </c>
    </row>
    <row r="31" spans="1:15" ht="13.35" customHeight="1" x14ac:dyDescent="0.2">
      <c r="A31" s="442" t="s">
        <v>1501</v>
      </c>
      <c r="B31" s="46"/>
      <c r="C31" s="71"/>
      <c r="D31" s="586"/>
      <c r="E31" s="285"/>
      <c r="F31" s="73"/>
      <c r="G31" s="73"/>
      <c r="H31" s="73"/>
      <c r="I31" s="77">
        <f t="shared" si="0"/>
        <v>0</v>
      </c>
      <c r="J31" s="75"/>
      <c r="K31" s="77">
        <f t="shared" si="1"/>
        <v>0</v>
      </c>
      <c r="O31" s="857">
        <f t="shared" si="2"/>
        <v>0</v>
      </c>
    </row>
    <row r="32" spans="1:15" ht="13.35" customHeight="1" x14ac:dyDescent="0.2">
      <c r="A32" s="442" t="s">
        <v>1502</v>
      </c>
      <c r="B32" s="46"/>
      <c r="C32" s="71"/>
      <c r="D32" s="586"/>
      <c r="E32" s="285"/>
      <c r="F32" s="73"/>
      <c r="G32" s="73"/>
      <c r="H32" s="73"/>
      <c r="I32" s="77">
        <f t="shared" si="0"/>
        <v>0</v>
      </c>
      <c r="J32" s="75"/>
      <c r="K32" s="77">
        <f t="shared" si="1"/>
        <v>0</v>
      </c>
      <c r="O32" s="857">
        <f t="shared" si="2"/>
        <v>0</v>
      </c>
    </row>
    <row r="33" spans="1:15" ht="13.35" customHeight="1" x14ac:dyDescent="0.2">
      <c r="A33" s="290" t="s">
        <v>1503</v>
      </c>
      <c r="B33" s="55" t="s">
        <v>1504</v>
      </c>
      <c r="C33" s="79"/>
      <c r="D33" s="484"/>
      <c r="E33" s="80"/>
      <c r="F33" s="74">
        <f t="shared" ref="F33:J33" si="3">SUM(F10:F32)</f>
        <v>0</v>
      </c>
      <c r="G33" s="74">
        <f t="shared" si="3"/>
        <v>0</v>
      </c>
      <c r="H33" s="74">
        <f t="shared" si="3"/>
        <v>0</v>
      </c>
      <c r="I33" s="74">
        <f t="shared" si="3"/>
        <v>0</v>
      </c>
      <c r="J33" s="74">
        <f t="shared" si="3"/>
        <v>0</v>
      </c>
      <c r="K33" s="74">
        <f>SUM(K10:K32)</f>
        <v>0</v>
      </c>
      <c r="O33" s="857">
        <f>SUM(O10:O32)</f>
        <v>0</v>
      </c>
    </row>
    <row r="34" spans="1:15" x14ac:dyDescent="0.2">
      <c r="D34" s="910" t="str">
        <f>IF(O33&gt;0,"Warning: You have included a Non-GO Bond, if this is correct the Debt Service Tax will not be used to repay the bond.                                             If this is a GO Bond select GO from the dropdown to levy the Debt Service Tax for the bond.","")</f>
        <v/>
      </c>
      <c r="E34" s="910"/>
      <c r="F34" s="910"/>
      <c r="G34" s="910"/>
      <c r="H34" s="910"/>
      <c r="I34" s="910"/>
      <c r="J34" s="910"/>
      <c r="K34" s="910"/>
    </row>
    <row r="35" spans="1:15" x14ac:dyDescent="0.2">
      <c r="D35" s="911"/>
      <c r="E35" s="911"/>
      <c r="F35" s="911"/>
      <c r="G35" s="911"/>
      <c r="H35" s="911"/>
      <c r="I35" s="911"/>
      <c r="J35" s="911"/>
      <c r="K35" s="911"/>
    </row>
    <row r="36" spans="1:15" x14ac:dyDescent="0.2">
      <c r="D36" s="912" t="str">
        <f>IF(K33&gt;0,"The highlighed green rows indicate you have selected a GO bond.  If this is a sales tax bond choose Non-GO.                                                If it is a voted GO bond taxes will be levied","")</f>
        <v/>
      </c>
      <c r="E36" s="912"/>
      <c r="F36" s="912"/>
      <c r="G36" s="912"/>
      <c r="H36" s="912"/>
      <c r="I36" s="912"/>
      <c r="J36" s="912"/>
      <c r="K36" s="912"/>
    </row>
    <row r="37" spans="1:15" x14ac:dyDescent="0.2">
      <c r="D37" s="912"/>
      <c r="E37" s="912"/>
      <c r="F37" s="912"/>
      <c r="G37" s="912"/>
      <c r="H37" s="912"/>
      <c r="I37" s="912"/>
      <c r="J37" s="912"/>
      <c r="K37" s="912"/>
    </row>
  </sheetData>
  <sheetProtection password="C47C" sheet="1" objects="1" scenarios="1"/>
  <customSheetViews>
    <customSheetView guid="{53CC1FF8-69F4-40AB-9E52-A9F35D642996}" scale="90" showGridLines="0" fitToPage="1" state="hidden">
      <pane xSplit="1" topLeftCell="B1" activePane="topRight" state="frozen"/>
      <selection pane="topRight"/>
      <pageMargins left="0.5" right="0.5" top="0.5" bottom="0.5" header="0.5" footer="0.5"/>
      <printOptions horizontalCentered="1" verticalCentered="1"/>
      <pageSetup scale="94" orientation="landscape" horizontalDpi="1200" verticalDpi="1200" r:id="rId1"/>
      <headerFooter alignWithMargins="0"/>
    </customSheetView>
  </customSheetViews>
  <mergeCells count="5">
    <mergeCell ref="A5:K5"/>
    <mergeCell ref="A4:K4"/>
    <mergeCell ref="A6:K6"/>
    <mergeCell ref="D34:K35"/>
    <mergeCell ref="D36:K37"/>
  </mergeCells>
  <phoneticPr fontId="0" type="noConversion"/>
  <conditionalFormatting sqref="B10:K32">
    <cfRule type="expression" dxfId="184" priority="2">
      <formula>$D10="GO"</formula>
    </cfRule>
    <cfRule type="expression" dxfId="183" priority="4">
      <formula>$D10="Non-GO"</formula>
    </cfRule>
  </conditionalFormatting>
  <conditionalFormatting sqref="D34:K35">
    <cfRule type="expression" dxfId="182" priority="3">
      <formula>$O$33&gt;0</formula>
    </cfRule>
  </conditionalFormatting>
  <conditionalFormatting sqref="D36:K37">
    <cfRule type="expression" dxfId="181" priority="1">
      <formula>$K$33&gt;0</formula>
    </cfRule>
  </conditionalFormatting>
  <dataValidations count="3">
    <dataValidation type="whole" allowBlank="1" showInputMessage="1" showErrorMessage="1" error="Only a WHOLE number can be entered in this area.  Select cancel and reenter an appropriate number." sqref="J33 D33 K8 C8:C33 E8:I33 D9 K10:K33">
      <formula1>-999999999999</formula1>
      <formula2>999999999999</formula2>
    </dataValidation>
    <dataValidation type="whole" allowBlank="1" showInputMessage="1" showErrorMessage="1" error="Only a WHOLE number can be entered in this area.  Select cancel and reenter an appropriate number." sqref="J8:J32 K9">
      <formula1>0</formula1>
      <formula2>999999999999</formula2>
    </dataValidation>
    <dataValidation type="list" allowBlank="1" showInputMessage="1" showErrorMessage="1" sqref="D10:D32">
      <formula1>$N$9:$N$10</formula1>
    </dataValidation>
  </dataValidations>
  <printOptions horizontalCentered="1" verticalCentered="1"/>
  <pageMargins left="0.5" right="0.5" top="0.5" bottom="0.5" header="0.5" footer="0.5"/>
  <pageSetup scale="94" orientation="landscape" horizontalDpi="1200" verticalDpi="1200"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00FF"/>
  </sheetPr>
  <dimension ref="A1:I85"/>
  <sheetViews>
    <sheetView showGridLines="0" zoomScaleNormal="100" workbookViewId="0"/>
  </sheetViews>
  <sheetFormatPr defaultColWidth="9" defaultRowHeight="12" x14ac:dyDescent="0.2"/>
  <cols>
    <col min="1" max="1" width="24" style="118" customWidth="1"/>
    <col min="2" max="2" width="2.42578125" style="118" customWidth="1"/>
    <col min="3" max="5" width="10.140625" style="118" customWidth="1"/>
    <col min="6" max="6" width="5.85546875" style="120" customWidth="1"/>
    <col min="7" max="9" width="9" style="141" customWidth="1"/>
    <col min="10" max="16384" width="9" style="118"/>
  </cols>
  <sheetData>
    <row r="1" spans="1:7" ht="9.1999999999999993" customHeight="1" x14ac:dyDescent="0.2">
      <c r="A1" s="183" t="s">
        <v>908</v>
      </c>
      <c r="B1" s="124"/>
      <c r="C1" s="124"/>
      <c r="D1" s="124"/>
      <c r="E1" s="124"/>
      <c r="F1" s="121"/>
    </row>
    <row r="2" spans="1:7" ht="9.1999999999999993" customHeight="1" x14ac:dyDescent="0.2">
      <c r="A2" s="915" t="s">
        <v>783</v>
      </c>
      <c r="B2" s="916"/>
      <c r="C2" s="916"/>
      <c r="D2" s="916"/>
      <c r="E2" s="916"/>
      <c r="F2" s="917"/>
    </row>
    <row r="3" spans="1:7" ht="9.1999999999999993" customHeight="1" x14ac:dyDescent="0.2">
      <c r="A3" s="915" t="str">
        <f>Proposed!A2</f>
        <v>PROPOSED  SCHOOL BUDGET SUMMARY</v>
      </c>
      <c r="B3" s="916"/>
      <c r="C3" s="916"/>
      <c r="D3" s="916"/>
      <c r="E3" s="916"/>
      <c r="F3" s="917"/>
    </row>
    <row r="4" spans="1:7" ht="9.1999999999999993" customHeight="1" x14ac:dyDescent="0.2">
      <c r="A4" s="915" t="str">
        <f>Proposed!A3</f>
        <v>FISCAL YEAR 2017-2018</v>
      </c>
      <c r="B4" s="916"/>
      <c r="C4" s="916"/>
      <c r="D4" s="916"/>
      <c r="E4" s="916"/>
      <c r="F4" s="917"/>
    </row>
    <row r="5" spans="1:7" ht="9.1999999999999993" customHeight="1" x14ac:dyDescent="0.2">
      <c r="A5" s="127"/>
      <c r="B5" s="125"/>
      <c r="C5" s="125"/>
      <c r="D5" s="125"/>
      <c r="E5" s="125"/>
      <c r="F5" s="126"/>
    </row>
    <row r="6" spans="1:7" ht="9.1999999999999993" customHeight="1" x14ac:dyDescent="0.2">
      <c r="A6" s="128" t="s">
        <v>822</v>
      </c>
      <c r="B6" s="184"/>
      <c r="C6" s="184"/>
      <c r="D6" s="184" t="s">
        <v>823</v>
      </c>
      <c r="E6" s="184" t="s">
        <v>824</v>
      </c>
      <c r="F6" s="185"/>
      <c r="G6" s="145"/>
    </row>
    <row r="7" spans="1:7" ht="9.1999999999999993" customHeight="1" x14ac:dyDescent="0.2">
      <c r="A7" s="913" t="str">
        <f>IF(Proposed!A52&lt;&gt;"",Proposed!A52,"")</f>
        <v/>
      </c>
      <c r="B7" s="914"/>
      <c r="C7" s="914"/>
      <c r="D7" s="399"/>
      <c r="E7" s="400"/>
      <c r="F7" s="185"/>
      <c r="G7" s="145"/>
    </row>
    <row r="8" spans="1:7" ht="9.1999999999999993" customHeight="1" x14ac:dyDescent="0.2">
      <c r="A8" s="913" t="str">
        <f>IF(Proposed!A53&lt;&gt;"",Proposed!A53,"")</f>
        <v/>
      </c>
      <c r="B8" s="914"/>
      <c r="C8" s="914"/>
      <c r="D8" s="401" t="str">
        <f>IF(Proposed!D53&lt;&gt;"",Proposed!D53,"")</f>
        <v/>
      </c>
      <c r="E8" s="404" t="str">
        <f>IF(Proposed!F53&lt;&gt;"",Proposed!F53,"")</f>
        <v/>
      </c>
      <c r="F8" s="415" t="s">
        <v>1471</v>
      </c>
      <c r="G8" s="145"/>
    </row>
    <row r="9" spans="1:7" ht="9.1999999999999993" customHeight="1" x14ac:dyDescent="0.2">
      <c r="A9" s="913" t="str">
        <f>IF(Proposed!A54&lt;&gt;"",Proposed!A54,"")</f>
        <v/>
      </c>
      <c r="B9" s="914"/>
      <c r="C9" s="914"/>
      <c r="D9" s="399"/>
      <c r="E9" s="402"/>
      <c r="F9" s="122"/>
      <c r="G9" s="145"/>
    </row>
    <row r="10" spans="1:7" ht="9.1999999999999993" customHeight="1" x14ac:dyDescent="0.2">
      <c r="A10" s="128" t="str">
        <f>CONCATENATE("The Board of Directors will conduct a public hearing on the proposed ",DoM!$B$5,"/",RIGHT(DoM!$B$6,2)," school budget at")</f>
        <v>The Board of Directors will conduct a public hearing on the proposed 2017/18 school budget at</v>
      </c>
      <c r="B10" s="117"/>
      <c r="C10" s="117"/>
      <c r="D10" s="117"/>
      <c r="E10" s="117"/>
      <c r="F10" s="122"/>
      <c r="G10" s="145"/>
    </row>
    <row r="11" spans="1:7" ht="9.1999999999999993" customHeight="1" x14ac:dyDescent="0.2">
      <c r="A11" s="128" t="s">
        <v>1351</v>
      </c>
      <c r="B11" s="117"/>
      <c r="C11" s="117"/>
      <c r="D11" s="117"/>
      <c r="E11" s="117"/>
      <c r="F11" s="122"/>
      <c r="G11" s="145"/>
    </row>
    <row r="12" spans="1:7" ht="9.1999999999999993" customHeight="1" x14ac:dyDescent="0.2">
      <c r="A12" s="128" t="s">
        <v>1352</v>
      </c>
      <c r="B12" s="117"/>
      <c r="C12" s="117"/>
      <c r="D12" s="117"/>
      <c r="E12" s="117"/>
      <c r="F12" s="122"/>
      <c r="G12" s="145"/>
    </row>
    <row r="13" spans="1:7" ht="9.1999999999999993" customHeight="1" x14ac:dyDescent="0.2">
      <c r="A13" s="128" t="s">
        <v>1353</v>
      </c>
      <c r="B13" s="117"/>
      <c r="C13" s="117"/>
      <c r="D13" s="117"/>
      <c r="E13" s="117"/>
      <c r="F13" s="122"/>
      <c r="G13" s="145"/>
    </row>
    <row r="14" spans="1:7" ht="9.1999999999999993" customHeight="1" x14ac:dyDescent="0.2">
      <c r="A14" s="128" t="s">
        <v>1354</v>
      </c>
      <c r="B14" s="117"/>
      <c r="C14" s="117"/>
      <c r="D14" s="117"/>
      <c r="E14" s="117"/>
      <c r="F14" s="122"/>
      <c r="G14" s="145"/>
    </row>
    <row r="15" spans="1:7" ht="19.149999999999999" customHeight="1" x14ac:dyDescent="0.2">
      <c r="A15" s="128"/>
      <c r="B15" s="117"/>
      <c r="C15" s="187" t="str">
        <f>Proposed!D6</f>
        <v>Budget 2018</v>
      </c>
      <c r="D15" s="180" t="str">
        <f>Proposed!E6</f>
        <v>Re-est. 2017</v>
      </c>
      <c r="E15" s="187" t="str">
        <f>Proposed!F6</f>
        <v>Actual 2016</v>
      </c>
      <c r="F15" s="602" t="str">
        <f>Proposed!G6</f>
        <v>Avg %16-18</v>
      </c>
    </row>
    <row r="16" spans="1:7" ht="9.1999999999999993" customHeight="1" x14ac:dyDescent="0.2">
      <c r="A16" s="129" t="s">
        <v>785</v>
      </c>
      <c r="B16" s="130">
        <v>1</v>
      </c>
      <c r="C16" s="188" t="e">
        <f>Proposed!D7</f>
        <v>#N/A</v>
      </c>
      <c r="D16" s="188">
        <f>Proposed!E7</f>
        <v>0</v>
      </c>
      <c r="E16" s="188" t="e">
        <f>Proposed!F7</f>
        <v>#N/A</v>
      </c>
      <c r="F16" s="189" t="e">
        <f>Proposed!G7</f>
        <v>#N/A</v>
      </c>
    </row>
    <row r="17" spans="1:6" ht="9.1999999999999993" customHeight="1" x14ac:dyDescent="0.2">
      <c r="A17" s="129" t="s">
        <v>786</v>
      </c>
      <c r="B17" s="130">
        <v>2</v>
      </c>
      <c r="C17" s="188" t="e">
        <f>Proposed!D8</f>
        <v>#N/A</v>
      </c>
      <c r="D17" s="188">
        <f>Proposed!E8</f>
        <v>0</v>
      </c>
      <c r="E17" s="188" t="e">
        <f>Proposed!F8</f>
        <v>#N/A</v>
      </c>
      <c r="F17" s="189" t="e">
        <f>Proposed!G8</f>
        <v>#N/A</v>
      </c>
    </row>
    <row r="18" spans="1:6" ht="9.1999999999999993" customHeight="1" x14ac:dyDescent="0.2">
      <c r="A18" s="129" t="s">
        <v>787</v>
      </c>
      <c r="B18" s="130">
        <v>3</v>
      </c>
      <c r="C18" s="188">
        <f>Proposed!D9</f>
        <v>0</v>
      </c>
      <c r="D18" s="188">
        <f>Proposed!E9</f>
        <v>0</v>
      </c>
      <c r="E18" s="188" t="e">
        <f>Proposed!F9</f>
        <v>#N/A</v>
      </c>
      <c r="F18" s="189" t="str">
        <f>Proposed!G9</f>
        <v/>
      </c>
    </row>
    <row r="19" spans="1:6" ht="9.1999999999999993" customHeight="1" x14ac:dyDescent="0.2">
      <c r="A19" s="129" t="s">
        <v>788</v>
      </c>
      <c r="B19" s="130">
        <v>4</v>
      </c>
      <c r="C19" s="188">
        <f>Proposed!D10</f>
        <v>0</v>
      </c>
      <c r="D19" s="188">
        <f>Proposed!E10</f>
        <v>0</v>
      </c>
      <c r="E19" s="188" t="e">
        <f>Proposed!F10</f>
        <v>#N/A</v>
      </c>
      <c r="F19" s="190"/>
    </row>
    <row r="20" spans="1:6" ht="9.1999999999999993" customHeight="1" x14ac:dyDescent="0.2">
      <c r="A20" s="129" t="s">
        <v>789</v>
      </c>
      <c r="B20" s="130">
        <v>5</v>
      </c>
      <c r="C20" s="188">
        <f>Proposed!D11</f>
        <v>0</v>
      </c>
      <c r="D20" s="188">
        <f>Proposed!E11</f>
        <v>0</v>
      </c>
      <c r="E20" s="188" t="e">
        <f>Proposed!F11</f>
        <v>#N/A</v>
      </c>
      <c r="F20" s="191"/>
    </row>
    <row r="21" spans="1:6" ht="9.1999999999999993" customHeight="1" x14ac:dyDescent="0.2">
      <c r="A21" s="129" t="s">
        <v>790</v>
      </c>
      <c r="B21" s="130">
        <v>6</v>
      </c>
      <c r="C21" s="188">
        <f>Proposed!D12</f>
        <v>0</v>
      </c>
      <c r="D21" s="188">
        <f>Proposed!E12</f>
        <v>0</v>
      </c>
      <c r="E21" s="188" t="e">
        <f>Proposed!F12</f>
        <v>#N/A</v>
      </c>
      <c r="F21" s="191"/>
    </row>
    <row r="22" spans="1:6" ht="9.1999999999999993" customHeight="1" x14ac:dyDescent="0.2">
      <c r="A22" s="129" t="s">
        <v>791</v>
      </c>
      <c r="B22" s="130">
        <v>7</v>
      </c>
      <c r="C22" s="188">
        <f>Proposed!D13</f>
        <v>0</v>
      </c>
      <c r="D22" s="188">
        <f>Proposed!E13</f>
        <v>0</v>
      </c>
      <c r="E22" s="188" t="e">
        <f>Proposed!F13</f>
        <v>#N/A</v>
      </c>
      <c r="F22" s="191"/>
    </row>
    <row r="23" spans="1:6" ht="9.1999999999999993" customHeight="1" x14ac:dyDescent="0.2">
      <c r="A23" s="129" t="s">
        <v>792</v>
      </c>
      <c r="B23" s="130">
        <v>8</v>
      </c>
      <c r="C23" s="188">
        <f>Proposed!D14</f>
        <v>0</v>
      </c>
      <c r="D23" s="188">
        <f>Proposed!E14</f>
        <v>0</v>
      </c>
      <c r="E23" s="188" t="e">
        <f>Proposed!F14</f>
        <v>#N/A</v>
      </c>
      <c r="F23" s="191"/>
    </row>
    <row r="24" spans="1:6" ht="9.1999999999999993" customHeight="1" x14ac:dyDescent="0.2">
      <c r="A24" s="129" t="s">
        <v>793</v>
      </c>
      <c r="B24" s="130">
        <v>9</v>
      </c>
      <c r="C24" s="188">
        <f>Proposed!D15</f>
        <v>0</v>
      </c>
      <c r="D24" s="188">
        <f>Proposed!E15</f>
        <v>0</v>
      </c>
      <c r="E24" s="188" t="e">
        <f>Proposed!F15</f>
        <v>#N/A</v>
      </c>
      <c r="F24" s="191"/>
    </row>
    <row r="25" spans="1:6" ht="9.1999999999999993" customHeight="1" x14ac:dyDescent="0.2">
      <c r="A25" s="129" t="s">
        <v>794</v>
      </c>
      <c r="B25" s="130">
        <v>10</v>
      </c>
      <c r="C25" s="188" t="e">
        <f>Proposed!D16</f>
        <v>#N/A</v>
      </c>
      <c r="D25" s="188">
        <f>Proposed!E16</f>
        <v>0</v>
      </c>
      <c r="E25" s="188" t="e">
        <f>Proposed!F16</f>
        <v>#N/A</v>
      </c>
      <c r="F25" s="191"/>
    </row>
    <row r="26" spans="1:6" ht="9.1999999999999993" customHeight="1" x14ac:dyDescent="0.2">
      <c r="A26" s="129" t="s">
        <v>795</v>
      </c>
      <c r="B26" s="130">
        <v>11</v>
      </c>
      <c r="C26" s="188" t="e">
        <f>Proposed!D17</f>
        <v>#N/A</v>
      </c>
      <c r="D26" s="188">
        <f>Proposed!E17</f>
        <v>0</v>
      </c>
      <c r="E26" s="188" t="e">
        <f>Proposed!F17</f>
        <v>#N/A</v>
      </c>
      <c r="F26" s="191"/>
    </row>
    <row r="27" spans="1:6" ht="9.1999999999999993" customHeight="1" x14ac:dyDescent="0.2">
      <c r="A27" s="129" t="s">
        <v>796</v>
      </c>
      <c r="B27" s="130">
        <v>12</v>
      </c>
      <c r="C27" s="188">
        <f>Proposed!D18</f>
        <v>0</v>
      </c>
      <c r="D27" s="188">
        <f>Proposed!E18</f>
        <v>0</v>
      </c>
      <c r="E27" s="188" t="e">
        <f>Proposed!F18</f>
        <v>#N/A</v>
      </c>
      <c r="F27" s="191"/>
    </row>
    <row r="28" spans="1:6" ht="9.1999999999999993" customHeight="1" x14ac:dyDescent="0.2">
      <c r="A28" s="129" t="s">
        <v>1645</v>
      </c>
      <c r="B28" s="130">
        <v>13</v>
      </c>
      <c r="C28" s="188">
        <f>Proposed!D19</f>
        <v>0</v>
      </c>
      <c r="D28" s="188">
        <f>Proposed!E19</f>
        <v>0</v>
      </c>
      <c r="E28" s="188" t="e">
        <f>Proposed!F19</f>
        <v>#N/A</v>
      </c>
      <c r="F28" s="191"/>
    </row>
    <row r="29" spans="1:6" ht="9.1999999999999993" customHeight="1" x14ac:dyDescent="0.2">
      <c r="A29" s="129" t="s">
        <v>700</v>
      </c>
      <c r="B29" s="130">
        <v>14</v>
      </c>
      <c r="C29" s="188">
        <f>Proposed!D20</f>
        <v>0</v>
      </c>
      <c r="D29" s="188">
        <f>Proposed!E20</f>
        <v>0</v>
      </c>
      <c r="E29" s="188" t="e">
        <f>Proposed!F20</f>
        <v>#N/A</v>
      </c>
      <c r="F29" s="191"/>
    </row>
    <row r="30" spans="1:6" ht="9.1999999999999993" customHeight="1" x14ac:dyDescent="0.2">
      <c r="A30" s="129" t="s">
        <v>1646</v>
      </c>
      <c r="B30" s="130">
        <v>15</v>
      </c>
      <c r="C30" s="188">
        <f>Proposed!D21</f>
        <v>0</v>
      </c>
      <c r="D30" s="188">
        <f>Proposed!E21</f>
        <v>0</v>
      </c>
      <c r="E30" s="188" t="e">
        <f>Proposed!F21</f>
        <v>#N/A</v>
      </c>
      <c r="F30" s="191"/>
    </row>
    <row r="31" spans="1:6" ht="9.1999999999999993" customHeight="1" x14ac:dyDescent="0.2">
      <c r="A31" s="129" t="s">
        <v>797</v>
      </c>
      <c r="B31" s="130">
        <v>16</v>
      </c>
      <c r="C31" s="188" t="e">
        <f>Proposed!D22</f>
        <v>#N/A</v>
      </c>
      <c r="D31" s="188">
        <f>Proposed!E22</f>
        <v>0</v>
      </c>
      <c r="E31" s="188" t="e">
        <f>Proposed!F22</f>
        <v>#N/A</v>
      </c>
      <c r="F31" s="191"/>
    </row>
    <row r="32" spans="1:6" ht="9.1999999999999993" customHeight="1" x14ac:dyDescent="0.2">
      <c r="A32" s="129" t="s">
        <v>798</v>
      </c>
      <c r="B32" s="130">
        <v>17</v>
      </c>
      <c r="C32" s="188">
        <f>Proposed!D23</f>
        <v>0</v>
      </c>
      <c r="D32" s="188">
        <f>Proposed!E23</f>
        <v>0</v>
      </c>
      <c r="E32" s="188" t="e">
        <f>Proposed!F23</f>
        <v>#N/A</v>
      </c>
      <c r="F32" s="191"/>
    </row>
    <row r="33" spans="1:6" ht="9.1999999999999993" customHeight="1" x14ac:dyDescent="0.2">
      <c r="A33" s="129" t="s">
        <v>1474</v>
      </c>
      <c r="B33" s="130">
        <v>18</v>
      </c>
      <c r="C33" s="188">
        <f>Proposed!D24</f>
        <v>0</v>
      </c>
      <c r="D33" s="188">
        <f>Proposed!E24</f>
        <v>0</v>
      </c>
      <c r="E33" s="188" t="e">
        <f>Proposed!F24</f>
        <v>#N/A</v>
      </c>
      <c r="F33" s="191"/>
    </row>
    <row r="34" spans="1:6" ht="9.1999999999999993" customHeight="1" x14ac:dyDescent="0.2">
      <c r="A34" s="129" t="s">
        <v>799</v>
      </c>
      <c r="B34" s="130">
        <v>19</v>
      </c>
      <c r="C34" s="188">
        <f>Proposed!D25</f>
        <v>0</v>
      </c>
      <c r="D34" s="188">
        <f>Proposed!E25</f>
        <v>0</v>
      </c>
      <c r="E34" s="188" t="e">
        <f>Proposed!F25</f>
        <v>#N/A</v>
      </c>
      <c r="F34" s="191"/>
    </row>
    <row r="35" spans="1:6" ht="9.1999999999999993" customHeight="1" x14ac:dyDescent="0.2">
      <c r="A35" s="129" t="s">
        <v>800</v>
      </c>
      <c r="B35" s="130">
        <v>20</v>
      </c>
      <c r="C35" s="188" t="e">
        <f>Proposed!D26</f>
        <v>#N/A</v>
      </c>
      <c r="D35" s="188">
        <f>Proposed!E26</f>
        <v>0</v>
      </c>
      <c r="E35" s="188" t="e">
        <f>Proposed!F26</f>
        <v>#N/A</v>
      </c>
      <c r="F35" s="191"/>
    </row>
    <row r="36" spans="1:6" ht="9.1999999999999993" customHeight="1" x14ac:dyDescent="0.2">
      <c r="A36" s="129" t="s">
        <v>801</v>
      </c>
      <c r="B36" s="130">
        <v>21</v>
      </c>
      <c r="C36" s="188" t="e">
        <f>Proposed!D27</f>
        <v>#N/A</v>
      </c>
      <c r="D36" s="188" t="e">
        <f>Proposed!E27</f>
        <v>#N/A</v>
      </c>
      <c r="E36" s="188" t="e">
        <f>Proposed!F27</f>
        <v>#N/A</v>
      </c>
      <c r="F36" s="191"/>
    </row>
    <row r="37" spans="1:6" ht="9.1999999999999993" customHeight="1" x14ac:dyDescent="0.2">
      <c r="A37" s="131" t="s">
        <v>802</v>
      </c>
      <c r="B37" s="130">
        <v>22</v>
      </c>
      <c r="C37" s="188" t="e">
        <f>Proposed!D28</f>
        <v>#N/A</v>
      </c>
      <c r="D37" s="188" t="e">
        <f>Proposed!E28</f>
        <v>#N/A</v>
      </c>
      <c r="E37" s="188" t="e">
        <f>Proposed!F28</f>
        <v>#N/A</v>
      </c>
      <c r="F37" s="191"/>
    </row>
    <row r="38" spans="1:6" ht="9.1999999999999993" customHeight="1" x14ac:dyDescent="0.2">
      <c r="A38" s="128"/>
      <c r="B38" s="117"/>
      <c r="C38" s="192"/>
      <c r="D38" s="192"/>
      <c r="E38" s="193"/>
      <c r="F38" s="194"/>
    </row>
    <row r="39" spans="1:6" ht="9.1999999999999993" customHeight="1" x14ac:dyDescent="0.2">
      <c r="A39" s="131" t="s">
        <v>803</v>
      </c>
      <c r="B39" s="132">
        <v>23</v>
      </c>
      <c r="C39" s="188">
        <f>Proposed!D30</f>
        <v>0</v>
      </c>
      <c r="D39" s="188">
        <f>Proposed!E30</f>
        <v>0</v>
      </c>
      <c r="E39" s="188" t="e">
        <f>Proposed!F30</f>
        <v>#N/A</v>
      </c>
      <c r="F39" s="189" t="str">
        <f>Proposed!G30</f>
        <v/>
      </c>
    </row>
    <row r="40" spans="1:6" ht="9.1999999999999993" customHeight="1" x14ac:dyDescent="0.2">
      <c r="A40" s="129" t="s">
        <v>804</v>
      </c>
      <c r="B40" s="130">
        <v>24</v>
      </c>
      <c r="C40" s="188">
        <f>Proposed!D31</f>
        <v>0</v>
      </c>
      <c r="D40" s="188">
        <f>Proposed!E31</f>
        <v>0</v>
      </c>
      <c r="E40" s="188" t="e">
        <f>Proposed!F31</f>
        <v>#N/A</v>
      </c>
      <c r="F40" s="190"/>
    </row>
    <row r="41" spans="1:6" ht="9.1999999999999993" customHeight="1" x14ac:dyDescent="0.2">
      <c r="A41" s="129" t="s">
        <v>805</v>
      </c>
      <c r="B41" s="130">
        <v>25</v>
      </c>
      <c r="C41" s="188">
        <f>Proposed!D32</f>
        <v>0</v>
      </c>
      <c r="D41" s="188">
        <f>Proposed!E32</f>
        <v>0</v>
      </c>
      <c r="E41" s="188" t="e">
        <f>Proposed!F32</f>
        <v>#N/A</v>
      </c>
      <c r="F41" s="191"/>
    </row>
    <row r="42" spans="1:6" ht="9.1999999999999993" customHeight="1" x14ac:dyDescent="0.2">
      <c r="A42" s="129" t="s">
        <v>806</v>
      </c>
      <c r="B42" s="130">
        <v>26</v>
      </c>
      <c r="C42" s="188">
        <f>Proposed!D33</f>
        <v>0</v>
      </c>
      <c r="D42" s="188">
        <f>Proposed!E33</f>
        <v>0</v>
      </c>
      <c r="E42" s="188" t="e">
        <f>Proposed!F33</f>
        <v>#N/A</v>
      </c>
      <c r="F42" s="191"/>
    </row>
    <row r="43" spans="1:6" ht="9.1999999999999993" customHeight="1" x14ac:dyDescent="0.2">
      <c r="A43" s="129" t="s">
        <v>923</v>
      </c>
      <c r="B43" s="130">
        <v>27</v>
      </c>
      <c r="C43" s="188">
        <f>Proposed!D34</f>
        <v>0</v>
      </c>
      <c r="D43" s="188">
        <f>Proposed!E34</f>
        <v>0</v>
      </c>
      <c r="E43" s="188" t="e">
        <f>Proposed!F34</f>
        <v>#N/A</v>
      </c>
      <c r="F43" s="191"/>
    </row>
    <row r="44" spans="1:6" ht="9.1999999999999993" customHeight="1" x14ac:dyDescent="0.2">
      <c r="A44" s="129" t="s">
        <v>1066</v>
      </c>
      <c r="B44" s="130">
        <v>28</v>
      </c>
      <c r="C44" s="188">
        <f>Proposed!D35</f>
        <v>0</v>
      </c>
      <c r="D44" s="188">
        <f>Proposed!E35</f>
        <v>0</v>
      </c>
      <c r="E44" s="188" t="e">
        <f>Proposed!F35</f>
        <v>#N/A</v>
      </c>
      <c r="F44" s="191"/>
    </row>
    <row r="45" spans="1:6" ht="9.1999999999999993" customHeight="1" x14ac:dyDescent="0.2">
      <c r="A45" s="129" t="s">
        <v>807</v>
      </c>
      <c r="B45" s="130">
        <v>29</v>
      </c>
      <c r="C45" s="188">
        <f>Proposed!D36</f>
        <v>0</v>
      </c>
      <c r="D45" s="188">
        <f>Proposed!E36</f>
        <v>0</v>
      </c>
      <c r="E45" s="188" t="e">
        <f>Proposed!F36</f>
        <v>#N/A</v>
      </c>
      <c r="F45" s="191"/>
    </row>
    <row r="46" spans="1:6" ht="9.1999999999999993" customHeight="1" x14ac:dyDescent="0.2">
      <c r="A46" s="129" t="s">
        <v>808</v>
      </c>
      <c r="B46" s="130">
        <v>30</v>
      </c>
      <c r="C46" s="188">
        <f>Proposed!D37</f>
        <v>0</v>
      </c>
      <c r="D46" s="188">
        <f>Proposed!E37</f>
        <v>0</v>
      </c>
      <c r="E46" s="188" t="e">
        <f>Proposed!F37</f>
        <v>#N/A</v>
      </c>
      <c r="F46" s="191"/>
    </row>
    <row r="47" spans="1:6" ht="9.1999999999999993" customHeight="1" x14ac:dyDescent="0.2">
      <c r="A47" s="129" t="s">
        <v>924</v>
      </c>
      <c r="B47" s="130">
        <v>31</v>
      </c>
      <c r="C47" s="188">
        <f>Proposed!D38</f>
        <v>0</v>
      </c>
      <c r="D47" s="188">
        <f>Proposed!E38</f>
        <v>0</v>
      </c>
      <c r="E47" s="188">
        <f>Proposed!F38</f>
        <v>0</v>
      </c>
      <c r="F47" s="195"/>
    </row>
    <row r="48" spans="1:6" ht="9.1999999999999993" customHeight="1" x14ac:dyDescent="0.2">
      <c r="A48" s="131" t="s">
        <v>809</v>
      </c>
      <c r="B48" s="132" t="s">
        <v>810</v>
      </c>
      <c r="C48" s="188">
        <f>Proposed!D39</f>
        <v>0</v>
      </c>
      <c r="D48" s="188">
        <f>Proposed!E39</f>
        <v>0</v>
      </c>
      <c r="E48" s="188" t="e">
        <f>Proposed!F39</f>
        <v>#N/A</v>
      </c>
      <c r="F48" s="189" t="str">
        <f>Proposed!G39</f>
        <v/>
      </c>
    </row>
    <row r="49" spans="1:7" ht="9.1999999999999993" customHeight="1" x14ac:dyDescent="0.2">
      <c r="A49" s="131" t="s">
        <v>812</v>
      </c>
      <c r="B49" s="132">
        <v>32</v>
      </c>
      <c r="C49" s="188">
        <f>Proposed!D40</f>
        <v>0</v>
      </c>
      <c r="D49" s="188">
        <f>Proposed!E40</f>
        <v>0</v>
      </c>
      <c r="E49" s="188" t="e">
        <f>Proposed!F40</f>
        <v>#N/A</v>
      </c>
      <c r="F49" s="189" t="str">
        <f>Proposed!G40</f>
        <v/>
      </c>
    </row>
    <row r="50" spans="1:7" ht="9.1999999999999993" customHeight="1" x14ac:dyDescent="0.2">
      <c r="A50" s="129" t="s">
        <v>813</v>
      </c>
      <c r="B50" s="130">
        <v>33</v>
      </c>
      <c r="C50" s="188">
        <f>Proposed!D41</f>
        <v>0</v>
      </c>
      <c r="D50" s="188">
        <f>Proposed!E41</f>
        <v>0</v>
      </c>
      <c r="E50" s="188" t="e">
        <f>Proposed!F41</f>
        <v>#N/A</v>
      </c>
      <c r="F50" s="190"/>
    </row>
    <row r="51" spans="1:7" ht="9.1999999999999993" customHeight="1" x14ac:dyDescent="0.2">
      <c r="A51" s="129" t="s">
        <v>814</v>
      </c>
      <c r="B51" s="130">
        <v>34</v>
      </c>
      <c r="C51" s="188">
        <f>Proposed!D42</f>
        <v>0</v>
      </c>
      <c r="D51" s="188">
        <f>Proposed!E42</f>
        <v>0</v>
      </c>
      <c r="E51" s="188" t="e">
        <f>Proposed!F42</f>
        <v>#N/A</v>
      </c>
      <c r="F51" s="191"/>
    </row>
    <row r="52" spans="1:7" ht="9.1999999999999993" customHeight="1" x14ac:dyDescent="0.2">
      <c r="A52" s="129" t="s">
        <v>815</v>
      </c>
      <c r="B52" s="130">
        <v>35</v>
      </c>
      <c r="C52" s="188" t="e">
        <f>Proposed!D43</f>
        <v>#N/A</v>
      </c>
      <c r="D52" s="188">
        <f>Proposed!E43</f>
        <v>0</v>
      </c>
      <c r="E52" s="188" t="e">
        <f>Proposed!F43</f>
        <v>#N/A</v>
      </c>
      <c r="F52" s="196"/>
      <c r="G52" s="145"/>
    </row>
    <row r="53" spans="1:7" ht="9.1999999999999993" customHeight="1" x14ac:dyDescent="0.2">
      <c r="A53" s="131" t="s">
        <v>816</v>
      </c>
      <c r="B53" s="132" t="s">
        <v>817</v>
      </c>
      <c r="C53" s="188" t="e">
        <f>Proposed!D44</f>
        <v>#N/A</v>
      </c>
      <c r="D53" s="188">
        <f>Proposed!E44</f>
        <v>0</v>
      </c>
      <c r="E53" s="188" t="e">
        <f>Proposed!F44</f>
        <v>#N/A</v>
      </c>
      <c r="F53" s="189" t="e">
        <f>Proposed!G44</f>
        <v>#N/A</v>
      </c>
      <c r="G53" s="145"/>
    </row>
    <row r="54" spans="1:7" ht="9.1999999999999993" customHeight="1" x14ac:dyDescent="0.2">
      <c r="A54" s="129" t="s">
        <v>818</v>
      </c>
      <c r="B54" s="130">
        <v>36</v>
      </c>
      <c r="C54" s="188" t="e">
        <f>Proposed!D45</f>
        <v>#N/A</v>
      </c>
      <c r="D54" s="188">
        <f>Proposed!E45</f>
        <v>0</v>
      </c>
      <c r="E54" s="188" t="e">
        <f>Proposed!F45</f>
        <v>#N/A</v>
      </c>
      <c r="F54" s="190"/>
      <c r="G54" s="145"/>
    </row>
    <row r="55" spans="1:7" ht="9.1999999999999993" customHeight="1" x14ac:dyDescent="0.2">
      <c r="A55" s="129" t="s">
        <v>1475</v>
      </c>
      <c r="B55" s="130">
        <v>37</v>
      </c>
      <c r="C55" s="188">
        <f>Proposed!D46</f>
        <v>0</v>
      </c>
      <c r="D55" s="188">
        <f>Proposed!E46</f>
        <v>0</v>
      </c>
      <c r="E55" s="188" t="e">
        <f>Proposed!F46</f>
        <v>#N/A</v>
      </c>
      <c r="F55" s="191"/>
      <c r="G55" s="145"/>
    </row>
    <row r="56" spans="1:7" ht="9.1999999999999993" customHeight="1" x14ac:dyDescent="0.2">
      <c r="A56" s="129" t="s">
        <v>819</v>
      </c>
      <c r="B56" s="130">
        <v>38</v>
      </c>
      <c r="C56" s="188" t="e">
        <f>Proposed!D47</f>
        <v>#N/A</v>
      </c>
      <c r="D56" s="188">
        <f>Proposed!E47</f>
        <v>0</v>
      </c>
      <c r="E56" s="188" t="e">
        <f>Proposed!F47</f>
        <v>#N/A</v>
      </c>
      <c r="F56" s="191"/>
      <c r="G56" s="145"/>
    </row>
    <row r="57" spans="1:7" ht="9.1999999999999993" customHeight="1" x14ac:dyDescent="0.2">
      <c r="A57" s="129" t="s">
        <v>820</v>
      </c>
      <c r="B57" s="130">
        <v>39</v>
      </c>
      <c r="C57" s="188" t="e">
        <f>Proposed!D48</f>
        <v>#N/A</v>
      </c>
      <c r="D57" s="188" t="e">
        <f>Proposed!E48</f>
        <v>#N/A</v>
      </c>
      <c r="E57" s="188" t="e">
        <f>Proposed!F48</f>
        <v>#N/A</v>
      </c>
      <c r="F57" s="195"/>
      <c r="G57" s="145"/>
    </row>
    <row r="58" spans="1:7" ht="9.1999999999999993" customHeight="1" x14ac:dyDescent="0.2">
      <c r="A58" s="131" t="s">
        <v>821</v>
      </c>
      <c r="B58" s="130">
        <v>40</v>
      </c>
      <c r="C58" s="188" t="e">
        <f>Proposed!D49</f>
        <v>#N/A</v>
      </c>
      <c r="D58" s="188" t="e">
        <f>Proposed!E49</f>
        <v>#N/A</v>
      </c>
      <c r="E58" s="188" t="e">
        <f>Proposed!F49</f>
        <v>#N/A</v>
      </c>
      <c r="F58" s="196"/>
      <c r="G58" s="145"/>
    </row>
    <row r="59" spans="1:7" ht="9.1999999999999993" customHeight="1" x14ac:dyDescent="0.2">
      <c r="A59" s="128" t="s">
        <v>909</v>
      </c>
      <c r="B59" s="134"/>
      <c r="C59" s="197"/>
      <c r="D59" s="197"/>
      <c r="E59" s="197"/>
      <c r="F59" s="122"/>
      <c r="G59" s="145"/>
    </row>
    <row r="60" spans="1:7" ht="9.1999999999999993" customHeight="1" x14ac:dyDescent="0.2">
      <c r="A60" s="128" t="s">
        <v>910</v>
      </c>
      <c r="B60" s="117"/>
      <c r="C60" s="198">
        <f>Proposed!D50</f>
        <v>0</v>
      </c>
      <c r="D60" s="117"/>
      <c r="E60" s="117"/>
      <c r="F60" s="122"/>
      <c r="G60" s="145"/>
    </row>
    <row r="61" spans="1:7" ht="9.1999999999999993" customHeight="1" x14ac:dyDescent="0.2">
      <c r="A61" s="128" t="str">
        <f>IF(Proposed!A59&lt;&gt;"",Proposed!A59,"")</f>
        <v/>
      </c>
      <c r="B61" s="117"/>
      <c r="C61" s="199"/>
      <c r="D61" s="117"/>
      <c r="E61" s="117"/>
      <c r="F61" s="122"/>
      <c r="G61" s="145"/>
    </row>
    <row r="62" spans="1:7" ht="9.1999999999999993" customHeight="1" x14ac:dyDescent="0.2">
      <c r="A62" s="128" t="str">
        <f>IF(Proposed!A60&lt;&gt;"",Proposed!A60,"")</f>
        <v/>
      </c>
      <c r="B62" s="117"/>
      <c r="C62" s="199"/>
      <c r="D62" s="117"/>
      <c r="E62" s="117"/>
      <c r="F62" s="122"/>
      <c r="G62" s="145"/>
    </row>
    <row r="63" spans="1:7" ht="9.1999999999999993" customHeight="1" x14ac:dyDescent="0.2">
      <c r="A63" s="128" t="str">
        <f>IF(Proposed!A61&lt;&gt;"",Proposed!A61,"")</f>
        <v/>
      </c>
      <c r="B63" s="117"/>
      <c r="C63" s="199"/>
      <c r="D63" s="117"/>
      <c r="E63" s="117"/>
      <c r="F63" s="122"/>
      <c r="G63" s="145"/>
    </row>
    <row r="64" spans="1:7" ht="9.1999999999999993" customHeight="1" x14ac:dyDescent="0.2">
      <c r="A64" s="200" t="str">
        <f>IF(Proposed!A62&lt;&gt;"",Proposed!A62,"")</f>
        <v/>
      </c>
      <c r="B64" s="133"/>
      <c r="C64" s="133"/>
      <c r="D64" s="133"/>
      <c r="E64" s="133"/>
      <c r="F64" s="123"/>
      <c r="G64" s="145"/>
    </row>
    <row r="65" spans="1:7" ht="7.15" customHeight="1" x14ac:dyDescent="0.2">
      <c r="A65" s="117"/>
      <c r="B65" s="117"/>
      <c r="C65" s="117"/>
      <c r="D65" s="117"/>
      <c r="E65" s="117"/>
      <c r="F65" s="117"/>
      <c r="G65" s="145"/>
    </row>
    <row r="66" spans="1:7" ht="7.15" customHeight="1" x14ac:dyDescent="0.2">
      <c r="A66" s="117"/>
      <c r="B66" s="117"/>
      <c r="C66" s="117"/>
      <c r="D66" s="117"/>
      <c r="E66" s="117"/>
      <c r="F66" s="117"/>
      <c r="G66" s="145"/>
    </row>
    <row r="67" spans="1:7" ht="7.15" customHeight="1" x14ac:dyDescent="0.2">
      <c r="A67" s="117"/>
      <c r="B67" s="117"/>
      <c r="C67" s="117"/>
      <c r="D67" s="117"/>
      <c r="E67" s="117"/>
      <c r="F67" s="117"/>
      <c r="G67" s="145"/>
    </row>
    <row r="68" spans="1:7" ht="7.15" customHeight="1" x14ac:dyDescent="0.2">
      <c r="A68" s="117"/>
      <c r="B68" s="117"/>
      <c r="C68" s="117"/>
      <c r="D68" s="117"/>
      <c r="E68" s="117"/>
      <c r="F68" s="117"/>
      <c r="G68" s="145"/>
    </row>
    <row r="69" spans="1:7" ht="7.15" customHeight="1" x14ac:dyDescent="0.2">
      <c r="A69" s="117"/>
      <c r="B69" s="117"/>
      <c r="C69" s="117"/>
      <c r="D69" s="117"/>
      <c r="E69" s="117"/>
      <c r="F69" s="117"/>
      <c r="G69" s="145"/>
    </row>
    <row r="70" spans="1:7" ht="7.15" customHeight="1" x14ac:dyDescent="0.2">
      <c r="A70" s="117"/>
      <c r="B70" s="117"/>
      <c r="C70" s="117"/>
      <c r="D70" s="117"/>
      <c r="E70" s="117"/>
      <c r="F70" s="117"/>
      <c r="G70" s="145"/>
    </row>
    <row r="71" spans="1:7" ht="7.15" customHeight="1" x14ac:dyDescent="0.2">
      <c r="A71" s="117"/>
      <c r="B71" s="117"/>
      <c r="C71" s="117"/>
      <c r="D71" s="117"/>
      <c r="E71" s="117"/>
      <c r="F71" s="117"/>
      <c r="G71" s="145"/>
    </row>
    <row r="72" spans="1:7" ht="7.15" customHeight="1" x14ac:dyDescent="0.2">
      <c r="A72" s="117"/>
      <c r="B72" s="117"/>
      <c r="C72" s="117"/>
      <c r="D72" s="117"/>
      <c r="E72" s="117"/>
      <c r="F72" s="117"/>
      <c r="G72" s="145"/>
    </row>
    <row r="73" spans="1:7" ht="7.15" customHeight="1" x14ac:dyDescent="0.2">
      <c r="A73" s="117"/>
      <c r="B73" s="117"/>
      <c r="C73" s="117"/>
      <c r="D73" s="117"/>
      <c r="E73" s="117"/>
      <c r="F73" s="117"/>
      <c r="G73" s="145"/>
    </row>
    <row r="74" spans="1:7" ht="7.15" customHeight="1" x14ac:dyDescent="0.2">
      <c r="A74" s="117"/>
      <c r="B74" s="117"/>
      <c r="C74" s="117"/>
      <c r="D74" s="117"/>
      <c r="E74" s="117"/>
      <c r="F74" s="117"/>
      <c r="G74" s="145"/>
    </row>
    <row r="75" spans="1:7" ht="7.15" customHeight="1" x14ac:dyDescent="0.2">
      <c r="A75" s="117"/>
      <c r="B75" s="117"/>
      <c r="C75" s="117"/>
      <c r="D75" s="117"/>
      <c r="E75" s="117"/>
      <c r="F75" s="117"/>
      <c r="G75" s="145"/>
    </row>
    <row r="76" spans="1:7" ht="7.15" customHeight="1" x14ac:dyDescent="0.2">
      <c r="A76" s="117"/>
      <c r="B76" s="117"/>
      <c r="C76" s="117"/>
      <c r="D76" s="117"/>
      <c r="E76" s="117"/>
      <c r="F76" s="117"/>
      <c r="G76" s="145"/>
    </row>
    <row r="77" spans="1:7" ht="7.15" customHeight="1" x14ac:dyDescent="0.2">
      <c r="A77" s="117"/>
      <c r="B77" s="117"/>
      <c r="C77" s="117"/>
      <c r="D77" s="117"/>
      <c r="E77" s="117"/>
      <c r="F77" s="117"/>
      <c r="G77" s="145"/>
    </row>
    <row r="78" spans="1:7" ht="7.15" customHeight="1" x14ac:dyDescent="0.2">
      <c r="A78" s="117"/>
      <c r="B78" s="117"/>
      <c r="C78" s="117"/>
      <c r="D78" s="117"/>
      <c r="E78" s="117"/>
      <c r="F78" s="117"/>
      <c r="G78" s="145"/>
    </row>
    <row r="79" spans="1:7" ht="7.15" customHeight="1" x14ac:dyDescent="0.2">
      <c r="A79" s="117"/>
      <c r="B79" s="119"/>
      <c r="C79" s="119"/>
      <c r="D79" s="119"/>
      <c r="E79" s="119"/>
      <c r="F79" s="117"/>
      <c r="G79" s="145"/>
    </row>
    <row r="80" spans="1:7" ht="7.15" customHeight="1" x14ac:dyDescent="0.2">
      <c r="A80" s="117"/>
      <c r="B80" s="119"/>
      <c r="C80" s="119"/>
      <c r="D80" s="119"/>
      <c r="E80" s="119"/>
      <c r="F80" s="117"/>
      <c r="G80" s="145"/>
    </row>
    <row r="81" spans="1:7" ht="7.15" customHeight="1" x14ac:dyDescent="0.2">
      <c r="A81" s="117"/>
      <c r="B81" s="119"/>
      <c r="C81" s="119"/>
      <c r="D81" s="119"/>
      <c r="E81" s="119"/>
      <c r="F81" s="117"/>
      <c r="G81" s="145"/>
    </row>
    <row r="82" spans="1:7" ht="7.15" customHeight="1" x14ac:dyDescent="0.2">
      <c r="A82" s="117"/>
      <c r="B82" s="119"/>
      <c r="C82" s="119"/>
      <c r="D82" s="119"/>
      <c r="E82" s="119"/>
      <c r="F82" s="117"/>
      <c r="G82" s="145"/>
    </row>
    <row r="83" spans="1:7" ht="7.15" customHeight="1" x14ac:dyDescent="0.2">
      <c r="A83" s="117"/>
      <c r="B83" s="119"/>
      <c r="C83" s="119"/>
      <c r="D83" s="119"/>
      <c r="E83" s="119"/>
      <c r="F83" s="117"/>
      <c r="G83" s="145"/>
    </row>
    <row r="84" spans="1:7" ht="7.15" customHeight="1" x14ac:dyDescent="0.2">
      <c r="A84" s="119"/>
      <c r="B84" s="119"/>
      <c r="C84" s="119"/>
      <c r="D84" s="119"/>
      <c r="E84" s="119"/>
      <c r="F84" s="117"/>
    </row>
    <row r="85" spans="1:7" ht="12.75" x14ac:dyDescent="0.2">
      <c r="A85" s="2" t="s">
        <v>911</v>
      </c>
    </row>
  </sheetData>
  <sheetProtection password="C47C" sheet="1" objects="1" scenarios="1"/>
  <customSheetViews>
    <customSheetView guid="{53CC1FF8-69F4-40AB-9E52-A9F35D642996}" showGridLines="0" state="hidden">
      <selection activeCell="A2" sqref="A2"/>
      <pageMargins left="0.75" right="0.75" top="1" bottom="1" header="0.5" footer="0.5"/>
      <pageSetup orientation="portrait" r:id="rId1"/>
      <headerFooter alignWithMargins="0"/>
    </customSheetView>
  </customSheetViews>
  <mergeCells count="6">
    <mergeCell ref="A7:C7"/>
    <mergeCell ref="A8:C8"/>
    <mergeCell ref="A9:C9"/>
    <mergeCell ref="A2:F2"/>
    <mergeCell ref="A4:F4"/>
    <mergeCell ref="A3:F3"/>
  </mergeCells>
  <phoneticPr fontId="0" type="noConversion"/>
  <pageMargins left="0.75" right="0.75" top="1" bottom="1" header="0.5" footer="0.5"/>
  <pageSetup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9" tint="0.39997558519241921"/>
  </sheetPr>
  <dimension ref="A1:G38"/>
  <sheetViews>
    <sheetView showGridLines="0" zoomScale="90" zoomScaleNormal="90" workbookViewId="0">
      <selection activeCell="A6" sqref="A6"/>
    </sheetView>
  </sheetViews>
  <sheetFormatPr defaultRowHeight="12.75" x14ac:dyDescent="0.2"/>
  <cols>
    <col min="1" max="1" width="60.7109375" style="215" bestFit="1" customWidth="1"/>
    <col min="2" max="3" width="17.5703125" style="215" customWidth="1"/>
    <col min="4" max="6" width="9.140625" style="215"/>
    <col min="7" max="7" width="0" style="864" hidden="1" customWidth="1"/>
    <col min="8" max="16384" width="9.140625" style="215"/>
  </cols>
  <sheetData>
    <row r="1" spans="1:7" ht="19.5" customHeight="1" x14ac:dyDescent="0.25">
      <c r="A1" s="921" t="str">
        <f>CONCATENATE("FY ",DoM!$B$6," Commercial &amp; Industrial State Replacement Estimate")</f>
        <v>FY 2018 Commercial &amp; Industrial State Replacement Estimate</v>
      </c>
      <c r="B1" s="922"/>
      <c r="C1" s="922"/>
    </row>
    <row r="2" spans="1:7" ht="19.5" customHeight="1" x14ac:dyDescent="0.2">
      <c r="A2" s="924">
        <f>InputsResults!K3</f>
        <v>0</v>
      </c>
      <c r="B2" s="925"/>
      <c r="C2" s="925"/>
    </row>
    <row r="3" spans="1:7" ht="78.75" customHeight="1" x14ac:dyDescent="0.2">
      <c r="A3" s="923" t="s">
        <v>1745</v>
      </c>
      <c r="B3" s="923"/>
      <c r="C3" s="923"/>
    </row>
    <row r="4" spans="1:7" ht="85.5" customHeight="1" x14ac:dyDescent="0.2">
      <c r="A4" s="927" t="s">
        <v>2086</v>
      </c>
      <c r="B4" s="927"/>
      <c r="C4" s="927"/>
    </row>
    <row r="5" spans="1:7" ht="13.5" customHeight="1" x14ac:dyDescent="0.2">
      <c r="A5" s="926"/>
      <c r="B5" s="926"/>
      <c r="C5" s="926"/>
      <c r="G5" s="865">
        <v>1</v>
      </c>
    </row>
    <row r="6" spans="1:7" ht="13.5" customHeight="1" x14ac:dyDescent="0.2">
      <c r="A6" s="878">
        <v>1</v>
      </c>
      <c r="B6" s="861"/>
      <c r="C6" s="861"/>
      <c r="G6" s="865">
        <v>0.99</v>
      </c>
    </row>
    <row r="7" spans="1:7" ht="13.5" customHeight="1" x14ac:dyDescent="0.2">
      <c r="A7" s="476"/>
      <c r="B7" s="476"/>
      <c r="C7" s="476"/>
      <c r="G7" s="865">
        <v>0.98</v>
      </c>
    </row>
    <row r="8" spans="1:7" ht="13.5" customHeight="1" x14ac:dyDescent="0.2">
      <c r="G8" s="865">
        <v>0.97</v>
      </c>
    </row>
    <row r="9" spans="1:7" ht="13.5" customHeight="1" x14ac:dyDescent="0.2">
      <c r="A9" s="918" t="s">
        <v>2083</v>
      </c>
      <c r="B9" s="919"/>
      <c r="C9" s="810">
        <f>InputsResults!E23</f>
        <v>0</v>
      </c>
      <c r="G9" s="865">
        <v>0.96</v>
      </c>
    </row>
    <row r="10" spans="1:7" ht="13.5" customHeight="1" x14ac:dyDescent="0.2">
      <c r="A10" s="918" t="s">
        <v>2082</v>
      </c>
      <c r="B10" s="919"/>
      <c r="C10" s="810">
        <f>InputsResults!E24</f>
        <v>0</v>
      </c>
      <c r="G10" s="865">
        <v>0.95</v>
      </c>
    </row>
    <row r="11" spans="1:7" ht="13.5" customHeight="1" x14ac:dyDescent="0.2">
      <c r="A11" s="920"/>
      <c r="B11" s="920"/>
      <c r="C11" s="345"/>
      <c r="G11" s="865">
        <v>0.94</v>
      </c>
    </row>
    <row r="12" spans="1:7" ht="13.5" customHeight="1" x14ac:dyDescent="0.2">
      <c r="A12" s="918" t="s">
        <v>2081</v>
      </c>
      <c r="B12" s="919"/>
      <c r="C12" s="810">
        <f>InputsResults!E15</f>
        <v>0</v>
      </c>
      <c r="G12" s="865">
        <v>0.93</v>
      </c>
    </row>
    <row r="13" spans="1:7" ht="13.5" customHeight="1" x14ac:dyDescent="0.2">
      <c r="A13" s="918" t="s">
        <v>2080</v>
      </c>
      <c r="B13" s="919"/>
      <c r="C13" s="810">
        <f>InputsResults!E16</f>
        <v>0</v>
      </c>
      <c r="G13" s="865">
        <v>0.92</v>
      </c>
    </row>
    <row r="14" spans="1:7" ht="13.5" customHeight="1" x14ac:dyDescent="0.2">
      <c r="A14" s="920"/>
      <c r="B14" s="920"/>
      <c r="C14" s="471"/>
      <c r="G14" s="865">
        <v>0.91</v>
      </c>
    </row>
    <row r="15" spans="1:7" ht="13.5" customHeight="1" x14ac:dyDescent="0.2">
      <c r="A15" s="918" t="s">
        <v>1621</v>
      </c>
      <c r="B15" s="919"/>
      <c r="C15" s="860">
        <f>C9-C12</f>
        <v>0</v>
      </c>
      <c r="G15" s="865">
        <v>0.9</v>
      </c>
    </row>
    <row r="16" spans="1:7" ht="13.5" customHeight="1" x14ac:dyDescent="0.2">
      <c r="A16" s="918" t="s">
        <v>1622</v>
      </c>
      <c r="B16" s="919"/>
      <c r="C16" s="860">
        <f>C10-C13</f>
        <v>0</v>
      </c>
      <c r="G16" s="865">
        <v>0.89</v>
      </c>
    </row>
    <row r="17" spans="1:7" ht="13.5" customHeight="1" x14ac:dyDescent="0.2">
      <c r="A17" s="918" t="s">
        <v>1623</v>
      </c>
      <c r="B17" s="919"/>
      <c r="C17" s="860">
        <f>SUM(C15:C16)</f>
        <v>0</v>
      </c>
      <c r="G17" s="865">
        <v>0.88</v>
      </c>
    </row>
    <row r="18" spans="1:7" ht="13.5" customHeight="1" x14ac:dyDescent="0.2">
      <c r="C18" s="345"/>
      <c r="G18" s="865">
        <v>0.87</v>
      </c>
    </row>
    <row r="19" spans="1:7" ht="13.5" customHeight="1" x14ac:dyDescent="0.2">
      <c r="C19" s="345"/>
      <c r="G19" s="865">
        <v>0.86</v>
      </c>
    </row>
    <row r="20" spans="1:7" ht="17.25" customHeight="1" x14ac:dyDescent="0.2">
      <c r="B20" s="464" t="s">
        <v>1609</v>
      </c>
      <c r="C20" s="482" t="s">
        <v>1610</v>
      </c>
      <c r="G20" s="865">
        <v>0.85</v>
      </c>
    </row>
    <row r="21" spans="1:7" ht="17.25" customHeight="1" x14ac:dyDescent="0.2">
      <c r="B21" s="465" t="s">
        <v>1620</v>
      </c>
      <c r="C21" s="465" t="s">
        <v>1611</v>
      </c>
      <c r="G21" s="865">
        <v>0.84</v>
      </c>
    </row>
    <row r="22" spans="1:7" ht="13.5" customHeight="1" x14ac:dyDescent="0.2">
      <c r="A22" s="4" t="s">
        <v>1613</v>
      </c>
      <c r="B22" s="462">
        <f>TaxCert!D34</f>
        <v>0</v>
      </c>
      <c r="C22" s="66">
        <f>ROUND(($C$15/1000)*B22*A6,0)</f>
        <v>0</v>
      </c>
      <c r="G22" s="865">
        <v>0.83</v>
      </c>
    </row>
    <row r="23" spans="1:7" ht="13.5" customHeight="1" x14ac:dyDescent="0.2">
      <c r="A23" s="4" t="s">
        <v>1614</v>
      </c>
      <c r="B23" s="462">
        <f>TaxCert!D35</f>
        <v>0</v>
      </c>
      <c r="C23" s="66">
        <f>ROUND(($C$17/1000)*B23*$A$6,0)</f>
        <v>0</v>
      </c>
      <c r="G23" s="865">
        <v>0.82</v>
      </c>
    </row>
    <row r="24" spans="1:7" ht="13.5" customHeight="1" x14ac:dyDescent="0.2">
      <c r="A24" s="4" t="s">
        <v>1615</v>
      </c>
      <c r="B24" s="462">
        <f>TaxCert!D36</f>
        <v>0</v>
      </c>
      <c r="C24" s="66">
        <f>SUM(C22:C23)</f>
        <v>0</v>
      </c>
      <c r="G24" s="865">
        <v>0.81</v>
      </c>
    </row>
    <row r="25" spans="1:7" ht="13.5" customHeight="1" x14ac:dyDescent="0.2">
      <c r="A25" s="56"/>
      <c r="B25" s="463"/>
      <c r="C25" s="463"/>
      <c r="G25" s="865">
        <v>0.8</v>
      </c>
    </row>
    <row r="26" spans="1:7" ht="13.5" customHeight="1" x14ac:dyDescent="0.2">
      <c r="A26" s="4" t="s">
        <v>1648</v>
      </c>
      <c r="B26" s="462">
        <f>TaxCert!D38</f>
        <v>0</v>
      </c>
      <c r="C26" s="66">
        <f>ROUND(($C$15/1000)*B26*$A$6,0)</f>
        <v>0</v>
      </c>
      <c r="G26" s="865">
        <v>0.79</v>
      </c>
    </row>
    <row r="27" spans="1:7" ht="13.5" customHeight="1" x14ac:dyDescent="0.2">
      <c r="A27" s="4" t="s">
        <v>1649</v>
      </c>
      <c r="B27" s="462">
        <f>TaxCert!D39</f>
        <v>0</v>
      </c>
      <c r="C27" s="66">
        <f>ROUND(($C$15/1000)*B27*$A$6,0)</f>
        <v>0</v>
      </c>
      <c r="G27" s="865">
        <v>0.78</v>
      </c>
    </row>
    <row r="28" spans="1:7" ht="13.5" customHeight="1" x14ac:dyDescent="0.2">
      <c r="A28" s="4" t="s">
        <v>1650</v>
      </c>
      <c r="B28" s="462" t="str">
        <f>TaxCert!D42</f>
        <v>.00000</v>
      </c>
      <c r="C28" s="66">
        <f>ROUND(($C$17/1000)*B28*$A$6,0)</f>
        <v>0</v>
      </c>
      <c r="G28" s="865">
        <v>0.77</v>
      </c>
    </row>
    <row r="29" spans="1:7" ht="13.5" customHeight="1" x14ac:dyDescent="0.2">
      <c r="A29" s="4" t="s">
        <v>1651</v>
      </c>
      <c r="B29" s="462" t="str">
        <f>TaxCert!D43</f>
        <v>.00000</v>
      </c>
      <c r="C29" s="66">
        <f>ROUND(($C$17/1000)*B29*$A$6,0)</f>
        <v>0</v>
      </c>
      <c r="G29" s="865">
        <v>0.76</v>
      </c>
    </row>
    <row r="30" spans="1:7" ht="13.5" customHeight="1" x14ac:dyDescent="0.2">
      <c r="A30" s="56"/>
      <c r="B30" s="463"/>
      <c r="C30" s="463"/>
      <c r="G30" s="865">
        <v>0.75</v>
      </c>
    </row>
    <row r="31" spans="1:7" ht="13.5" customHeight="1" x14ac:dyDescent="0.2">
      <c r="A31" s="4" t="s">
        <v>1652</v>
      </c>
      <c r="B31" s="462">
        <f>TaxCert!D46</f>
        <v>0</v>
      </c>
      <c r="C31" s="66">
        <f>ROUND(($C$15/1000)*B31*$A$6,0)</f>
        <v>0</v>
      </c>
    </row>
    <row r="32" spans="1:7" ht="13.5" customHeight="1" x14ac:dyDescent="0.2">
      <c r="A32" s="4" t="s">
        <v>1653</v>
      </c>
      <c r="B32" s="462" t="str">
        <f>TaxCert!D47</f>
        <v>.00000</v>
      </c>
      <c r="C32" s="66">
        <f>ROUND(($C$15/1000)*B32*$A$6,0)</f>
        <v>0</v>
      </c>
    </row>
    <row r="33" spans="1:7" ht="13.5" customHeight="1" x14ac:dyDescent="0.2">
      <c r="A33" s="4" t="s">
        <v>1654</v>
      </c>
      <c r="B33" s="462" t="str">
        <f>TaxCert!D48</f>
        <v>.00000</v>
      </c>
      <c r="C33" s="66">
        <f>ROUND(($C$15/1000)*B33*$A$6,0)</f>
        <v>0</v>
      </c>
    </row>
    <row r="34" spans="1:7" ht="13.5" customHeight="1" x14ac:dyDescent="0.2">
      <c r="A34" s="4" t="s">
        <v>1655</v>
      </c>
      <c r="B34" s="462">
        <f>TaxCert!D49</f>
        <v>0</v>
      </c>
      <c r="C34" s="66">
        <f>ROUND(($C$17/1000)*B34*$A$6,0)</f>
        <v>0</v>
      </c>
    </row>
    <row r="35" spans="1:7" ht="13.5" customHeight="1" x14ac:dyDescent="0.2">
      <c r="A35" s="7" t="s">
        <v>1612</v>
      </c>
      <c r="B35" s="462">
        <f>TaxCert!D50</f>
        <v>0</v>
      </c>
      <c r="C35" s="66">
        <f>C24+C26+C27+C28+C29+C31+C32+C33+C34</f>
        <v>0</v>
      </c>
      <c r="G35" s="864" t="s">
        <v>2085</v>
      </c>
    </row>
    <row r="36" spans="1:7" x14ac:dyDescent="0.2">
      <c r="G36" s="864" t="e">
        <f>InputsResults!$J$3</f>
        <v>#N/A</v>
      </c>
    </row>
    <row r="37" spans="1:7" x14ac:dyDescent="0.2">
      <c r="A37" s="660"/>
      <c r="B37" s="700" t="str">
        <f>CONCATENATE("Estimated ",DoM!C5," C&amp;I Payment")</f>
        <v>Estimated FY17 C&amp;I Payment</v>
      </c>
      <c r="C37" s="866" t="e">
        <f>INDEX(SNAME[],MATCH($G$36,SNAME[DIST],0),MATCH($G$37,SNAME[#Headers],0))</f>
        <v>#N/A</v>
      </c>
      <c r="G37" s="764" t="str">
        <f>SNAME[[#Headers],[C&amp;I_EstimatedPayment]]</f>
        <v>C&amp;I_EstimatedPayment</v>
      </c>
    </row>
    <row r="38" spans="1:7" x14ac:dyDescent="0.2">
      <c r="B38" s="700" t="str">
        <f>CONCATENATE("Difference ",DoM!C6," vs. ",DoM!C5," C&amp;I Estimated Payment")</f>
        <v>Difference FY18 vs. FY17 C&amp;I Estimated Payment</v>
      </c>
      <c r="C38" s="866" t="e">
        <f>C35-C37</f>
        <v>#N/A</v>
      </c>
    </row>
  </sheetData>
  <sheetProtection password="C47C" sheet="1" objects="1" scenarios="1"/>
  <customSheetViews>
    <customSheetView guid="{53CC1FF8-69F4-40AB-9E52-A9F35D642996}" scale="90" showGridLines="0" state="hidden">
      <selection activeCell="A2" sqref="A2:C2"/>
      <pageMargins left="0.7" right="0.7" top="0.75" bottom="0.75" header="0.3" footer="0.3"/>
      <pageSetup orientation="portrait" r:id="rId1"/>
    </customSheetView>
  </customSheetViews>
  <mergeCells count="14">
    <mergeCell ref="A10:B10"/>
    <mergeCell ref="A1:C1"/>
    <mergeCell ref="A3:C3"/>
    <mergeCell ref="A2:C2"/>
    <mergeCell ref="A5:C5"/>
    <mergeCell ref="A9:B9"/>
    <mergeCell ref="A4:C4"/>
    <mergeCell ref="A17:B17"/>
    <mergeCell ref="A11:B11"/>
    <mergeCell ref="A12:B12"/>
    <mergeCell ref="A13:B13"/>
    <mergeCell ref="A14:B14"/>
    <mergeCell ref="A15:B15"/>
    <mergeCell ref="A16:B16"/>
  </mergeCells>
  <dataValidations count="2">
    <dataValidation type="whole" allowBlank="1" showInputMessage="1" showErrorMessage="1" error="Only a WHOLE number can be entered in this area.  Select cancel and reenter an appropriate number." sqref="C14">
      <formula1>-999999999999</formula1>
      <formula2>999999999999</formula2>
    </dataValidation>
    <dataValidation type="list" allowBlank="1" showInputMessage="1" showErrorMessage="1" sqref="A6">
      <formula1>$G$5:$G$30</formula1>
    </dataValidation>
  </dataValidations>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9" tint="0.39997558519241921"/>
  </sheetPr>
  <dimension ref="A1:P325"/>
  <sheetViews>
    <sheetView showGridLines="0" zoomScale="90" zoomScaleNormal="90" workbookViewId="0">
      <pane xSplit="4" ySplit="3" topLeftCell="E4" activePane="bottomRight" state="frozen"/>
      <selection pane="topRight" activeCell="E1" sqref="E1"/>
      <selection pane="bottomLeft" activeCell="A4" sqref="A4"/>
      <selection pane="bottomRight" activeCell="A4" sqref="A4:XFD4"/>
    </sheetView>
  </sheetViews>
  <sheetFormatPr defaultColWidth="9" defaultRowHeight="12.75" x14ac:dyDescent="0.2"/>
  <cols>
    <col min="1" max="1" width="3.42578125" customWidth="1"/>
    <col min="2" max="2" width="13.140625" style="362" customWidth="1"/>
    <col min="3" max="3" width="17.7109375" style="362" customWidth="1"/>
    <col min="4" max="4" width="39.28515625" customWidth="1"/>
    <col min="5" max="5" width="2.42578125" customWidth="1"/>
    <col min="6" max="6" width="14.140625" style="365" bestFit="1" customWidth="1"/>
    <col min="7" max="10" width="14.140625" style="365" customWidth="1"/>
    <col min="11" max="12" width="14.140625" style="801" hidden="1" customWidth="1"/>
    <col min="13" max="16" width="14.140625" style="383" customWidth="1"/>
    <col min="17" max="16384" width="9" style="382"/>
  </cols>
  <sheetData>
    <row r="1" spans="1:12" ht="26.25" x14ac:dyDescent="0.4">
      <c r="A1" s="931">
        <f>InputsResults!K3</f>
        <v>0</v>
      </c>
      <c r="B1" s="928"/>
      <c r="C1" s="928"/>
      <c r="D1" s="361" t="s">
        <v>659</v>
      </c>
      <c r="F1" s="364"/>
      <c r="G1" s="364"/>
      <c r="H1" s="364"/>
      <c r="I1" s="934" t="e">
        <f>InputsResults!J3</f>
        <v>#N/A</v>
      </c>
      <c r="J1" s="934"/>
    </row>
    <row r="2" spans="1:12" ht="26.25" customHeight="1" x14ac:dyDescent="0.2">
      <c r="B2" s="363"/>
      <c r="C2" s="363"/>
      <c r="D2" s="932" t="s">
        <v>1746</v>
      </c>
      <c r="E2" s="933"/>
      <c r="F2" s="933"/>
      <c r="G2" s="933"/>
      <c r="H2" s="933"/>
    </row>
    <row r="3" spans="1:12" ht="30" customHeight="1" x14ac:dyDescent="0.4">
      <c r="B3" s="363" t="s">
        <v>660</v>
      </c>
      <c r="C3" s="363" t="s">
        <v>661</v>
      </c>
      <c r="D3" s="361"/>
      <c r="F3" s="494" t="str">
        <f>CONCATENATE("Estimated                     ","FY",
RIGHT(DoM!$C$5,2)-3)</f>
        <v>Estimated                     FY14</v>
      </c>
      <c r="G3" s="494" t="str">
        <f>CONCATENATE("Estimated                     ","FY",
RIGHT(DoM!$C$5,2)-2)</f>
        <v>Estimated                     FY15</v>
      </c>
      <c r="H3" s="494" t="str">
        <f>CONCATENATE("Estimated                     ","FY",
RIGHT(DoM!$C$5,2)-1)</f>
        <v>Estimated                     FY16</v>
      </c>
      <c r="I3" s="494" t="str">
        <f>CONCATENATE("Estimated                     ",
DoM!$C$5)</f>
        <v>Estimated                     FY17</v>
      </c>
      <c r="J3" s="494" t="str">
        <f>CONCATENATE("Estimated                     ",
DoM!$C$6)</f>
        <v>Estimated                     FY18</v>
      </c>
      <c r="K3" s="801" t="s">
        <v>2014</v>
      </c>
    </row>
    <row r="4" spans="1:12" ht="30" hidden="1" customHeight="1" x14ac:dyDescent="0.4">
      <c r="B4" s="363"/>
      <c r="C4" s="363"/>
      <c r="D4" s="361"/>
      <c r="F4" s="802">
        <f>G4-1</f>
        <v>2014</v>
      </c>
      <c r="G4" s="802">
        <f>H4-1</f>
        <v>2015</v>
      </c>
      <c r="H4" s="802">
        <f>I4-1</f>
        <v>2016</v>
      </c>
      <c r="I4" s="802">
        <f>J4-1</f>
        <v>2017</v>
      </c>
      <c r="J4" s="802">
        <f>DoM!$B$6</f>
        <v>2018</v>
      </c>
      <c r="K4" s="802">
        <v>2013</v>
      </c>
    </row>
    <row r="5" spans="1:12" ht="13.7" customHeight="1" x14ac:dyDescent="0.2">
      <c r="A5" s="368">
        <v>1</v>
      </c>
      <c r="B5" s="369" t="s">
        <v>4</v>
      </c>
      <c r="C5" s="370" t="s">
        <v>1221</v>
      </c>
      <c r="D5" s="360" t="s">
        <v>624</v>
      </c>
      <c r="E5" s="360"/>
      <c r="F5" s="366" t="e">
        <f t="array" ref="F5">INDEX(SNAMEC[],MATCH(1,($I$1=SNAMEC[DIST])*(F$4=SNAMEC[FiscalYear]),0),MATCH($L5,SNAMEC[#Headers],0))</f>
        <v>#N/A</v>
      </c>
      <c r="G5" s="366" t="e">
        <f t="array" ref="G5">INDEX(SNAMEC[],MATCH(1,($I$1=SNAMEC[DIST])*(G$4=SNAMEC[FiscalYear]),0),MATCH($L5,SNAMEC[#Headers],0))</f>
        <v>#N/A</v>
      </c>
      <c r="H5" s="366" t="e">
        <f t="array" ref="H5">INDEX(SNAMEC[],MATCH(1,($I$1=SNAMEC[DIST])*(H$4=SNAMEC[FiscalYear]),0),MATCH($L5,SNAMEC[#Headers],0))</f>
        <v>#N/A</v>
      </c>
      <c r="I5" s="366" t="e">
        <f t="array" ref="I5">INDEX(SNAMEC[],MATCH(1,($I$1=SNAMEC[DIST])*(I$4=SNAMEC[FiscalYear]),0),MATCH($L5,SNAMEC[#Headers],0))</f>
        <v>#N/A</v>
      </c>
      <c r="J5" s="372" t="e">
        <f>AidLevy!B132</f>
        <v>#N/A</v>
      </c>
      <c r="K5" s="801" t="e">
        <f t="array" ref="K5">INDEX(SNAMEC[],MATCH(1,($I$1=SNAMEC[DIST])*(K$4=SNAMEC[FiscalYear]),0),MATCH($L5,SNAMEC[#Headers],0))</f>
        <v>#N/A</v>
      </c>
      <c r="L5" s="803" t="s">
        <v>1971</v>
      </c>
    </row>
    <row r="6" spans="1:12" ht="13.7" customHeight="1" x14ac:dyDescent="0.2">
      <c r="A6" s="368">
        <v>2</v>
      </c>
      <c r="B6" s="369" t="s">
        <v>4</v>
      </c>
      <c r="C6" s="370" t="s">
        <v>1627</v>
      </c>
      <c r="D6" s="360" t="s">
        <v>625</v>
      </c>
      <c r="E6" s="360" t="s">
        <v>1424</v>
      </c>
      <c r="F6" s="366" t="e">
        <f t="array" ref="F6">INDEX(SNAMEC[],MATCH(1,($I$1=SNAMEC[DIST])*(F$4=SNAMEC[FiscalYear]),0),MATCH($L6,SNAMEC[#Headers],0))</f>
        <v>#N/A</v>
      </c>
      <c r="G6" s="366" t="e">
        <f t="array" ref="G6">INDEX(SNAMEC[],MATCH(1,($I$1=SNAMEC[DIST])*(G$4=SNAMEC[FiscalYear]),0),MATCH($L6,SNAMEC[#Headers],0))</f>
        <v>#N/A</v>
      </c>
      <c r="H6" s="366" t="e">
        <f t="array" ref="H6">INDEX(SNAMEC[],MATCH(1,($I$1=SNAMEC[DIST])*(H$4=SNAMEC[FiscalYear]),0),MATCH($L6,SNAMEC[#Headers],0))</f>
        <v>#N/A</v>
      </c>
      <c r="I6" s="366" t="e">
        <f t="array" ref="I6">INDEX(SNAMEC[],MATCH(1,($I$1=SNAMEC[DIST])*(I$4=SNAMEC[FiscalYear]),0),MATCH($L6,SNAMEC[#Headers],0))</f>
        <v>#N/A</v>
      </c>
      <c r="J6" s="372" t="e">
        <f>AidLevy!B133</f>
        <v>#N/A</v>
      </c>
      <c r="K6" s="801" t="e">
        <f t="array" ref="K6">INDEX(SNAMEC[],MATCH(1,($I$1=SNAMEC[DIST])*(K$4=SNAMEC[FiscalYear]),0),MATCH($L6,SNAMEC[#Headers],0))</f>
        <v>#N/A</v>
      </c>
      <c r="L6" s="803" t="s">
        <v>1972</v>
      </c>
    </row>
    <row r="7" spans="1:12" ht="13.7" customHeight="1" x14ac:dyDescent="0.2">
      <c r="A7" s="368">
        <v>3</v>
      </c>
      <c r="B7" s="369" t="s">
        <v>4</v>
      </c>
      <c r="C7" s="370" t="s">
        <v>1628</v>
      </c>
      <c r="D7" s="360" t="s">
        <v>626</v>
      </c>
      <c r="E7" s="360" t="s">
        <v>1424</v>
      </c>
      <c r="F7" s="366" t="e">
        <f t="array" ref="F7">INDEX(SNAMEC[],MATCH(1,($I$1=SNAMEC[DIST])*(F$4=SNAMEC[FiscalYear]),0),MATCH($L7,SNAMEC[#Headers],0))</f>
        <v>#N/A</v>
      </c>
      <c r="G7" s="366" t="e">
        <f t="array" ref="G7">INDEX(SNAMEC[],MATCH(1,($I$1=SNAMEC[DIST])*(G$4=SNAMEC[FiscalYear]),0),MATCH($L7,SNAMEC[#Headers],0))</f>
        <v>#N/A</v>
      </c>
      <c r="H7" s="366" t="e">
        <f t="array" ref="H7">INDEX(SNAMEC[],MATCH(1,($I$1=SNAMEC[DIST])*(H$4=SNAMEC[FiscalYear]),0),MATCH($L7,SNAMEC[#Headers],0))</f>
        <v>#N/A</v>
      </c>
      <c r="I7" s="366" t="e">
        <f t="array" ref="I7">INDEX(SNAMEC[],MATCH(1,($I$1=SNAMEC[DIST])*(I$4=SNAMEC[FiscalYear]),0),MATCH($L7,SNAMEC[#Headers],0))</f>
        <v>#N/A</v>
      </c>
      <c r="J7" s="372" t="e">
        <f>AidLevy!B134</f>
        <v>#N/A</v>
      </c>
      <c r="K7" s="801" t="e">
        <f t="array" ref="K7">INDEX(SNAMEC[],MATCH(1,($I$1=SNAMEC[DIST])*(K$4=SNAMEC[FiscalYear]),0),MATCH($L7,SNAMEC[#Headers],0))</f>
        <v>#N/A</v>
      </c>
      <c r="L7" s="803" t="s">
        <v>1973</v>
      </c>
    </row>
    <row r="8" spans="1:12" ht="13.7" customHeight="1" x14ac:dyDescent="0.2">
      <c r="A8" s="368">
        <v>4</v>
      </c>
      <c r="B8" s="369" t="s">
        <v>4</v>
      </c>
      <c r="C8" s="370" t="s">
        <v>1629</v>
      </c>
      <c r="D8" s="360" t="s">
        <v>627</v>
      </c>
      <c r="E8" s="360" t="s">
        <v>1424</v>
      </c>
      <c r="F8" s="366" t="e">
        <f t="array" ref="F8">INDEX(SNAMEC[],MATCH(1,($I$1=SNAMEC[DIST])*(F$4=SNAMEC[FiscalYear]),0),MATCH($L8,SNAMEC[#Headers],0))</f>
        <v>#N/A</v>
      </c>
      <c r="G8" s="366" t="e">
        <f t="array" ref="G8">INDEX(SNAMEC[],MATCH(1,($I$1=SNAMEC[DIST])*(G$4=SNAMEC[FiscalYear]),0),MATCH($L8,SNAMEC[#Headers],0))</f>
        <v>#N/A</v>
      </c>
      <c r="H8" s="366" t="e">
        <f t="array" ref="H8">INDEX(SNAMEC[],MATCH(1,($I$1=SNAMEC[DIST])*(H$4=SNAMEC[FiscalYear]),0),MATCH($L8,SNAMEC[#Headers],0))</f>
        <v>#N/A</v>
      </c>
      <c r="I8" s="366" t="e">
        <f t="array" ref="I8">INDEX(SNAMEC[],MATCH(1,($I$1=SNAMEC[DIST])*(I$4=SNAMEC[FiscalYear]),0),MATCH($L8,SNAMEC[#Headers],0))</f>
        <v>#N/A</v>
      </c>
      <c r="J8" s="372" t="e">
        <f>AidLevy!B135</f>
        <v>#N/A</v>
      </c>
      <c r="K8" s="801" t="e">
        <f t="array" ref="K8">INDEX(SNAMEC[],MATCH(1,($I$1=SNAMEC[DIST])*(K$4=SNAMEC[FiscalYear]),0),MATCH($L8,SNAMEC[#Headers],0))</f>
        <v>#N/A</v>
      </c>
      <c r="L8" s="803" t="s">
        <v>1974</v>
      </c>
    </row>
    <row r="9" spans="1:12" ht="13.7" customHeight="1" x14ac:dyDescent="0.2">
      <c r="A9" s="368">
        <v>5</v>
      </c>
      <c r="B9" s="369" t="s">
        <v>4</v>
      </c>
      <c r="C9" s="370" t="s">
        <v>1630</v>
      </c>
      <c r="D9" s="360" t="s">
        <v>1222</v>
      </c>
      <c r="E9" s="360" t="s">
        <v>1424</v>
      </c>
      <c r="F9" s="366" t="e">
        <f t="array" ref="F9">INDEX(SNAMEC[],MATCH(1,($I$1=SNAMEC[DIST])*(F$4=SNAMEC[FiscalYear]),0),MATCH($L9,SNAMEC[#Headers],0))</f>
        <v>#N/A</v>
      </c>
      <c r="G9" s="366" t="e">
        <f t="array" ref="G9">INDEX(SNAMEC[],MATCH(1,($I$1=SNAMEC[DIST])*(G$4=SNAMEC[FiscalYear]),0),MATCH($L9,SNAMEC[#Headers],0))</f>
        <v>#N/A</v>
      </c>
      <c r="H9" s="366" t="e">
        <f t="array" ref="H9">INDEX(SNAMEC[],MATCH(1,($I$1=SNAMEC[DIST])*(H$4=SNAMEC[FiscalYear]),0),MATCH($L9,SNAMEC[#Headers],0))</f>
        <v>#N/A</v>
      </c>
      <c r="I9" s="366" t="e">
        <f t="array" ref="I9">INDEX(SNAMEC[],MATCH(1,($I$1=SNAMEC[DIST])*(I$4=SNAMEC[FiscalYear]),0),MATCH($L9,SNAMEC[#Headers],0))</f>
        <v>#N/A</v>
      </c>
      <c r="J9" s="372" t="e">
        <f>AidLevy!B136</f>
        <v>#N/A</v>
      </c>
      <c r="K9" s="801" t="e">
        <f t="array" ref="K9">INDEX(SNAMEC[],MATCH(1,($I$1=SNAMEC[DIST])*(K$4=SNAMEC[FiscalYear]),0),MATCH($L9,SNAMEC[#Headers],0))</f>
        <v>#N/A</v>
      </c>
      <c r="L9" s="803" t="s">
        <v>1975</v>
      </c>
    </row>
    <row r="10" spans="1:12" ht="13.7" customHeight="1" x14ac:dyDescent="0.2">
      <c r="A10" s="368">
        <v>6</v>
      </c>
      <c r="B10" s="369" t="s">
        <v>4</v>
      </c>
      <c r="C10" s="370" t="s">
        <v>1631</v>
      </c>
      <c r="D10" s="360" t="s">
        <v>1223</v>
      </c>
      <c r="E10" s="360" t="s">
        <v>1424</v>
      </c>
      <c r="F10" s="366" t="e">
        <f t="array" ref="F10">INDEX(SNAMEC[],MATCH(1,($I$1=SNAMEC[DIST])*(F$4=SNAMEC[FiscalYear]),0),MATCH($L10,SNAMEC[#Headers],0))</f>
        <v>#N/A</v>
      </c>
      <c r="G10" s="366" t="e">
        <f t="array" ref="G10">INDEX(SNAMEC[],MATCH(1,($I$1=SNAMEC[DIST])*(G$4=SNAMEC[FiscalYear]),0),MATCH($L10,SNAMEC[#Headers],0))</f>
        <v>#N/A</v>
      </c>
      <c r="H10" s="366" t="e">
        <f t="array" ref="H10">INDEX(SNAMEC[],MATCH(1,($I$1=SNAMEC[DIST])*(H$4=SNAMEC[FiscalYear]),0),MATCH($L10,SNAMEC[#Headers],0))</f>
        <v>#N/A</v>
      </c>
      <c r="I10" s="366" t="e">
        <f t="array" ref="I10">INDEX(SNAMEC[],MATCH(1,($I$1=SNAMEC[DIST])*(I$4=SNAMEC[FiscalYear]),0),MATCH($L10,SNAMEC[#Headers],0))</f>
        <v>#N/A</v>
      </c>
      <c r="J10" s="372" t="e">
        <f>AidLevy!B137</f>
        <v>#N/A</v>
      </c>
      <c r="K10" s="801" t="e">
        <f t="array" ref="K10">INDEX(SNAMEC[],MATCH(1,($I$1=SNAMEC[DIST])*(K$4=SNAMEC[FiscalYear]),0),MATCH($L10,SNAMEC[#Headers],0))</f>
        <v>#N/A</v>
      </c>
      <c r="L10" s="803" t="s">
        <v>1976</v>
      </c>
    </row>
    <row r="11" spans="1:12" ht="13.7" customHeight="1" x14ac:dyDescent="0.2">
      <c r="A11" s="368">
        <v>7</v>
      </c>
      <c r="B11" s="369" t="s">
        <v>4</v>
      </c>
      <c r="C11" s="370" t="s">
        <v>1632</v>
      </c>
      <c r="D11" s="360" t="s">
        <v>1224</v>
      </c>
      <c r="E11" s="360" t="s">
        <v>1424</v>
      </c>
      <c r="F11" s="366" t="e">
        <f t="array" ref="F11">INDEX(SNAMEC[],MATCH(1,($I$1=SNAMEC[DIST])*(F$4=SNAMEC[FiscalYear]),0),MATCH($L11,SNAMEC[#Headers],0))</f>
        <v>#N/A</v>
      </c>
      <c r="G11" s="366" t="e">
        <f t="array" ref="G11">INDEX(SNAMEC[],MATCH(1,($I$1=SNAMEC[DIST])*(G$4=SNAMEC[FiscalYear]),0),MATCH($L11,SNAMEC[#Headers],0))</f>
        <v>#N/A</v>
      </c>
      <c r="H11" s="366" t="e">
        <f t="array" ref="H11">INDEX(SNAMEC[],MATCH(1,($I$1=SNAMEC[DIST])*(H$4=SNAMEC[FiscalYear]),0),MATCH($L11,SNAMEC[#Headers],0))</f>
        <v>#N/A</v>
      </c>
      <c r="I11" s="366" t="e">
        <f t="array" ref="I11">INDEX(SNAMEC[],MATCH(1,($I$1=SNAMEC[DIST])*(I$4=SNAMEC[FiscalYear]),0),MATCH($L11,SNAMEC[#Headers],0))</f>
        <v>#N/A</v>
      </c>
      <c r="J11" s="372" t="e">
        <f>AidLevy!B138</f>
        <v>#N/A</v>
      </c>
      <c r="K11" s="801" t="e">
        <f t="array" ref="K11">INDEX(SNAMEC[],MATCH(1,($I$1=SNAMEC[DIST])*(K$4=SNAMEC[FiscalYear]),0),MATCH($L11,SNAMEC[#Headers],0))</f>
        <v>#N/A</v>
      </c>
      <c r="L11" s="803" t="s">
        <v>1977</v>
      </c>
    </row>
    <row r="12" spans="1:12" ht="13.7" customHeight="1" x14ac:dyDescent="0.2">
      <c r="A12" s="368">
        <v>8</v>
      </c>
      <c r="B12" s="369" t="s">
        <v>4</v>
      </c>
      <c r="C12" s="370" t="s">
        <v>1713</v>
      </c>
      <c r="D12" s="13" t="s">
        <v>1721</v>
      </c>
      <c r="E12" s="360" t="s">
        <v>1424</v>
      </c>
      <c r="F12" s="366" t="e">
        <f t="array" ref="F12">INDEX(SNAMEC[],MATCH(1,($I$1=SNAMEC[DIST])*(F$4=SNAMEC[FiscalYear]),0),MATCH($L12,SNAMEC[#Headers],0))</f>
        <v>#N/A</v>
      </c>
      <c r="G12" s="366" t="e">
        <f t="array" ref="G12">INDEX(SNAMEC[],MATCH(1,($I$1=SNAMEC[DIST])*(G$4=SNAMEC[FiscalYear]),0),MATCH($L12,SNAMEC[#Headers],0))</f>
        <v>#N/A</v>
      </c>
      <c r="H12" s="366" t="e">
        <f t="array" ref="H12">INDEX(SNAMEC[],MATCH(1,($I$1=SNAMEC[DIST])*(H$4=SNAMEC[FiscalYear]),0),MATCH($L12,SNAMEC[#Headers],0))</f>
        <v>#N/A</v>
      </c>
      <c r="I12" s="366" t="e">
        <f t="array" ref="I12">INDEX(SNAMEC[],MATCH(1,($I$1=SNAMEC[DIST])*(I$4=SNAMEC[FiscalYear]),0),MATCH($L12,SNAMEC[#Headers],0))</f>
        <v>#N/A</v>
      </c>
      <c r="J12" s="372" t="e">
        <f>AidLevy!B139</f>
        <v>#N/A</v>
      </c>
      <c r="K12" s="801" t="e">
        <f t="array" ref="K12">INDEX(SNAMEC[],MATCH(1,($I$1=SNAMEC[DIST])*(K$4=SNAMEC[FiscalYear]),0),MATCH($L12,SNAMEC[#Headers],0))</f>
        <v>#N/A</v>
      </c>
      <c r="L12" s="803" t="s">
        <v>1978</v>
      </c>
    </row>
    <row r="13" spans="1:12" ht="13.7" customHeight="1" x14ac:dyDescent="0.2">
      <c r="A13" s="368">
        <v>9</v>
      </c>
      <c r="B13" s="369" t="s">
        <v>4</v>
      </c>
      <c r="C13" s="370" t="s">
        <v>1714</v>
      </c>
      <c r="D13" s="360" t="s">
        <v>1225</v>
      </c>
      <c r="E13" s="360" t="s">
        <v>1424</v>
      </c>
      <c r="F13" s="366" t="e">
        <f t="array" ref="F13">INDEX(SNAMEC[],MATCH(1,($I$1=SNAMEC[DIST])*(F$4=SNAMEC[FiscalYear]),0),MATCH($L13,SNAMEC[#Headers],0))</f>
        <v>#N/A</v>
      </c>
      <c r="G13" s="366" t="e">
        <f t="array" ref="G13">INDEX(SNAMEC[],MATCH(1,($I$1=SNAMEC[DIST])*(G$4=SNAMEC[FiscalYear]),0),MATCH($L13,SNAMEC[#Headers],0))</f>
        <v>#N/A</v>
      </c>
      <c r="H13" s="366" t="e">
        <f t="array" ref="H13">INDEX(SNAMEC[],MATCH(1,($I$1=SNAMEC[DIST])*(H$4=SNAMEC[FiscalYear]),0),MATCH($L13,SNAMEC[#Headers],0))</f>
        <v>#N/A</v>
      </c>
      <c r="I13" s="366" t="e">
        <f t="array" ref="I13">INDEX(SNAMEC[],MATCH(1,($I$1=SNAMEC[DIST])*(I$4=SNAMEC[FiscalYear]),0),MATCH($L13,SNAMEC[#Headers],0))</f>
        <v>#N/A</v>
      </c>
      <c r="J13" s="372" t="e">
        <f>AidLevy!B140</f>
        <v>#N/A</v>
      </c>
      <c r="K13" s="801" t="e">
        <f t="array" ref="K13">INDEX(SNAMEC[],MATCH(1,($I$1=SNAMEC[DIST])*(K$4=SNAMEC[FiscalYear]),0),MATCH($L13,SNAMEC[#Headers],0))</f>
        <v>#N/A</v>
      </c>
      <c r="L13" s="803" t="s">
        <v>1979</v>
      </c>
    </row>
    <row r="14" spans="1:12" ht="13.7" customHeight="1" x14ac:dyDescent="0.2">
      <c r="A14" s="368">
        <v>10</v>
      </c>
      <c r="B14" s="369" t="s">
        <v>4</v>
      </c>
      <c r="C14" s="370" t="s">
        <v>1715</v>
      </c>
      <c r="D14" s="360" t="s">
        <v>1226</v>
      </c>
      <c r="E14" s="360" t="s">
        <v>1424</v>
      </c>
      <c r="F14" s="366" t="e">
        <f t="array" ref="F14">INDEX(SNAMEC[],MATCH(1,($I$1=SNAMEC[DIST])*(F$4=SNAMEC[FiscalYear]),0),MATCH($L14,SNAMEC[#Headers],0))</f>
        <v>#N/A</v>
      </c>
      <c r="G14" s="366" t="e">
        <f t="array" ref="G14">INDEX(SNAMEC[],MATCH(1,($I$1=SNAMEC[DIST])*(G$4=SNAMEC[FiscalYear]),0),MATCH($L14,SNAMEC[#Headers],0))</f>
        <v>#N/A</v>
      </c>
      <c r="H14" s="366" t="e">
        <f t="array" ref="H14">INDEX(SNAMEC[],MATCH(1,($I$1=SNAMEC[DIST])*(H$4=SNAMEC[FiscalYear]),0),MATCH($L14,SNAMEC[#Headers],0))</f>
        <v>#N/A</v>
      </c>
      <c r="I14" s="366" t="e">
        <f t="array" ref="I14">INDEX(SNAMEC[],MATCH(1,($I$1=SNAMEC[DIST])*(I$4=SNAMEC[FiscalYear]),0),MATCH($L14,SNAMEC[#Headers],0))</f>
        <v>#N/A</v>
      </c>
      <c r="J14" s="372" t="e">
        <f>AidLevy!B141</f>
        <v>#N/A</v>
      </c>
      <c r="K14" s="801" t="e">
        <f t="array" ref="K14">INDEX(SNAMEC[],MATCH(1,($I$1=SNAMEC[DIST])*(K$4=SNAMEC[FiscalYear]),0),MATCH($L14,SNAMEC[#Headers],0))</f>
        <v>#N/A</v>
      </c>
      <c r="L14" s="803" t="s">
        <v>1980</v>
      </c>
    </row>
    <row r="15" spans="1:12" ht="13.7" customHeight="1" x14ac:dyDescent="0.2">
      <c r="A15" s="368">
        <v>11</v>
      </c>
      <c r="B15" s="369" t="s">
        <v>4</v>
      </c>
      <c r="C15" s="370" t="s">
        <v>1716</v>
      </c>
      <c r="D15" s="360" t="s">
        <v>1227</v>
      </c>
      <c r="E15" s="360" t="s">
        <v>1424</v>
      </c>
      <c r="F15" s="366" t="e">
        <f t="array" ref="F15">INDEX(SNAMEC[],MATCH(1,($I$1=SNAMEC[DIST])*(F$4=SNAMEC[FiscalYear]),0),MATCH($L15,SNAMEC[#Headers],0))</f>
        <v>#N/A</v>
      </c>
      <c r="G15" s="366" t="e">
        <f t="array" ref="G15">INDEX(SNAMEC[],MATCH(1,($I$1=SNAMEC[DIST])*(G$4=SNAMEC[FiscalYear]),0),MATCH($L15,SNAMEC[#Headers],0))</f>
        <v>#N/A</v>
      </c>
      <c r="H15" s="366" t="e">
        <f t="array" ref="H15">INDEX(SNAMEC[],MATCH(1,($I$1=SNAMEC[DIST])*(H$4=SNAMEC[FiscalYear]),0),MATCH($L15,SNAMEC[#Headers],0))</f>
        <v>#N/A</v>
      </c>
      <c r="I15" s="366" t="e">
        <f t="array" ref="I15">INDEX(SNAMEC[],MATCH(1,($I$1=SNAMEC[DIST])*(I$4=SNAMEC[FiscalYear]),0),MATCH($L15,SNAMEC[#Headers],0))</f>
        <v>#N/A</v>
      </c>
      <c r="J15" s="372" t="e">
        <f>AidLevy!B142</f>
        <v>#N/A</v>
      </c>
      <c r="K15" s="801" t="e">
        <f t="array" ref="K15">INDEX(SNAMEC[],MATCH(1,($I$1=SNAMEC[DIST])*(K$4=SNAMEC[FiscalYear]),0),MATCH($L15,SNAMEC[#Headers],0))</f>
        <v>#N/A</v>
      </c>
      <c r="L15" s="803" t="s">
        <v>1981</v>
      </c>
    </row>
    <row r="16" spans="1:12" ht="13.7" customHeight="1" x14ac:dyDescent="0.2">
      <c r="A16" s="368">
        <v>12</v>
      </c>
      <c r="B16" s="369" t="s">
        <v>4</v>
      </c>
      <c r="C16" s="370" t="s">
        <v>1717</v>
      </c>
      <c r="D16" s="360" t="s">
        <v>1228</v>
      </c>
      <c r="E16" s="360" t="s">
        <v>1424</v>
      </c>
      <c r="F16" s="366" t="e">
        <f t="array" ref="F16">INDEX(SNAMEC[],MATCH(1,($I$1=SNAMEC[DIST])*(F$4=SNAMEC[FiscalYear]),0),MATCH($L16,SNAMEC[#Headers],0))</f>
        <v>#N/A</v>
      </c>
      <c r="G16" s="366" t="e">
        <f t="array" ref="G16">INDEX(SNAMEC[],MATCH(1,($I$1=SNAMEC[DIST])*(G$4=SNAMEC[FiscalYear]),0),MATCH($L16,SNAMEC[#Headers],0))</f>
        <v>#N/A</v>
      </c>
      <c r="H16" s="366" t="e">
        <f t="array" ref="H16">INDEX(SNAMEC[],MATCH(1,($I$1=SNAMEC[DIST])*(H$4=SNAMEC[FiscalYear]),0),MATCH($L16,SNAMEC[#Headers],0))</f>
        <v>#N/A</v>
      </c>
      <c r="I16" s="366" t="e">
        <f t="array" ref="I16">INDEX(SNAMEC[],MATCH(1,($I$1=SNAMEC[DIST])*(I$4=SNAMEC[FiscalYear]),0),MATCH($L16,SNAMEC[#Headers],0))</f>
        <v>#N/A</v>
      </c>
      <c r="J16" s="372" t="e">
        <f>AidLevy!B143</f>
        <v>#N/A</v>
      </c>
      <c r="K16" s="801" t="e">
        <f t="array" ref="K16">INDEX(SNAMEC[],MATCH(1,($I$1=SNAMEC[DIST])*(K$4=SNAMEC[FiscalYear]),0),MATCH($L16,SNAMEC[#Headers],0))</f>
        <v>#N/A</v>
      </c>
      <c r="L16" s="803" t="s">
        <v>1982</v>
      </c>
    </row>
    <row r="17" spans="1:12" ht="13.7" customHeight="1" x14ac:dyDescent="0.2">
      <c r="A17" s="368">
        <v>13</v>
      </c>
      <c r="B17" s="369" t="s">
        <v>4</v>
      </c>
      <c r="C17" s="370" t="s">
        <v>1633</v>
      </c>
      <c r="D17" s="360" t="s">
        <v>1367</v>
      </c>
      <c r="E17" s="360" t="s">
        <v>1424</v>
      </c>
      <c r="F17" s="366" t="e">
        <f t="array" ref="F17">INDEX(SNAMEC[],MATCH(1,($I$1=SNAMEC[DIST])*(F$4=SNAMEC[FiscalYear]),0),MATCH($L17,SNAMEC[#Headers],0))</f>
        <v>#N/A</v>
      </c>
      <c r="G17" s="366" t="e">
        <f t="array" ref="G17">INDEX(SNAMEC[],MATCH(1,($I$1=SNAMEC[DIST])*(G$4=SNAMEC[FiscalYear]),0),MATCH($L17,SNAMEC[#Headers],0))</f>
        <v>#N/A</v>
      </c>
      <c r="H17" s="366" t="e">
        <f t="array" ref="H17">INDEX(SNAMEC[],MATCH(1,($I$1=SNAMEC[DIST])*(H$4=SNAMEC[FiscalYear]),0),MATCH($L17,SNAMEC[#Headers],0))</f>
        <v>#N/A</v>
      </c>
      <c r="I17" s="366" t="e">
        <f t="array" ref="I17">INDEX(SNAMEC[],MATCH(1,($I$1=SNAMEC[DIST])*(I$4=SNAMEC[FiscalYear]),0),MATCH($L17,SNAMEC[#Headers],0))</f>
        <v>#N/A</v>
      </c>
      <c r="J17" s="372" t="e">
        <f>AidLevy!B144</f>
        <v>#N/A</v>
      </c>
      <c r="K17" s="801" t="e">
        <f t="array" ref="K17">INDEX(SNAMEC[],MATCH(1,($I$1=SNAMEC[DIST])*(K$4=SNAMEC[FiscalYear]),0),MATCH($L17,SNAMEC[#Headers],0))</f>
        <v>#N/A</v>
      </c>
      <c r="L17" s="803" t="s">
        <v>1983</v>
      </c>
    </row>
    <row r="18" spans="1:12" ht="13.7" customHeight="1" x14ac:dyDescent="0.2">
      <c r="A18" s="368">
        <v>14</v>
      </c>
      <c r="B18" s="369" t="s">
        <v>4</v>
      </c>
      <c r="C18" s="370" t="s">
        <v>1634</v>
      </c>
      <c r="D18" s="360" t="s">
        <v>1229</v>
      </c>
      <c r="E18" s="360" t="s">
        <v>1424</v>
      </c>
      <c r="F18" s="366" t="e">
        <f t="array" ref="F18">INDEX(SNAMEC[],MATCH(1,($I$1=SNAMEC[DIST])*(F$4=SNAMEC[FiscalYear]),0),MATCH($L18,SNAMEC[#Headers],0))</f>
        <v>#N/A</v>
      </c>
      <c r="G18" s="366" t="e">
        <f t="array" ref="G18">INDEX(SNAMEC[],MATCH(1,($I$1=SNAMEC[DIST])*(G$4=SNAMEC[FiscalYear]),0),MATCH($L18,SNAMEC[#Headers],0))</f>
        <v>#N/A</v>
      </c>
      <c r="H18" s="366" t="e">
        <f t="array" ref="H18">INDEX(SNAMEC[],MATCH(1,($I$1=SNAMEC[DIST])*(H$4=SNAMEC[FiscalYear]),0),MATCH($L18,SNAMEC[#Headers],0))</f>
        <v>#N/A</v>
      </c>
      <c r="I18" s="366" t="e">
        <f t="array" ref="I18">INDEX(SNAMEC[],MATCH(1,($I$1=SNAMEC[DIST])*(I$4=SNAMEC[FiscalYear]),0),MATCH($L18,SNAMEC[#Headers],0))</f>
        <v>#N/A</v>
      </c>
      <c r="J18" s="372" t="e">
        <f>AidLevy!B145</f>
        <v>#N/A</v>
      </c>
      <c r="K18" s="801" t="e">
        <f t="array" ref="K18">INDEX(SNAMEC[],MATCH(1,($I$1=SNAMEC[DIST])*(K$4=SNAMEC[FiscalYear]),0),MATCH($L18,SNAMEC[#Headers],0))</f>
        <v>#N/A</v>
      </c>
      <c r="L18" s="803" t="s">
        <v>1984</v>
      </c>
    </row>
    <row r="19" spans="1:12" ht="13.7" customHeight="1" x14ac:dyDescent="0.2">
      <c r="A19" s="368">
        <v>15</v>
      </c>
      <c r="B19" s="369" t="s">
        <v>4</v>
      </c>
      <c r="C19" s="370" t="s">
        <v>1718</v>
      </c>
      <c r="D19" s="360" t="s">
        <v>1231</v>
      </c>
      <c r="E19" s="360" t="s">
        <v>1424</v>
      </c>
      <c r="F19" s="366" t="e">
        <f t="array" ref="F19">INDEX(SNAMEC[],MATCH(1,($I$1=SNAMEC[DIST])*(F$4=SNAMEC[FiscalYear]),0),MATCH($L19,SNAMEC[#Headers],0))</f>
        <v>#N/A</v>
      </c>
      <c r="G19" s="366" t="e">
        <f t="array" ref="G19">INDEX(SNAMEC[],MATCH(1,($I$1=SNAMEC[DIST])*(G$4=SNAMEC[FiscalYear]),0),MATCH($L19,SNAMEC[#Headers],0))</f>
        <v>#N/A</v>
      </c>
      <c r="H19" s="366" t="e">
        <f t="array" ref="H19">INDEX(SNAMEC[],MATCH(1,($I$1=SNAMEC[DIST])*(H$4=SNAMEC[FiscalYear]),0),MATCH($L19,SNAMEC[#Headers],0))</f>
        <v>#N/A</v>
      </c>
      <c r="I19" s="366" t="e">
        <f t="array" ref="I19">INDEX(SNAMEC[],MATCH(1,($I$1=SNAMEC[DIST])*(I$4=SNAMEC[FiscalYear]),0),MATCH($L19,SNAMEC[#Headers],0))</f>
        <v>#N/A</v>
      </c>
      <c r="J19" s="372" t="e">
        <f>AidLevy!B146</f>
        <v>#N/A</v>
      </c>
      <c r="K19" s="801" t="e">
        <f t="array" ref="K19">INDEX(SNAMEC[],MATCH(1,($I$1=SNAMEC[DIST])*(K$4=SNAMEC[FiscalYear]),0),MATCH($L19,SNAMEC[#Headers],0))</f>
        <v>#N/A</v>
      </c>
      <c r="L19" s="803" t="s">
        <v>1985</v>
      </c>
    </row>
    <row r="20" spans="1:12" ht="13.7" customHeight="1" x14ac:dyDescent="0.2">
      <c r="A20" s="368">
        <v>16</v>
      </c>
      <c r="B20" s="369" t="s">
        <v>6</v>
      </c>
      <c r="C20" s="370" t="s">
        <v>1473</v>
      </c>
      <c r="D20" s="13" t="s">
        <v>1739</v>
      </c>
      <c r="E20" s="360" t="s">
        <v>1424</v>
      </c>
      <c r="F20" s="366" t="e">
        <f t="array" ref="F20">INDEX(SNAMEC[],MATCH(1,($I$1=SNAMEC[DIST])*(F$4=SNAMEC[FiscalYear]),0),MATCH($L20,SNAMEC[#Headers],0))</f>
        <v>#N/A</v>
      </c>
      <c r="G20" s="366" t="e">
        <f t="array" ref="G20">INDEX(SNAMEC[],MATCH(1,($I$1=SNAMEC[DIST])*(G$4=SNAMEC[FiscalYear]),0),MATCH($L20,SNAMEC[#Headers],0))</f>
        <v>#N/A</v>
      </c>
      <c r="H20" s="366" t="e">
        <f t="array" ref="H20">INDEX(SNAMEC[],MATCH(1,($I$1=SNAMEC[DIST])*(H$4=SNAMEC[FiscalYear]),0),MATCH($L20,SNAMEC[#Headers],0))</f>
        <v>#N/A</v>
      </c>
      <c r="I20" s="366" t="e">
        <f t="array" ref="I20">INDEX(SNAMEC[],MATCH(1,($I$1=SNAMEC[DIST])*(I$4=SNAMEC[FiscalYear]),0),MATCH($L20,SNAMEC[#Headers],0))</f>
        <v>#N/A</v>
      </c>
      <c r="J20" s="372">
        <f>AidLevy!B148</f>
        <v>0</v>
      </c>
      <c r="K20" s="801" t="e">
        <f t="array" ref="K20">INDEX(SNAMEC[],MATCH(1,($I$1=SNAMEC[DIST])*(K$4=SNAMEC[FiscalYear]),0),MATCH($L20,SNAMEC[#Headers],0))</f>
        <v>#N/A</v>
      </c>
      <c r="L20" s="803" t="s">
        <v>1986</v>
      </c>
    </row>
    <row r="21" spans="1:12" ht="13.7" customHeight="1" x14ac:dyDescent="0.2">
      <c r="A21" s="368">
        <v>17</v>
      </c>
      <c r="B21" s="369" t="s">
        <v>6</v>
      </c>
      <c r="C21" s="370" t="s">
        <v>663</v>
      </c>
      <c r="D21" s="13" t="s">
        <v>1618</v>
      </c>
      <c r="E21" s="360" t="s">
        <v>1424</v>
      </c>
      <c r="F21" s="366" t="e">
        <f t="array" ref="F21">INDEX(SNAMEC[],MATCH(1,($I$1=SNAMEC[DIST])*(F$4=SNAMEC[FiscalYear]),0),MATCH($L21,SNAMEC[#Headers],0))</f>
        <v>#N/A</v>
      </c>
      <c r="G21" s="366" t="e">
        <f t="array" ref="G21">INDEX(SNAMEC[],MATCH(1,($I$1=SNAMEC[DIST])*(G$4=SNAMEC[FiscalYear]),0),MATCH($L21,SNAMEC[#Headers],0))</f>
        <v>#N/A</v>
      </c>
      <c r="H21" s="366" t="e">
        <f t="array" ref="H21">INDEX(SNAMEC[],MATCH(1,($I$1=SNAMEC[DIST])*(H$4=SNAMEC[FiscalYear]),0),MATCH($L21,SNAMEC[#Headers],0))</f>
        <v>#N/A</v>
      </c>
      <c r="I21" s="689">
        <v>0</v>
      </c>
      <c r="J21" s="689">
        <v>0</v>
      </c>
      <c r="K21" s="801" t="e">
        <f t="array" ref="K21">INDEX(SNAMEC[],MATCH(1,($I$1=SNAMEC[DIST])*(K$4=SNAMEC[FiscalYear]),0),MATCH($L21,SNAMEC[#Headers],0))</f>
        <v>#N/A</v>
      </c>
      <c r="L21" s="803" t="s">
        <v>1987</v>
      </c>
    </row>
    <row r="22" spans="1:12" ht="13.7" customHeight="1" x14ac:dyDescent="0.2">
      <c r="A22" s="368">
        <v>18</v>
      </c>
      <c r="B22" s="369" t="s">
        <v>6</v>
      </c>
      <c r="C22" s="370" t="s">
        <v>663</v>
      </c>
      <c r="D22" s="13" t="s">
        <v>1619</v>
      </c>
      <c r="E22" s="360" t="s">
        <v>1424</v>
      </c>
      <c r="F22" s="366" t="e">
        <f t="array" ref="F22">INDEX(SNAMEC[],MATCH(1,($I$1=SNAMEC[DIST])*(F$4=SNAMEC[FiscalYear]),0),MATCH($L22,SNAMEC[#Headers],0))</f>
        <v>#N/A</v>
      </c>
      <c r="G22" s="366" t="e">
        <f t="array" ref="G22">INDEX(SNAMEC[],MATCH(1,($I$1=SNAMEC[DIST])*(G$4=SNAMEC[FiscalYear]),0),MATCH($L22,SNAMEC[#Headers],0))</f>
        <v>#N/A</v>
      </c>
      <c r="H22" s="366" t="e">
        <f t="array" ref="H22">INDEX(SNAMEC[],MATCH(1,($I$1=SNAMEC[DIST])*(H$4=SNAMEC[FiscalYear]),0),MATCH($L22,SNAMEC[#Headers],0))</f>
        <v>#N/A</v>
      </c>
      <c r="I22" s="689">
        <v>0</v>
      </c>
      <c r="J22" s="689">
        <v>0</v>
      </c>
      <c r="K22" s="801" t="e">
        <f t="array" ref="K22">INDEX(SNAMEC[],MATCH(1,($I$1=SNAMEC[DIST])*(K$4=SNAMEC[FiscalYear]),0),MATCH($L22,SNAMEC[#Headers],0))</f>
        <v>#N/A</v>
      </c>
      <c r="L22" s="803" t="s">
        <v>1988</v>
      </c>
    </row>
    <row r="23" spans="1:12" ht="13.7" customHeight="1" x14ac:dyDescent="0.2">
      <c r="A23" s="368">
        <v>19</v>
      </c>
      <c r="B23" s="369" t="s">
        <v>663</v>
      </c>
      <c r="C23" s="370" t="s">
        <v>1232</v>
      </c>
      <c r="D23" s="13" t="s">
        <v>1738</v>
      </c>
      <c r="E23" s="360" t="s">
        <v>1424</v>
      </c>
      <c r="F23" s="366" t="e">
        <f t="array" ref="F23">INDEX(SNAMEC[],MATCH(1,($I$1=SNAMEC[DIST])*(F$4=SNAMEC[FiscalYear]),0),MATCH($L23,SNAMEC[#Headers],0))</f>
        <v>#N/A</v>
      </c>
      <c r="G23" s="366" t="e">
        <f t="array" ref="G23">INDEX(SNAMEC[],MATCH(1,($I$1=SNAMEC[DIST])*(G$4=SNAMEC[FiscalYear]),0),MATCH($L23,SNAMEC[#Headers],0))</f>
        <v>#N/A</v>
      </c>
      <c r="H23" s="366" t="e">
        <f t="array" ref="H23">INDEX(SNAMEC[],MATCH(1,($I$1=SNAMEC[DIST])*(H$4=SNAMEC[FiscalYear]),0),MATCH($L23,SNAMEC[#Headers],0))</f>
        <v>#N/A</v>
      </c>
      <c r="I23" s="689">
        <v>0</v>
      </c>
      <c r="J23" s="689">
        <v>0</v>
      </c>
      <c r="K23" s="801" t="e">
        <f t="array" ref="K23">INDEX(SNAMEC[],MATCH(1,($I$1=SNAMEC[DIST])*(K$4=SNAMEC[FiscalYear]),0),MATCH($L23,SNAMEC[#Headers],0))</f>
        <v>#N/A</v>
      </c>
      <c r="L23" s="803" t="s">
        <v>1989</v>
      </c>
    </row>
    <row r="24" spans="1:12" ht="13.7" customHeight="1" x14ac:dyDescent="0.2">
      <c r="A24" s="368">
        <v>20</v>
      </c>
      <c r="B24" s="369" t="s">
        <v>663</v>
      </c>
      <c r="C24" s="370" t="s">
        <v>1232</v>
      </c>
      <c r="D24" s="360" t="s">
        <v>628</v>
      </c>
      <c r="E24" s="360" t="s">
        <v>1451</v>
      </c>
      <c r="F24" s="366" t="e">
        <f t="array" ref="F24">INDEX(SNAMEC[],MATCH(1,($I$1=SNAMEC[DIST])*(F$4=SNAMEC[FiscalYear]),0),MATCH($L24,SNAMEC[#Headers],0))</f>
        <v>#N/A</v>
      </c>
      <c r="G24" s="366" t="e">
        <f t="array" ref="G24">INDEX(SNAMEC[],MATCH(1,($I$1=SNAMEC[DIST])*(G$4=SNAMEC[FiscalYear]),0),MATCH($L24,SNAMEC[#Headers],0))</f>
        <v>#N/A</v>
      </c>
      <c r="H24" s="366" t="e">
        <f t="array" ref="H24">INDEX(SNAMEC[],MATCH(1,($I$1=SNAMEC[DIST])*(H$4=SNAMEC[FiscalYear]),0),MATCH($L24,SNAMEC[#Headers],0))</f>
        <v>#N/A</v>
      </c>
      <c r="I24" s="689">
        <v>0</v>
      </c>
      <c r="J24" s="689">
        <v>0</v>
      </c>
      <c r="K24" s="801" t="e">
        <f t="array" ref="K24">INDEX(SNAMEC[],MATCH(1,($I$1=SNAMEC[DIST])*(K$4=SNAMEC[FiscalYear]),0),MATCH($L24,SNAMEC[#Headers],0))</f>
        <v>#N/A</v>
      </c>
      <c r="L24" s="803" t="s">
        <v>1990</v>
      </c>
    </row>
    <row r="25" spans="1:12" ht="13.7" customHeight="1" x14ac:dyDescent="0.2">
      <c r="A25" s="368">
        <v>21</v>
      </c>
      <c r="B25" s="369" t="s">
        <v>6</v>
      </c>
      <c r="C25" s="370" t="s">
        <v>1232</v>
      </c>
      <c r="D25" s="360" t="s">
        <v>1233</v>
      </c>
      <c r="E25" s="360" t="s">
        <v>1451</v>
      </c>
      <c r="F25" s="366" t="e">
        <f t="array" ref="F25">INDEX(SNAMEC[],MATCH(1,($I$1=SNAMEC[DIST])*(F$4=SNAMEC[FiscalYear]),0),MATCH($L25,SNAMEC[#Headers],0))</f>
        <v>#N/A</v>
      </c>
      <c r="G25" s="366" t="e">
        <f t="array" ref="G25">INDEX(SNAMEC[],MATCH(1,($I$1=SNAMEC[DIST])*(G$4=SNAMEC[FiscalYear]),0),MATCH($L25,SNAMEC[#Headers],0))</f>
        <v>#N/A</v>
      </c>
      <c r="H25" s="366" t="e">
        <f t="array" ref="H25">INDEX(SNAMEC[],MATCH(1,($I$1=SNAMEC[DIST])*(H$4=SNAMEC[FiscalYear]),0),MATCH($L25,SNAMEC[#Headers],0))</f>
        <v>#N/A</v>
      </c>
      <c r="I25" s="689">
        <v>0</v>
      </c>
      <c r="J25" s="689">
        <v>0</v>
      </c>
      <c r="K25" s="801" t="e">
        <f t="array" ref="K25">INDEX(SNAMEC[],MATCH(1,($I$1=SNAMEC[DIST])*(K$4=SNAMEC[FiscalYear]),0),MATCH($L25,SNAMEC[#Headers],0))</f>
        <v>#N/A</v>
      </c>
      <c r="L25" s="803" t="s">
        <v>1991</v>
      </c>
    </row>
    <row r="26" spans="1:12" ht="13.7" customHeight="1" x14ac:dyDescent="0.2">
      <c r="A26" s="368">
        <v>22</v>
      </c>
      <c r="B26" s="369" t="s">
        <v>6</v>
      </c>
      <c r="C26" s="370" t="s">
        <v>663</v>
      </c>
      <c r="D26" s="360" t="s">
        <v>1234</v>
      </c>
      <c r="E26" s="360" t="s">
        <v>1424</v>
      </c>
      <c r="F26" s="366" t="e">
        <f t="array" ref="F26">INDEX(SNAMEC[],MATCH(1,($I$1=SNAMEC[DIST])*(F$4=SNAMEC[FiscalYear]),0),MATCH($L26,SNAMEC[#Headers],0))</f>
        <v>#N/A</v>
      </c>
      <c r="G26" s="366" t="e">
        <f t="array" ref="G26">INDEX(SNAMEC[],MATCH(1,($I$1=SNAMEC[DIST])*(G$4=SNAMEC[FiscalYear]),0),MATCH($L26,SNAMEC[#Headers],0))</f>
        <v>#N/A</v>
      </c>
      <c r="H26" s="366" t="e">
        <f t="array" ref="H26">INDEX(SNAMEC[],MATCH(1,($I$1=SNAMEC[DIST])*(H$4=SNAMEC[FiscalYear]),0),MATCH($L26,SNAMEC[#Headers],0))</f>
        <v>#N/A</v>
      </c>
      <c r="I26" s="689">
        <v>0</v>
      </c>
      <c r="J26" s="689">
        <v>0</v>
      </c>
      <c r="K26" s="801" t="e">
        <f t="array" ref="K26">INDEX(SNAMEC[],MATCH(1,($I$1=SNAMEC[DIST])*(K$4=SNAMEC[FiscalYear]),0),MATCH($L26,SNAMEC[#Headers],0))</f>
        <v>#N/A</v>
      </c>
      <c r="L26" s="803" t="s">
        <v>1992</v>
      </c>
    </row>
    <row r="27" spans="1:12" ht="13.7" customHeight="1" x14ac:dyDescent="0.2">
      <c r="A27" s="368">
        <v>23</v>
      </c>
      <c r="B27" s="369" t="s">
        <v>663</v>
      </c>
      <c r="C27" s="370" t="s">
        <v>663</v>
      </c>
      <c r="D27" s="360" t="s">
        <v>1235</v>
      </c>
      <c r="E27" s="360" t="s">
        <v>1451</v>
      </c>
      <c r="F27" s="366" t="e">
        <f t="array" ref="F27">INDEX(SNAMEC[],MATCH(1,($I$1=SNAMEC[DIST])*(F$4=SNAMEC[FiscalYear]),0),MATCH($L27,SNAMEC[#Headers],0))</f>
        <v>#N/A</v>
      </c>
      <c r="G27" s="366" t="e">
        <f t="array" ref="G27">INDEX(SNAMEC[],MATCH(1,($I$1=SNAMEC[DIST])*(G$4=SNAMEC[FiscalYear]),0),MATCH($L27,SNAMEC[#Headers],0))</f>
        <v>#N/A</v>
      </c>
      <c r="H27" s="366" t="e">
        <f t="array" ref="H27">INDEX(SNAMEC[],MATCH(1,($I$1=SNAMEC[DIST])*(H$4=SNAMEC[FiscalYear]),0),MATCH($L27,SNAMEC[#Headers],0))</f>
        <v>#N/A</v>
      </c>
      <c r="I27" s="689">
        <v>0</v>
      </c>
      <c r="J27" s="689">
        <v>0</v>
      </c>
      <c r="K27" s="801" t="e">
        <f t="array" ref="K27">INDEX(SNAMEC[],MATCH(1,($I$1=SNAMEC[DIST])*(K$4=SNAMEC[FiscalYear]),0),MATCH($L27,SNAMEC[#Headers],0))</f>
        <v>#N/A</v>
      </c>
      <c r="L27" s="803" t="s">
        <v>1993</v>
      </c>
    </row>
    <row r="28" spans="1:12" ht="13.7" customHeight="1" x14ac:dyDescent="0.2">
      <c r="A28" s="368">
        <v>24</v>
      </c>
      <c r="B28" s="369" t="s">
        <v>664</v>
      </c>
      <c r="C28" s="370" t="s">
        <v>1719</v>
      </c>
      <c r="D28" s="360" t="s">
        <v>1418</v>
      </c>
      <c r="E28" s="360" t="s">
        <v>1424</v>
      </c>
      <c r="F28" s="366" t="e">
        <f t="array" ref="F28">INDEX(SNAMEC[],MATCH(1,($I$1=SNAMEC[DIST])*(F$4=SNAMEC[FiscalYear]),0),MATCH($L28,SNAMEC[#Headers],0))</f>
        <v>#N/A</v>
      </c>
      <c r="G28" s="366" t="e">
        <f t="array" ref="G28">INDEX(SNAMEC[],MATCH(1,($I$1=SNAMEC[DIST])*(G$4=SNAMEC[FiscalYear]),0),MATCH($L28,SNAMEC[#Headers],0))</f>
        <v>#N/A</v>
      </c>
      <c r="H28" s="366" t="e">
        <f t="array" ref="H28">INDEX(SNAMEC[],MATCH(1,($I$1=SNAMEC[DIST])*(H$4=SNAMEC[FiscalYear]),0),MATCH($L28,SNAMEC[#Headers],0))</f>
        <v>#N/A</v>
      </c>
      <c r="I28" s="366" t="e">
        <f t="array" ref="I28">INDEX(SNAMEC[],MATCH(1,($I$1=SNAMEC[DIST])*(I$4=SNAMEC[FiscalYear]),0),MATCH($L28,SNAMEC[#Headers],0))</f>
        <v>#N/A</v>
      </c>
      <c r="J28" s="372" t="e">
        <f>AidLevy!B149</f>
        <v>#N/A</v>
      </c>
      <c r="K28" s="801" t="e">
        <f t="array" ref="K28">INDEX(SNAMEC[],MATCH(1,($I$1=SNAMEC[DIST])*(K$4=SNAMEC[FiscalYear]),0),MATCH($L28,SNAMEC[#Headers],0))</f>
        <v>#N/A</v>
      </c>
      <c r="L28" s="803" t="s">
        <v>1994</v>
      </c>
    </row>
    <row r="29" spans="1:12" ht="13.7" customHeight="1" x14ac:dyDescent="0.2">
      <c r="A29" s="368">
        <v>25</v>
      </c>
      <c r="B29" s="369" t="s">
        <v>665</v>
      </c>
      <c r="C29" s="370" t="s">
        <v>662</v>
      </c>
      <c r="D29" s="360" t="s">
        <v>1236</v>
      </c>
      <c r="E29" s="360" t="s">
        <v>1451</v>
      </c>
      <c r="F29" s="366" t="e">
        <f t="array" ref="F29">INDEX(SNAMEC[],MATCH(1,($I$1=SNAMEC[DIST])*(F$4=SNAMEC[FiscalYear]),0),MATCH($L29,SNAMEC[#Headers],0))</f>
        <v>#N/A</v>
      </c>
      <c r="G29" s="366" t="e">
        <f t="array" ref="G29">INDEX(SNAMEC[],MATCH(1,($I$1=SNAMEC[DIST])*(G$4=SNAMEC[FiscalYear]),0),MATCH($L29,SNAMEC[#Headers],0))</f>
        <v>#N/A</v>
      </c>
      <c r="H29" s="366" t="e">
        <f t="array" ref="H29">INDEX(SNAMEC[],MATCH(1,($I$1=SNAMEC[DIST])*(H$4=SNAMEC[FiscalYear]),0),MATCH($L29,SNAMEC[#Headers],0))</f>
        <v>#N/A</v>
      </c>
      <c r="I29" s="366" t="e">
        <f t="array" ref="I29">INDEX(SNAMEC[],MATCH(1,($I$1=SNAMEC[DIST])*(I$4=SNAMEC[FiscalYear]),0),MATCH($L29,SNAMEC[#Headers],0))</f>
        <v>#N/A</v>
      </c>
      <c r="J29" s="372" t="e">
        <f>AidLevy!B147</f>
        <v>#N/A</v>
      </c>
      <c r="K29" s="801" t="e">
        <f t="array" ref="K29">INDEX(SNAMEC[],MATCH(1,($I$1=SNAMEC[DIST])*(K$4=SNAMEC[FiscalYear]),0),MATCH($L29,SNAMEC[#Headers],0))</f>
        <v>#N/A</v>
      </c>
      <c r="L29" s="803" t="s">
        <v>1995</v>
      </c>
    </row>
    <row r="30" spans="1:12" ht="13.7" customHeight="1" x14ac:dyDescent="0.2">
      <c r="A30" s="368">
        <v>26</v>
      </c>
      <c r="B30" s="369" t="s">
        <v>665</v>
      </c>
      <c r="C30" s="370" t="s">
        <v>665</v>
      </c>
      <c r="D30" s="360" t="s">
        <v>629</v>
      </c>
      <c r="E30" s="360" t="s">
        <v>1416</v>
      </c>
      <c r="F30" s="685" t="e">
        <f>SUM(F5:F23)-F24-F25+F26-F27+F28-F29</f>
        <v>#N/A</v>
      </c>
      <c r="G30" s="685" t="e">
        <f>SUM(G5:G23)-G24-G25+G26-G27+G28-G29</f>
        <v>#N/A</v>
      </c>
      <c r="H30" s="686" t="e">
        <f>SUM(H5:H23)-H24-H25+H26-H27+H28-H29</f>
        <v>#N/A</v>
      </c>
      <c r="I30" s="686" t="e">
        <f>SUM(I5:I23)-I24-I25+I26-I27+I28-I29</f>
        <v>#N/A</v>
      </c>
      <c r="J30" s="686" t="e">
        <f>SUM(J5:J23)-J24-J25+J26-J27+J28-J29</f>
        <v>#N/A</v>
      </c>
      <c r="K30" s="801" t="e">
        <f t="array" ref="K30">INDEX(SNAMEC[],MATCH(1,($I$1=SNAMEC[DIST])*(K$4=SNAMEC[FiscalYear]),0),MATCH($L30,SNAMEC[#Headers],0))</f>
        <v>#N/A</v>
      </c>
      <c r="L30" s="803" t="s">
        <v>1996</v>
      </c>
    </row>
    <row r="31" spans="1:12" ht="13.7" customHeight="1" x14ac:dyDescent="0.2">
      <c r="A31" s="368">
        <v>27</v>
      </c>
      <c r="B31" s="369" t="s">
        <v>7</v>
      </c>
      <c r="C31" s="370" t="s">
        <v>1720</v>
      </c>
      <c r="D31" s="360" t="s">
        <v>1215</v>
      </c>
      <c r="E31" s="360" t="s">
        <v>1424</v>
      </c>
      <c r="F31" s="366" t="e">
        <f t="array" ref="F31">INDEX(SNAMEC[],MATCH(1,($I$1=SNAMEC[DIST])*(F$4=SNAMEC[FiscalYear]),0),MATCH($L31,SNAMEC[#Headers],0))</f>
        <v>#N/A</v>
      </c>
      <c r="G31" s="366" t="e">
        <f t="array" ref="G31">INDEX(SNAMEC[],MATCH(1,($I$1=SNAMEC[DIST])*(G$4=SNAMEC[FiscalYear]),0),MATCH($L31,SNAMEC[#Headers],0))</f>
        <v>#N/A</v>
      </c>
      <c r="H31" s="366" t="e">
        <f t="array" ref="H31">INDEX(SNAMEC[],MATCH(1,($I$1=SNAMEC[DIST])*(H$4=SNAMEC[FiscalYear]),0),MATCH($L31,SNAMEC[#Headers],0))</f>
        <v>#N/A</v>
      </c>
      <c r="I31" s="366" t="e">
        <f t="array" ref="I31">INDEX(SNAMEC[],MATCH(1,($I$1=SNAMEC[DIST])*(I$4=SNAMEC[FiscalYear]),0),MATCH($L31,SNAMEC[#Headers],0))</f>
        <v>#N/A</v>
      </c>
      <c r="J31" s="372" t="e">
        <f>AidLevy!B210</f>
        <v>#N/A</v>
      </c>
      <c r="K31" s="801" t="e">
        <f t="array" ref="K31">INDEX(SNAMEC[],MATCH(1,($I$1=SNAMEC[DIST])*(K$4=SNAMEC[FiscalYear]),0),MATCH($L31,SNAMEC[#Headers],0))</f>
        <v>#N/A</v>
      </c>
      <c r="L31" s="803" t="s">
        <v>1997</v>
      </c>
    </row>
    <row r="32" spans="1:12" ht="13.7" customHeight="1" x14ac:dyDescent="0.2">
      <c r="A32" s="368">
        <v>28</v>
      </c>
      <c r="B32" s="369" t="s">
        <v>7</v>
      </c>
      <c r="C32" s="370" t="s">
        <v>666</v>
      </c>
      <c r="D32" s="360" t="s">
        <v>631</v>
      </c>
      <c r="E32" s="360" t="s">
        <v>1424</v>
      </c>
      <c r="F32" s="366" t="e">
        <f t="array" ref="F32">INDEX(SNAMEC[],MATCH(1,($I$1=SNAMEC[DIST])*(F$4=SNAMEC[FiscalYear]),0),MATCH($L32,SNAMEC[#Headers],0))</f>
        <v>#N/A</v>
      </c>
      <c r="G32" s="366" t="e">
        <f t="array" ref="G32">INDEX(SNAMEC[],MATCH(1,($I$1=SNAMEC[DIST])*(G$4=SNAMEC[FiscalYear]),0),MATCH($L32,SNAMEC[#Headers],0))</f>
        <v>#N/A</v>
      </c>
      <c r="H32" s="366" t="e">
        <f t="array" ref="H32">INDEX(SNAMEC[],MATCH(1,($I$1=SNAMEC[DIST])*(H$4=SNAMEC[FiscalYear]),0),MATCH($L32,SNAMEC[#Headers],0))</f>
        <v>#N/A</v>
      </c>
      <c r="I32" s="366" t="e">
        <f t="array" ref="I32">INDEX(SNAMEC[],MATCH(1,($I$1=SNAMEC[DIST])*(I$4=SNAMEC[FiscalYear]),0),MATCH($L32,SNAMEC[#Headers],0))</f>
        <v>#N/A</v>
      </c>
      <c r="J32" s="372" t="e">
        <f>AidLevy!B302</f>
        <v>#N/A</v>
      </c>
      <c r="K32" s="801" t="e">
        <f t="array" ref="K32">INDEX(SNAMEC[],MATCH(1,($I$1=SNAMEC[DIST])*(K$4=SNAMEC[FiscalYear]),0),MATCH($L32,SNAMEC[#Headers],0))</f>
        <v>#N/A</v>
      </c>
      <c r="L32" s="803" t="s">
        <v>1998</v>
      </c>
    </row>
    <row r="33" spans="1:12" ht="13.7" customHeight="1" x14ac:dyDescent="0.2">
      <c r="A33" s="368">
        <v>29</v>
      </c>
      <c r="B33" s="369" t="s">
        <v>5</v>
      </c>
      <c r="C33" s="370" t="s">
        <v>667</v>
      </c>
      <c r="D33" s="360" t="s">
        <v>632</v>
      </c>
      <c r="E33" s="360" t="s">
        <v>1424</v>
      </c>
      <c r="F33" s="366" t="e">
        <f t="array" ref="F33">INDEX(SNAMEC[],MATCH(1,($I$1=SNAMEC[DIST])*(F$4=SNAMEC[FiscalYear]),0),MATCH($L33,SNAMEC[#Headers],0))</f>
        <v>#N/A</v>
      </c>
      <c r="G33" s="366" t="e">
        <f t="array" ref="G33">INDEX(SNAMEC[],MATCH(1,($I$1=SNAMEC[DIST])*(G$4=SNAMEC[FiscalYear]),0),MATCH($L33,SNAMEC[#Headers],0))</f>
        <v>#N/A</v>
      </c>
      <c r="H33" s="366" t="e">
        <f t="array" ref="H33">INDEX(SNAMEC[],MATCH(1,($I$1=SNAMEC[DIST])*(H$4=SNAMEC[FiscalYear]),0),MATCH($L33,SNAMEC[#Headers],0))</f>
        <v>#N/A</v>
      </c>
      <c r="I33" s="366" t="e">
        <f t="array" ref="I33">INDEX(SNAMEC[],MATCH(1,($I$1=SNAMEC[DIST])*(I$4=SNAMEC[FiscalYear]),0),MATCH($L33,SNAMEC[#Headers],0))</f>
        <v>#N/A</v>
      </c>
      <c r="J33" s="372" t="e">
        <f>AidLevy!B306</f>
        <v>#N/A</v>
      </c>
      <c r="K33" s="801" t="e">
        <f t="array" ref="K33">INDEX(SNAMEC[],MATCH(1,($I$1=SNAMEC[DIST])*(K$4=SNAMEC[FiscalYear]),0),MATCH($L33,SNAMEC[#Headers],0))</f>
        <v>#N/A</v>
      </c>
      <c r="L33" s="803" t="s">
        <v>1999</v>
      </c>
    </row>
    <row r="34" spans="1:12" ht="13.7" customHeight="1" x14ac:dyDescent="0.2">
      <c r="A34" s="368">
        <v>30</v>
      </c>
      <c r="B34" s="369" t="s">
        <v>5</v>
      </c>
      <c r="C34" s="370" t="s">
        <v>668</v>
      </c>
      <c r="D34" s="360" t="s">
        <v>633</v>
      </c>
      <c r="E34" s="360" t="s">
        <v>1424</v>
      </c>
      <c r="F34" s="366" t="e">
        <f t="array" ref="F34">INDEX(SNAMEC[],MATCH(1,($I$1=SNAMEC[DIST])*(F$4=SNAMEC[FiscalYear]),0),MATCH($L34,SNAMEC[#Headers],0))</f>
        <v>#N/A</v>
      </c>
      <c r="G34" s="366" t="e">
        <f t="array" ref="G34">INDEX(SNAMEC[],MATCH(1,($I$1=SNAMEC[DIST])*(G$4=SNAMEC[FiscalYear]),0),MATCH($L34,SNAMEC[#Headers],0))</f>
        <v>#N/A</v>
      </c>
      <c r="H34" s="366" t="e">
        <f t="array" ref="H34">INDEX(SNAMEC[],MATCH(1,($I$1=SNAMEC[DIST])*(H$4=SNAMEC[FiscalYear]),0),MATCH($L34,SNAMEC[#Headers],0))</f>
        <v>#N/A</v>
      </c>
      <c r="I34" s="811">
        <f>FY17Wk1!D24-FY17Wk1!D5-FY17Wk1!D6-FY17Wk1!D7-FY17Wk1!D14-FY17Wk1!D15-FY17Wk1!D17</f>
        <v>0</v>
      </c>
      <c r="J34" s="811" t="e">
        <f>FY18WK1!D23-FY18WK1!D4-FY18WK1!D5-FY18WK1!D6-FY18WK1!D13-FY18WK1!D14-FY18WK1!D16</f>
        <v>#N/A</v>
      </c>
      <c r="K34" s="801" t="e">
        <f t="array" ref="K34">INDEX(SNAMEC[],MATCH(1,($I$1=SNAMEC[DIST])*(K$4=SNAMEC[FiscalYear]),0),MATCH($L34,SNAMEC[#Headers],0))</f>
        <v>#N/A</v>
      </c>
      <c r="L34" s="803" t="s">
        <v>2000</v>
      </c>
    </row>
    <row r="35" spans="1:12" ht="13.7" customHeight="1" x14ac:dyDescent="0.2">
      <c r="A35" s="368">
        <v>31</v>
      </c>
      <c r="B35" s="369" t="s">
        <v>665</v>
      </c>
      <c r="C35" s="370" t="s">
        <v>665</v>
      </c>
      <c r="D35" s="360" t="s">
        <v>634</v>
      </c>
      <c r="E35" s="360" t="s">
        <v>1424</v>
      </c>
      <c r="F35" s="366" t="e">
        <f>K38</f>
        <v>#N/A</v>
      </c>
      <c r="G35" s="366" t="e">
        <f>F38</f>
        <v>#N/A</v>
      </c>
      <c r="H35" s="373" t="e">
        <f>G38</f>
        <v>#N/A</v>
      </c>
      <c r="I35" s="373" t="e">
        <f>H38</f>
        <v>#N/A</v>
      </c>
      <c r="J35" s="373" t="e">
        <f>I38</f>
        <v>#N/A</v>
      </c>
      <c r="K35" s="801" t="e">
        <f t="array" ref="K35">INDEX(SNAMEC[],MATCH(1,($I$1=SNAMEC[DIST])*(K$4=SNAMEC[FiscalYear]),0),MATCH($L35,SNAMEC[#Headers],0))</f>
        <v>#N/A</v>
      </c>
      <c r="L35" s="803" t="s">
        <v>2001</v>
      </c>
    </row>
    <row r="36" spans="1:12" ht="13.7" customHeight="1" x14ac:dyDescent="0.2">
      <c r="A36" s="368">
        <v>32</v>
      </c>
      <c r="B36" s="369" t="s">
        <v>665</v>
      </c>
      <c r="C36" s="370" t="s">
        <v>665</v>
      </c>
      <c r="D36" s="360" t="s">
        <v>635</v>
      </c>
      <c r="E36" s="360" t="s">
        <v>1416</v>
      </c>
      <c r="F36" s="685" t="e">
        <f>SUM(F30:F35)</f>
        <v>#N/A</v>
      </c>
      <c r="G36" s="685" t="e">
        <f>SUM(G30:G35)</f>
        <v>#N/A</v>
      </c>
      <c r="H36" s="686" t="e">
        <f>SUM(H30:H35)</f>
        <v>#N/A</v>
      </c>
      <c r="I36" s="686" t="e">
        <f>SUM(I30:I35)</f>
        <v>#N/A</v>
      </c>
      <c r="J36" s="686" t="e">
        <f>SUM(J30:J35)</f>
        <v>#N/A</v>
      </c>
      <c r="K36" s="801" t="e">
        <f t="array" ref="K36">INDEX(SNAMEC[],MATCH(1,($I$1=SNAMEC[DIST])*(K$4=SNAMEC[FiscalYear]),0),MATCH($L36,SNAMEC[#Headers],0))</f>
        <v>#N/A</v>
      </c>
      <c r="L36" s="803" t="s">
        <v>2002</v>
      </c>
    </row>
    <row r="37" spans="1:12" ht="13.7" customHeight="1" x14ac:dyDescent="0.2">
      <c r="A37" s="368">
        <v>33</v>
      </c>
      <c r="B37" s="369" t="s">
        <v>5</v>
      </c>
      <c r="C37" s="370" t="s">
        <v>669</v>
      </c>
      <c r="D37" s="360" t="s">
        <v>636</v>
      </c>
      <c r="E37" s="360" t="s">
        <v>1451</v>
      </c>
      <c r="F37" s="366" t="e">
        <f t="array" ref="F37">INDEX(SNAMEC[],MATCH(1,($I$1=SNAMEC[DIST])*(F$4=SNAMEC[FiscalYear]),0),MATCH($L37,SNAMEC[#Headers],0))</f>
        <v>#N/A</v>
      </c>
      <c r="G37" s="366" t="e">
        <f t="array" ref="G37">INDEX(SNAMEC[],MATCH(1,($I$1=SNAMEC[DIST])*(G$4=SNAMEC[FiscalYear]),0),MATCH($L37,SNAMEC[#Headers],0))</f>
        <v>#N/A</v>
      </c>
      <c r="H37" s="366" t="e">
        <f t="array" ref="H37">INDEX(SNAMEC[],MATCH(1,($I$1=SNAMEC[DIST])*(H$4=SNAMEC[FiscalYear]),0),MATCH($L37,SNAMEC[#Headers],0))</f>
        <v>#N/A</v>
      </c>
      <c r="I37" s="689">
        <v>0</v>
      </c>
      <c r="J37" s="689">
        <v>0</v>
      </c>
      <c r="K37" s="801" t="e">
        <f t="array" ref="K37">INDEX(SNAMEC[],MATCH(1,($I$1=SNAMEC[DIST])*(K$4=SNAMEC[FiscalYear]),0),MATCH($L37,SNAMEC[#Headers],0))</f>
        <v>#N/A</v>
      </c>
      <c r="L37" s="803" t="s">
        <v>2003</v>
      </c>
    </row>
    <row r="38" spans="1:12" ht="13.7" customHeight="1" thickBot="1" x14ac:dyDescent="0.25">
      <c r="A38" s="368">
        <v>34</v>
      </c>
      <c r="B38" s="369" t="s">
        <v>665</v>
      </c>
      <c r="C38" s="370" t="s">
        <v>665</v>
      </c>
      <c r="D38" s="360" t="s">
        <v>15</v>
      </c>
      <c r="E38" s="360" t="s">
        <v>1416</v>
      </c>
      <c r="F38" s="687" t="e">
        <f>F36-F37</f>
        <v>#N/A</v>
      </c>
      <c r="G38" s="687" t="e">
        <f>G36-G37</f>
        <v>#N/A</v>
      </c>
      <c r="H38" s="688" t="e">
        <f>H36-H37</f>
        <v>#N/A</v>
      </c>
      <c r="I38" s="688" t="e">
        <f>I36-I37</f>
        <v>#N/A</v>
      </c>
      <c r="J38" s="688" t="e">
        <f>J36-J37</f>
        <v>#N/A</v>
      </c>
      <c r="K38" s="801" t="e">
        <f t="array" ref="K38">INDEX(SNAMEC[],MATCH(1,($I$1=SNAMEC[DIST])*(K$4=SNAMEC[FiscalYear]),0),MATCH($L38,SNAMEC[#Headers],0))</f>
        <v>#N/A</v>
      </c>
      <c r="L38" s="803" t="s">
        <v>2004</v>
      </c>
    </row>
    <row r="39" spans="1:12" ht="13.7" customHeight="1" thickTop="1" x14ac:dyDescent="0.2">
      <c r="A39" s="491"/>
      <c r="B39" s="491"/>
      <c r="C39" s="491"/>
      <c r="D39" s="491"/>
      <c r="E39" s="360"/>
      <c r="F39" s="367"/>
      <c r="G39" s="367"/>
      <c r="H39" s="367"/>
      <c r="I39" s="367"/>
      <c r="J39" s="367"/>
    </row>
    <row r="40" spans="1:12" ht="15" customHeight="1" x14ac:dyDescent="0.2">
      <c r="A40" s="930" t="s">
        <v>1230</v>
      </c>
      <c r="B40" s="930"/>
      <c r="C40" s="930"/>
      <c r="D40" s="930"/>
      <c r="F40" s="374" t="e">
        <f>F36-F35</f>
        <v>#N/A</v>
      </c>
      <c r="G40" s="374" t="e">
        <f>G36-G35</f>
        <v>#N/A</v>
      </c>
      <c r="H40" s="374" t="e">
        <f>H36-H35</f>
        <v>#N/A</v>
      </c>
      <c r="I40" s="374">
        <f>IF(I37&gt;0,I36-I35,0)</f>
        <v>0</v>
      </c>
      <c r="J40" s="374">
        <f>IF(J37&gt;0,J36-J35,0)</f>
        <v>0</v>
      </c>
    </row>
    <row r="41" spans="1:12" ht="91.5" customHeight="1" x14ac:dyDescent="0.2">
      <c r="A41" s="371"/>
      <c r="B41" s="371"/>
      <c r="C41" s="371"/>
      <c r="D41" s="371"/>
      <c r="F41" s="367"/>
      <c r="G41" s="367"/>
      <c r="H41" s="367"/>
      <c r="I41" s="375" t="str">
        <f>IF(I37&gt;0,IF(I40/I37&lt;1,"CAUTION: Estimated expenditure level reduces Unspent Authorized Budget",IF(I40/I37&lt;1.02,"Caution: Expenditure level might reduce Unspent Authorized Budget",IF(I40/I37&gt;1,"Estimated expenditure level does not reduce Unspent Authorized Budget"))),"")</f>
        <v/>
      </c>
      <c r="J41" s="375" t="str">
        <f>IF(J37&gt;0,IF(J40/J37&lt;1,"CAUTION: Estimated expenditure level reduces Unspent Authorized Budget",IF(J40/J37&lt;1.02,"Caution: Expenditure level might reduce Unspent Authorized Budget",IF(J40/J37&gt;1,"Estimated expenditure level does not reduce Unspent Authorized Budget"))),"")</f>
        <v/>
      </c>
    </row>
    <row r="42" spans="1:12" ht="25.15" customHeight="1" x14ac:dyDescent="0.2">
      <c r="A42" s="928">
        <f>A1</f>
        <v>0</v>
      </c>
      <c r="B42" s="928"/>
      <c r="C42" s="928"/>
      <c r="D42" s="371"/>
      <c r="F42" s="367"/>
      <c r="G42" s="367"/>
      <c r="H42" s="367"/>
      <c r="I42" s="375"/>
      <c r="J42" s="375"/>
    </row>
    <row r="43" spans="1:12" ht="26.25" x14ac:dyDescent="0.4">
      <c r="A43" s="929" t="s">
        <v>1773</v>
      </c>
      <c r="B43" s="929"/>
      <c r="C43" s="929"/>
      <c r="D43" s="929"/>
      <c r="E43" s="929"/>
      <c r="F43" s="929"/>
      <c r="G43" s="929"/>
      <c r="H43" s="929"/>
      <c r="I43" s="929"/>
      <c r="J43" s="929"/>
    </row>
    <row r="44" spans="1:12" ht="13.15" customHeight="1" x14ac:dyDescent="0.4">
      <c r="A44" s="498"/>
      <c r="B44" s="498"/>
      <c r="C44" s="498"/>
      <c r="D44" s="498"/>
      <c r="E44" s="498"/>
      <c r="F44" s="498"/>
      <c r="G44" s="498"/>
      <c r="H44" s="498"/>
      <c r="I44" s="498"/>
      <c r="J44" s="498"/>
    </row>
    <row r="45" spans="1:12" ht="26.25" x14ac:dyDescent="0.4">
      <c r="A45" s="928"/>
      <c r="B45" s="928"/>
      <c r="C45" s="928"/>
      <c r="D45" s="361"/>
      <c r="F45" s="395" t="str">
        <f>F3</f>
        <v>Estimated                     FY14</v>
      </c>
      <c r="G45" s="395" t="str">
        <f>G3</f>
        <v>Estimated                     FY15</v>
      </c>
      <c r="H45" s="395" t="str">
        <f>H3</f>
        <v>Estimated                     FY16</v>
      </c>
      <c r="I45" s="395" t="str">
        <f>I3</f>
        <v>Estimated                     FY17</v>
      </c>
      <c r="J45" s="395" t="str">
        <f>J3</f>
        <v>Estimated                     FY18</v>
      </c>
    </row>
    <row r="46" spans="1:12" ht="13.15" customHeight="1" x14ac:dyDescent="0.4">
      <c r="A46" s="492"/>
      <c r="B46" s="492"/>
      <c r="C46" s="492"/>
      <c r="D46" s="361"/>
      <c r="F46" s="395"/>
      <c r="G46" s="395"/>
      <c r="H46" s="395"/>
      <c r="I46" s="395"/>
      <c r="J46" s="395"/>
    </row>
    <row r="47" spans="1:12" ht="13.15" customHeight="1" x14ac:dyDescent="0.4">
      <c r="B47" s="493" t="s">
        <v>635</v>
      </c>
      <c r="C47" s="492"/>
      <c r="D47" s="361"/>
      <c r="E47" s="360"/>
      <c r="F47" s="690" t="e">
        <f t="shared" ref="F47:J49" si="0">F36</f>
        <v>#N/A</v>
      </c>
      <c r="G47" s="690" t="e">
        <f t="shared" si="0"/>
        <v>#N/A</v>
      </c>
      <c r="H47" s="690" t="e">
        <f t="shared" si="0"/>
        <v>#N/A</v>
      </c>
      <c r="I47" s="690" t="e">
        <f t="shared" si="0"/>
        <v>#N/A</v>
      </c>
      <c r="J47" s="690" t="e">
        <f t="shared" si="0"/>
        <v>#N/A</v>
      </c>
    </row>
    <row r="48" spans="1:12" ht="13.15" customHeight="1" x14ac:dyDescent="0.4">
      <c r="B48" s="493" t="s">
        <v>636</v>
      </c>
      <c r="C48" s="492"/>
      <c r="D48" s="361"/>
      <c r="E48" s="360"/>
      <c r="F48" s="497" t="e">
        <f t="shared" si="0"/>
        <v>#N/A</v>
      </c>
      <c r="G48" s="497" t="e">
        <f t="shared" si="0"/>
        <v>#N/A</v>
      </c>
      <c r="H48" s="497" t="e">
        <f t="shared" si="0"/>
        <v>#N/A</v>
      </c>
      <c r="I48" s="497">
        <f t="shared" si="0"/>
        <v>0</v>
      </c>
      <c r="J48" s="497">
        <f t="shared" si="0"/>
        <v>0</v>
      </c>
    </row>
    <row r="49" spans="2:10" ht="13.7" customHeight="1" thickBot="1" x14ac:dyDescent="0.25">
      <c r="B49" s="493" t="s">
        <v>1764</v>
      </c>
      <c r="C49" s="488"/>
      <c r="D49" s="360"/>
      <c r="E49" s="360"/>
      <c r="F49" s="691" t="e">
        <f t="shared" si="0"/>
        <v>#N/A</v>
      </c>
      <c r="G49" s="691" t="e">
        <f t="shared" si="0"/>
        <v>#N/A</v>
      </c>
      <c r="H49" s="691" t="e">
        <f t="shared" si="0"/>
        <v>#N/A</v>
      </c>
      <c r="I49" s="691" t="e">
        <f t="shared" si="0"/>
        <v>#N/A</v>
      </c>
      <c r="J49" s="691" t="e">
        <f t="shared" si="0"/>
        <v>#N/A</v>
      </c>
    </row>
    <row r="50" spans="2:10" ht="13.7" customHeight="1" thickTop="1" x14ac:dyDescent="0.2">
      <c r="B50" s="487"/>
      <c r="C50" s="488"/>
      <c r="D50" s="360"/>
      <c r="E50" s="360"/>
      <c r="F50" s="367"/>
      <c r="G50" s="367"/>
      <c r="H50" s="367"/>
      <c r="I50" s="367"/>
      <c r="J50" s="383"/>
    </row>
    <row r="51" spans="2:10" ht="13.7" customHeight="1" x14ac:dyDescent="0.2">
      <c r="B51" s="489" t="s">
        <v>1765</v>
      </c>
      <c r="C51" s="13"/>
      <c r="D51" s="360"/>
      <c r="E51" s="360"/>
      <c r="F51" s="367"/>
      <c r="G51" s="367"/>
      <c r="H51" s="367"/>
      <c r="I51" s="367"/>
      <c r="J51" s="383"/>
    </row>
    <row r="52" spans="2:10" ht="13.7" customHeight="1" x14ac:dyDescent="0.2">
      <c r="B52" s="489"/>
      <c r="C52" s="13" t="s">
        <v>1774</v>
      </c>
      <c r="D52" s="360"/>
      <c r="E52" s="360"/>
      <c r="F52" s="366" t="e">
        <f t="array" ref="F52">INDEX(Categorical[],MATCH(1,($I$1=Categorical[DIST])*(F$4=Categorical[FiscalYear]),0),MATCH($C52,Categorical[#Headers],0))</f>
        <v>#N/A</v>
      </c>
      <c r="G52" s="366" t="e">
        <f t="array" ref="G52">INDEX(Categorical[],MATCH(1,($I$1=Categorical[DIST])*(G$4=Categorical[FiscalYear]),0),MATCH($C52,Categorical[#Headers],0))</f>
        <v>#N/A</v>
      </c>
      <c r="H52" s="366" t="e">
        <f t="array" ref="H52">INDEX(Categorical[],MATCH(1,($I$1=Categorical[DIST])*(H$4=Categorical[FiscalYear]),0),MATCH($C52,Categorical[#Headers],0))</f>
        <v>#N/A</v>
      </c>
      <c r="I52" s="689"/>
      <c r="J52" s="689"/>
    </row>
    <row r="53" spans="2:10" ht="13.7" customHeight="1" x14ac:dyDescent="0.2">
      <c r="B53" s="490"/>
      <c r="C53" s="13" t="s">
        <v>1775</v>
      </c>
      <c r="D53" s="360"/>
      <c r="E53" s="360"/>
      <c r="F53" s="366" t="e">
        <f t="array" ref="F53">INDEX(Categorical[],MATCH(1,($I$1=Categorical[DIST])*(F$4=Categorical[FiscalYear]),0),MATCH($C53,Categorical[#Headers],0))</f>
        <v>#N/A</v>
      </c>
      <c r="G53" s="366" t="e">
        <f t="array" ref="G53">INDEX(Categorical[],MATCH(1,($I$1=Categorical[DIST])*(G$4=Categorical[FiscalYear]),0),MATCH($C53,Categorical[#Headers],0))</f>
        <v>#N/A</v>
      </c>
      <c r="H53" s="366" t="e">
        <f t="array" ref="H53">INDEX(Categorical[],MATCH(1,($I$1=Categorical[DIST])*(H$4=Categorical[FiscalYear]),0),MATCH($C53,Categorical[#Headers],0))</f>
        <v>#N/A</v>
      </c>
      <c r="I53" s="689"/>
      <c r="J53" s="689"/>
    </row>
    <row r="54" spans="2:10" ht="13.7" customHeight="1" x14ac:dyDescent="0.2">
      <c r="B54" s="490"/>
      <c r="C54" s="13" t="s">
        <v>1776</v>
      </c>
      <c r="D54" s="360"/>
      <c r="E54" s="360"/>
      <c r="F54" s="366" t="e">
        <f t="array" ref="F54">INDEX(Categorical[],MATCH(1,($I$1=Categorical[DIST])*(F$4=Categorical[FiscalYear]),0),MATCH($C54,Categorical[#Headers],0))</f>
        <v>#N/A</v>
      </c>
      <c r="G54" s="366" t="e">
        <f t="array" ref="G54">INDEX(Categorical[],MATCH(1,($I$1=Categorical[DIST])*(G$4=Categorical[FiscalYear]),0),MATCH($C54,Categorical[#Headers],0))</f>
        <v>#N/A</v>
      </c>
      <c r="H54" s="366" t="e">
        <f t="array" ref="H54">INDEX(Categorical[],MATCH(1,($I$1=Categorical[DIST])*(H$4=Categorical[FiscalYear]),0),MATCH($C54,Categorical[#Headers],0))</f>
        <v>#N/A</v>
      </c>
      <c r="I54" s="689"/>
      <c r="J54" s="689"/>
    </row>
    <row r="55" spans="2:10" ht="13.7" customHeight="1" x14ac:dyDescent="0.2">
      <c r="B55" s="490"/>
      <c r="C55" s="13" t="s">
        <v>1777</v>
      </c>
      <c r="D55" s="360"/>
      <c r="E55" s="360"/>
      <c r="F55" s="366" t="e">
        <f t="array" ref="F55">INDEX(Categorical[],MATCH(1,($I$1=Categorical[DIST])*(F$4=Categorical[FiscalYear]),0),MATCH($C55,Categorical[#Headers],0))</f>
        <v>#N/A</v>
      </c>
      <c r="G55" s="366" t="e">
        <f t="array" ref="G55">INDEX(Categorical[],MATCH(1,($I$1=Categorical[DIST])*(G$4=Categorical[FiscalYear]),0),MATCH($C55,Categorical[#Headers],0))</f>
        <v>#N/A</v>
      </c>
      <c r="H55" s="366" t="e">
        <f t="array" ref="H55">INDEX(Categorical[],MATCH(1,($I$1=Categorical[DIST])*(H$4=Categorical[FiscalYear]),0),MATCH($C55,Categorical[#Headers],0))</f>
        <v>#N/A</v>
      </c>
      <c r="I55" s="689"/>
      <c r="J55" s="689"/>
    </row>
    <row r="56" spans="2:10" ht="13.7" customHeight="1" x14ac:dyDescent="0.2">
      <c r="B56" s="490"/>
      <c r="C56" s="13" t="s">
        <v>1766</v>
      </c>
      <c r="D56" s="360"/>
      <c r="E56" s="360"/>
      <c r="F56" s="366" t="e">
        <f t="array" ref="F56">INDEX(Categorical[],MATCH(1,($I$1=Categorical[DIST])*(F$4=Categorical[FiscalYear]),0),MATCH($C56,Categorical[#Headers],0))</f>
        <v>#N/A</v>
      </c>
      <c r="G56" s="366" t="e">
        <f t="array" ref="G56">INDEX(Categorical[],MATCH(1,($I$1=Categorical[DIST])*(G$4=Categorical[FiscalYear]),0),MATCH($C56,Categorical[#Headers],0))</f>
        <v>#N/A</v>
      </c>
      <c r="H56" s="366" t="e">
        <f t="array" ref="H56">INDEX(Categorical[],MATCH(1,($I$1=Categorical[DIST])*(H$4=Categorical[FiscalYear]),0),MATCH($C56,Categorical[#Headers],0))</f>
        <v>#N/A</v>
      </c>
      <c r="I56" s="689"/>
      <c r="J56" s="689"/>
    </row>
    <row r="57" spans="2:10" ht="13.7" customHeight="1" x14ac:dyDescent="0.2">
      <c r="B57" s="490"/>
      <c r="C57" s="13" t="s">
        <v>1778</v>
      </c>
      <c r="D57" s="360"/>
      <c r="E57" s="360"/>
      <c r="F57" s="366" t="e">
        <f t="array" ref="F57">INDEX(Categorical[],MATCH(1,($I$1=Categorical[DIST])*(F$4=Categorical[FiscalYear]),0),MATCH($C57,Categorical[#Headers],0))</f>
        <v>#N/A</v>
      </c>
      <c r="G57" s="366" t="e">
        <f t="array" ref="G57">INDEX(Categorical[],MATCH(1,($I$1=Categorical[DIST])*(G$4=Categorical[FiscalYear]),0),MATCH($C57,Categorical[#Headers],0))</f>
        <v>#N/A</v>
      </c>
      <c r="H57" s="366" t="e">
        <f t="array" ref="H57">INDEX(Categorical[],MATCH(1,($I$1=Categorical[DIST])*(H$4=Categorical[FiscalYear]),0),MATCH($C57,Categorical[#Headers],0))</f>
        <v>#N/A</v>
      </c>
      <c r="I57" s="689"/>
      <c r="J57" s="689"/>
    </row>
    <row r="58" spans="2:10" ht="13.7" customHeight="1" x14ac:dyDescent="0.2">
      <c r="B58" s="490"/>
      <c r="C58" s="13" t="s">
        <v>1779</v>
      </c>
      <c r="D58" s="360"/>
      <c r="E58" s="360"/>
      <c r="F58" s="366" t="e">
        <f t="array" ref="F58">INDEX(Categorical[],MATCH(1,($I$1=Categorical[DIST])*(F$4=Categorical[FiscalYear]),0),MATCH($C58,Categorical[#Headers],0))</f>
        <v>#N/A</v>
      </c>
      <c r="G58" s="366" t="e">
        <f t="array" ref="G58">INDEX(Categorical[],MATCH(1,($I$1=Categorical[DIST])*(G$4=Categorical[FiscalYear]),0),MATCH($C58,Categorical[#Headers],0))</f>
        <v>#N/A</v>
      </c>
      <c r="H58" s="366" t="e">
        <f t="array" ref="H58">INDEX(Categorical[],MATCH(1,($I$1=Categorical[DIST])*(H$4=Categorical[FiscalYear]),0),MATCH($C58,Categorical[#Headers],0))</f>
        <v>#N/A</v>
      </c>
      <c r="I58" s="689"/>
      <c r="J58" s="689"/>
    </row>
    <row r="59" spans="2:10" ht="13.7" customHeight="1" x14ac:dyDescent="0.2">
      <c r="B59" s="490"/>
      <c r="C59" s="13" t="s">
        <v>1780</v>
      </c>
      <c r="D59" s="360"/>
      <c r="E59" s="360"/>
      <c r="F59" s="366" t="e">
        <f t="array" ref="F59">INDEX(Categorical[],MATCH(1,($I$1=Categorical[DIST])*(F$4=Categorical[FiscalYear]),0),MATCH($C59,Categorical[#Headers],0))</f>
        <v>#N/A</v>
      </c>
      <c r="G59" s="366" t="e">
        <f t="array" ref="G59">INDEX(Categorical[],MATCH(1,($I$1=Categorical[DIST])*(G$4=Categorical[FiscalYear]),0),MATCH($C59,Categorical[#Headers],0))</f>
        <v>#N/A</v>
      </c>
      <c r="H59" s="366" t="e">
        <f t="array" ref="H59">INDEX(Categorical[],MATCH(1,($I$1=Categorical[DIST])*(H$4=Categorical[FiscalYear]),0),MATCH($C59,Categorical[#Headers],0))</f>
        <v>#N/A</v>
      </c>
      <c r="I59" s="689"/>
      <c r="J59" s="689"/>
    </row>
    <row r="60" spans="2:10" ht="13.7" customHeight="1" x14ac:dyDescent="0.2">
      <c r="B60" s="490"/>
      <c r="C60" s="13" t="s">
        <v>1781</v>
      </c>
      <c r="D60" s="360"/>
      <c r="E60" s="360"/>
      <c r="F60" s="366" t="e">
        <f t="array" ref="F60">INDEX(Categorical[],MATCH(1,($I$1=Categorical[DIST])*(F$4=Categorical[FiscalYear]),0),MATCH($C60,Categorical[#Headers],0))</f>
        <v>#N/A</v>
      </c>
      <c r="G60" s="366" t="e">
        <f t="array" ref="G60">INDEX(Categorical[],MATCH(1,($I$1=Categorical[DIST])*(G$4=Categorical[FiscalYear]),0),MATCH($C60,Categorical[#Headers],0))</f>
        <v>#N/A</v>
      </c>
      <c r="H60" s="366" t="e">
        <f t="array" ref="H60">INDEX(Categorical[],MATCH(1,($I$1=Categorical[DIST])*(H$4=Categorical[FiscalYear]),0),MATCH($C60,Categorical[#Headers],0))</f>
        <v>#N/A</v>
      </c>
      <c r="I60" s="689"/>
      <c r="J60" s="689"/>
    </row>
    <row r="61" spans="2:10" ht="13.7" customHeight="1" x14ac:dyDescent="0.2">
      <c r="B61" s="490"/>
      <c r="C61" s="13" t="s">
        <v>1782</v>
      </c>
      <c r="D61" s="360"/>
      <c r="E61" s="360"/>
      <c r="F61" s="366" t="e">
        <f t="array" ref="F61">INDEX(Categorical[],MATCH(1,($I$1=Categorical[DIST])*(F$4=Categorical[FiscalYear]),0),MATCH($C61,Categorical[#Headers],0))</f>
        <v>#N/A</v>
      </c>
      <c r="G61" s="366" t="e">
        <f t="array" ref="G61">INDEX(Categorical[],MATCH(1,($I$1=Categorical[DIST])*(G$4=Categorical[FiscalYear]),0),MATCH($C61,Categorical[#Headers],0))</f>
        <v>#N/A</v>
      </c>
      <c r="H61" s="366" t="e">
        <f t="array" ref="H61">INDEX(Categorical[],MATCH(1,($I$1=Categorical[DIST])*(H$4=Categorical[FiscalYear]),0),MATCH($C61,Categorical[#Headers],0))</f>
        <v>#N/A</v>
      </c>
      <c r="I61" s="689"/>
      <c r="J61" s="689"/>
    </row>
    <row r="62" spans="2:10" ht="13.7" customHeight="1" x14ac:dyDescent="0.2">
      <c r="B62" s="490"/>
      <c r="C62" s="13" t="s">
        <v>1783</v>
      </c>
      <c r="D62" s="360"/>
      <c r="E62" s="360"/>
      <c r="F62" s="366" t="e">
        <f t="array" ref="F62">INDEX(Categorical[],MATCH(1,($I$1=Categorical[DIST])*(F$4=Categorical[FiscalYear]),0),MATCH($C62,Categorical[#Headers],0))</f>
        <v>#N/A</v>
      </c>
      <c r="G62" s="366" t="e">
        <f t="array" ref="G62">INDEX(Categorical[],MATCH(1,($I$1=Categorical[DIST])*(G$4=Categorical[FiscalYear]),0),MATCH($C62,Categorical[#Headers],0))</f>
        <v>#N/A</v>
      </c>
      <c r="H62" s="366" t="e">
        <f t="array" ref="H62">INDEX(Categorical[],MATCH(1,($I$1=Categorical[DIST])*(H$4=Categorical[FiscalYear]),0),MATCH($C62,Categorical[#Headers],0))</f>
        <v>#N/A</v>
      </c>
      <c r="I62" s="689"/>
      <c r="J62" s="689"/>
    </row>
    <row r="63" spans="2:10" ht="13.7" customHeight="1" x14ac:dyDescent="0.2">
      <c r="B63" s="490"/>
      <c r="C63" s="13" t="s">
        <v>1767</v>
      </c>
      <c r="D63" s="360"/>
      <c r="E63" s="360"/>
      <c r="F63" s="366" t="e">
        <f t="array" ref="F63">INDEX(Categorical[],MATCH(1,($I$1=Categorical[DIST])*(F$4=Categorical[FiscalYear]),0),MATCH($C63,Categorical[#Headers],0))</f>
        <v>#N/A</v>
      </c>
      <c r="G63" s="366" t="e">
        <f t="array" ref="G63">INDEX(Categorical[],MATCH(1,($I$1=Categorical[DIST])*(G$4=Categorical[FiscalYear]),0),MATCH($C63,Categorical[#Headers],0))</f>
        <v>#N/A</v>
      </c>
      <c r="H63" s="366" t="e">
        <f t="array" ref="H63">INDEX(Categorical[],MATCH(1,($I$1=Categorical[DIST])*(H$4=Categorical[FiscalYear]),0),MATCH($C63,Categorical[#Headers],0))</f>
        <v>#N/A</v>
      </c>
      <c r="I63" s="689"/>
      <c r="J63" s="689"/>
    </row>
    <row r="64" spans="2:10" ht="13.7" customHeight="1" thickBot="1" x14ac:dyDescent="0.25">
      <c r="B64" s="487" t="s">
        <v>1768</v>
      </c>
      <c r="C64" s="2"/>
      <c r="D64" s="360"/>
      <c r="E64" s="360"/>
      <c r="F64" s="688" t="e">
        <f>SUM(F52:F63)</f>
        <v>#N/A</v>
      </c>
      <c r="G64" s="688" t="e">
        <f>SUM(G52:G63)</f>
        <v>#N/A</v>
      </c>
      <c r="H64" s="688" t="e">
        <f>SUM(H52:H63)</f>
        <v>#N/A</v>
      </c>
      <c r="I64" s="688">
        <f>SUM(I52:I63)</f>
        <v>0</v>
      </c>
      <c r="J64" s="688">
        <f>SUM(J52:J63)</f>
        <v>0</v>
      </c>
    </row>
    <row r="65" spans="1:10" ht="13.7" customHeight="1" thickTop="1" x14ac:dyDescent="0.2">
      <c r="B65" s="487" t="s">
        <v>1772</v>
      </c>
      <c r="C65" s="2"/>
      <c r="D65" s="360"/>
      <c r="E65" s="360"/>
      <c r="F65" s="499" t="e">
        <f>ROUND(F64/F49,2)</f>
        <v>#N/A</v>
      </c>
      <c r="G65" s="499" t="e">
        <f>ROUND(G64/G49,2)</f>
        <v>#N/A</v>
      </c>
      <c r="H65" s="499" t="e">
        <f>ROUND(H64/H49,2)</f>
        <v>#N/A</v>
      </c>
      <c r="I65" s="499" t="e">
        <f>ROUND(I64/I49,2)</f>
        <v>#N/A</v>
      </c>
      <c r="J65" s="499" t="e">
        <f>ROUND(J64/J49,2)</f>
        <v>#N/A</v>
      </c>
    </row>
    <row r="66" spans="1:10" ht="13.7" customHeight="1" x14ac:dyDescent="0.2">
      <c r="B66" s="487"/>
      <c r="C66" s="2"/>
      <c r="D66" s="360"/>
      <c r="E66" s="360"/>
      <c r="F66" s="383"/>
      <c r="G66" s="383"/>
      <c r="H66" s="383"/>
      <c r="I66" s="383"/>
      <c r="J66" s="383"/>
    </row>
    <row r="67" spans="1:10" ht="13.7" customHeight="1" x14ac:dyDescent="0.2">
      <c r="B67" s="13" t="s">
        <v>1769</v>
      </c>
      <c r="C67" s="2"/>
      <c r="D67" s="360"/>
      <c r="E67" s="360"/>
      <c r="F67" s="383"/>
      <c r="G67" s="383"/>
      <c r="H67" s="383"/>
      <c r="I67" s="383"/>
      <c r="J67" s="383"/>
    </row>
    <row r="68" spans="1:10" ht="13.7" customHeight="1" thickBot="1" x14ac:dyDescent="0.25">
      <c r="B68" s="487" t="s">
        <v>1770</v>
      </c>
      <c r="C68" s="2"/>
      <c r="D68" s="360"/>
      <c r="E68" s="360"/>
      <c r="F68" s="688" t="e">
        <f>F49-F64</f>
        <v>#N/A</v>
      </c>
      <c r="G68" s="688" t="e">
        <f>G49-G64</f>
        <v>#N/A</v>
      </c>
      <c r="H68" s="688" t="e">
        <f>H49-H64</f>
        <v>#N/A</v>
      </c>
      <c r="I68" s="688" t="e">
        <f>I49-I64</f>
        <v>#N/A</v>
      </c>
      <c r="J68" s="688" t="e">
        <f>J49-J64</f>
        <v>#N/A</v>
      </c>
    </row>
    <row r="69" spans="1:10" ht="13.7" customHeight="1" thickTop="1" x14ac:dyDescent="0.2">
      <c r="B69" s="487" t="s">
        <v>1771</v>
      </c>
      <c r="C69" s="2"/>
      <c r="D69" s="360"/>
      <c r="E69" s="360"/>
      <c r="F69" s="499" t="e">
        <f>ROUND(F68/F49,2)</f>
        <v>#N/A</v>
      </c>
      <c r="G69" s="499" t="e">
        <f>ROUND(G68/G49,2)</f>
        <v>#N/A</v>
      </c>
      <c r="H69" s="499" t="e">
        <f>ROUND(H68/H49,2)</f>
        <v>#N/A</v>
      </c>
      <c r="I69" s="499" t="e">
        <f>ROUND(I68/I49,2)</f>
        <v>#N/A</v>
      </c>
      <c r="J69" s="499" t="e">
        <f>ROUND(J68/J49,2)</f>
        <v>#N/A</v>
      </c>
    </row>
    <row r="70" spans="1:10" ht="13.7" customHeight="1" x14ac:dyDescent="0.2">
      <c r="A70" s="368"/>
      <c r="B70" s="369"/>
      <c r="C70" s="370"/>
      <c r="D70" s="360"/>
      <c r="E70" s="360"/>
      <c r="F70" s="383"/>
      <c r="G70" s="383"/>
      <c r="H70" s="383"/>
      <c r="I70" s="383"/>
      <c r="J70" s="383"/>
    </row>
    <row r="71" spans="1:10" ht="13.7" customHeight="1" x14ac:dyDescent="0.2">
      <c r="A71" s="368"/>
      <c r="B71" s="369"/>
      <c r="C71" s="370"/>
      <c r="D71" s="360"/>
      <c r="E71" s="360"/>
      <c r="F71" s="383"/>
      <c r="G71" s="383"/>
      <c r="H71" s="383"/>
      <c r="I71" s="383"/>
      <c r="J71" s="383"/>
    </row>
    <row r="72" spans="1:10" x14ac:dyDescent="0.2">
      <c r="A72" s="368"/>
      <c r="B72" s="369"/>
      <c r="C72" s="370"/>
      <c r="D72" s="360"/>
      <c r="E72" s="360"/>
      <c r="F72" s="383"/>
      <c r="G72" s="383"/>
      <c r="H72" s="383"/>
      <c r="I72" s="383"/>
      <c r="J72" s="383"/>
    </row>
    <row r="73" spans="1:10" x14ac:dyDescent="0.2">
      <c r="F73" s="495"/>
      <c r="G73" s="495"/>
      <c r="H73" s="495"/>
      <c r="I73" s="495"/>
      <c r="J73" s="495"/>
    </row>
    <row r="74" spans="1:10" ht="13.5" customHeight="1" x14ac:dyDescent="0.2">
      <c r="A74" s="381"/>
      <c r="B74" s="381"/>
      <c r="C74" s="381"/>
      <c r="D74" s="381"/>
      <c r="E74" s="382"/>
      <c r="F74" s="384"/>
      <c r="G74" s="384"/>
      <c r="H74" s="384"/>
      <c r="I74" s="384"/>
      <c r="J74" s="384"/>
    </row>
    <row r="75" spans="1:10" ht="13.5" customHeight="1" x14ac:dyDescent="0.2">
      <c r="A75" s="381"/>
      <c r="B75" s="381"/>
      <c r="C75" s="381"/>
      <c r="D75" s="381"/>
      <c r="E75" s="382"/>
      <c r="F75" s="383"/>
      <c r="G75" s="383"/>
      <c r="H75" s="383"/>
      <c r="I75" s="383"/>
      <c r="J75" s="383"/>
    </row>
    <row r="76" spans="1:10" ht="20.25" x14ac:dyDescent="0.3">
      <c r="B76" s="380" t="s">
        <v>811</v>
      </c>
      <c r="C76" s="376"/>
      <c r="D76" s="376"/>
      <c r="E76" s="166"/>
      <c r="F76" s="496"/>
      <c r="G76" s="496"/>
      <c r="H76" s="495"/>
      <c r="I76" s="495"/>
      <c r="J76" s="495"/>
    </row>
    <row r="77" spans="1:10" ht="15.75" x14ac:dyDescent="0.25">
      <c r="B77" s="376"/>
      <c r="C77" s="376"/>
      <c r="D77" s="376"/>
      <c r="E77" s="166"/>
      <c r="F77" s="377"/>
      <c r="G77" s="377"/>
    </row>
    <row r="78" spans="1:10" ht="15.75" x14ac:dyDescent="0.25">
      <c r="B78" s="116" t="s">
        <v>1617</v>
      </c>
      <c r="C78" s="376"/>
      <c r="D78" s="376"/>
      <c r="E78" s="166"/>
      <c r="F78" s="377"/>
      <c r="G78" s="377"/>
    </row>
    <row r="79" spans="1:10" ht="15.75" x14ac:dyDescent="0.25">
      <c r="B79" s="376" t="s">
        <v>1145</v>
      </c>
      <c r="C79" s="376"/>
      <c r="D79" s="376"/>
      <c r="E79" s="166"/>
      <c r="F79" s="377"/>
      <c r="G79" s="377"/>
    </row>
    <row r="80" spans="1:10" ht="15.75" x14ac:dyDescent="0.25">
      <c r="B80" s="376"/>
      <c r="C80" s="376" t="s">
        <v>8</v>
      </c>
      <c r="D80" s="376" t="s">
        <v>9</v>
      </c>
      <c r="E80" s="166"/>
      <c r="F80" s="377"/>
      <c r="G80" s="377"/>
    </row>
    <row r="81" spans="2:7" ht="15.75" x14ac:dyDescent="0.25">
      <c r="B81" s="378" t="s">
        <v>1451</v>
      </c>
      <c r="C81" s="376" t="s">
        <v>10</v>
      </c>
      <c r="D81" s="376" t="s">
        <v>569</v>
      </c>
      <c r="E81" s="166"/>
      <c r="F81" s="377"/>
      <c r="G81" s="377"/>
    </row>
    <row r="82" spans="2:7" ht="15.75" x14ac:dyDescent="0.25">
      <c r="B82" s="378" t="s">
        <v>1451</v>
      </c>
      <c r="C82" s="376" t="s">
        <v>11</v>
      </c>
      <c r="D82" s="376" t="s">
        <v>570</v>
      </c>
      <c r="E82" s="166"/>
      <c r="F82" s="377"/>
      <c r="G82" s="377"/>
    </row>
    <row r="83" spans="2:7" ht="15.75" x14ac:dyDescent="0.25">
      <c r="B83" s="378" t="s">
        <v>1451</v>
      </c>
      <c r="C83" s="376" t="s">
        <v>12</v>
      </c>
      <c r="D83" s="376" t="s">
        <v>571</v>
      </c>
      <c r="E83" s="166"/>
      <c r="F83" s="377"/>
      <c r="G83" s="377"/>
    </row>
    <row r="84" spans="2:7" ht="15.75" x14ac:dyDescent="0.25">
      <c r="B84" s="378" t="s">
        <v>1451</v>
      </c>
      <c r="C84" s="376" t="s">
        <v>13</v>
      </c>
      <c r="D84" s="116" t="s">
        <v>1758</v>
      </c>
      <c r="E84" s="166"/>
      <c r="F84" s="377"/>
      <c r="G84" s="377"/>
    </row>
    <row r="85" spans="2:7" ht="15.75" x14ac:dyDescent="0.25">
      <c r="B85" s="378" t="s">
        <v>1451</v>
      </c>
      <c r="C85" s="376" t="s">
        <v>14</v>
      </c>
      <c r="D85" s="376" t="s">
        <v>572</v>
      </c>
      <c r="E85" s="166"/>
      <c r="F85" s="377"/>
      <c r="G85" s="377"/>
    </row>
    <row r="86" spans="2:7" ht="15.75" x14ac:dyDescent="0.25">
      <c r="B86" s="378" t="s">
        <v>1451</v>
      </c>
      <c r="C86" s="376" t="s">
        <v>419</v>
      </c>
      <c r="D86" s="116" t="s">
        <v>1656</v>
      </c>
      <c r="E86" s="166"/>
      <c r="F86" s="377"/>
      <c r="G86" s="377"/>
    </row>
    <row r="87" spans="2:7" ht="15.75" x14ac:dyDescent="0.25">
      <c r="B87" s="379" t="s">
        <v>1416</v>
      </c>
      <c r="C87" s="376" t="s">
        <v>665</v>
      </c>
      <c r="D87" s="376" t="s">
        <v>633</v>
      </c>
      <c r="E87" s="166"/>
      <c r="F87" s="377"/>
      <c r="G87" s="377"/>
    </row>
    <row r="88" spans="2:7" ht="15.75" x14ac:dyDescent="0.25">
      <c r="B88" s="379"/>
      <c r="C88" s="376"/>
      <c r="D88" s="376"/>
      <c r="E88" s="166"/>
      <c r="F88" s="377"/>
      <c r="G88" s="377"/>
    </row>
    <row r="89" spans="2:7" ht="15.75" x14ac:dyDescent="0.25">
      <c r="B89" s="116" t="s">
        <v>1472</v>
      </c>
      <c r="C89" s="376"/>
      <c r="D89" s="376"/>
      <c r="E89" s="166"/>
      <c r="F89" s="377"/>
      <c r="G89" s="377"/>
    </row>
    <row r="90" spans="2:7" ht="15.75" x14ac:dyDescent="0.25">
      <c r="B90" s="376" t="s">
        <v>1143</v>
      </c>
      <c r="C90" s="376"/>
      <c r="D90" s="376"/>
      <c r="E90" s="166"/>
      <c r="F90" s="377"/>
      <c r="G90" s="377"/>
    </row>
    <row r="91" spans="2:7" ht="15.75" x14ac:dyDescent="0.25">
      <c r="B91" s="376" t="s">
        <v>1144</v>
      </c>
      <c r="C91" s="376"/>
      <c r="D91" s="376"/>
      <c r="E91" s="166"/>
      <c r="F91" s="377"/>
      <c r="G91" s="377"/>
    </row>
    <row r="92" spans="2:7" ht="15.75" x14ac:dyDescent="0.25">
      <c r="B92" s="376"/>
      <c r="C92" s="376"/>
      <c r="D92" s="376"/>
      <c r="E92" s="166"/>
      <c r="F92" s="377"/>
      <c r="G92" s="377"/>
    </row>
    <row r="93" spans="2:7" x14ac:dyDescent="0.2">
      <c r="D93" s="362"/>
    </row>
    <row r="94" spans="2:7" x14ac:dyDescent="0.2">
      <c r="D94" s="362"/>
    </row>
    <row r="95" spans="2:7" x14ac:dyDescent="0.2">
      <c r="D95" s="362"/>
    </row>
    <row r="96" spans="2:7" x14ac:dyDescent="0.2">
      <c r="D96" s="362"/>
    </row>
    <row r="97" spans="4:4" x14ac:dyDescent="0.2">
      <c r="D97" s="362"/>
    </row>
    <row r="98" spans="4:4" x14ac:dyDescent="0.2">
      <c r="D98" s="362"/>
    </row>
    <row r="99" spans="4:4" x14ac:dyDescent="0.2">
      <c r="D99" s="362"/>
    </row>
    <row r="100" spans="4:4" x14ac:dyDescent="0.2">
      <c r="D100" s="362"/>
    </row>
    <row r="101" spans="4:4" x14ac:dyDescent="0.2">
      <c r="D101" s="362"/>
    </row>
    <row r="102" spans="4:4" x14ac:dyDescent="0.2">
      <c r="D102" s="362"/>
    </row>
    <row r="103" spans="4:4" x14ac:dyDescent="0.2">
      <c r="D103" s="362"/>
    </row>
    <row r="104" spans="4:4" x14ac:dyDescent="0.2">
      <c r="D104" s="362"/>
    </row>
    <row r="105" spans="4:4" x14ac:dyDescent="0.2">
      <c r="D105" s="362"/>
    </row>
    <row r="106" spans="4:4" x14ac:dyDescent="0.2">
      <c r="D106" s="362"/>
    </row>
    <row r="107" spans="4:4" x14ac:dyDescent="0.2">
      <c r="D107" s="362"/>
    </row>
    <row r="108" spans="4:4" x14ac:dyDescent="0.2">
      <c r="D108" s="362"/>
    </row>
    <row r="109" spans="4:4" x14ac:dyDescent="0.2">
      <c r="D109" s="362"/>
    </row>
    <row r="110" spans="4:4" x14ac:dyDescent="0.2">
      <c r="D110" s="362"/>
    </row>
    <row r="111" spans="4:4" x14ac:dyDescent="0.2">
      <c r="D111" s="362"/>
    </row>
    <row r="112" spans="4:4" x14ac:dyDescent="0.2">
      <c r="D112" s="362"/>
    </row>
    <row r="113" spans="4:4" x14ac:dyDescent="0.2">
      <c r="D113" s="362"/>
    </row>
    <row r="114" spans="4:4" x14ac:dyDescent="0.2">
      <c r="D114" s="362"/>
    </row>
    <row r="115" spans="4:4" x14ac:dyDescent="0.2">
      <c r="D115" s="362"/>
    </row>
    <row r="116" spans="4:4" x14ac:dyDescent="0.2">
      <c r="D116" s="362"/>
    </row>
    <row r="117" spans="4:4" x14ac:dyDescent="0.2">
      <c r="D117" s="362"/>
    </row>
    <row r="118" spans="4:4" x14ac:dyDescent="0.2">
      <c r="D118" s="362"/>
    </row>
    <row r="119" spans="4:4" x14ac:dyDescent="0.2">
      <c r="D119" s="362"/>
    </row>
    <row r="120" spans="4:4" x14ac:dyDescent="0.2">
      <c r="D120" s="362"/>
    </row>
    <row r="121" spans="4:4" x14ac:dyDescent="0.2">
      <c r="D121" s="362"/>
    </row>
    <row r="122" spans="4:4" x14ac:dyDescent="0.2">
      <c r="D122" s="362"/>
    </row>
    <row r="123" spans="4:4" x14ac:dyDescent="0.2">
      <c r="D123" s="362"/>
    </row>
    <row r="124" spans="4:4" x14ac:dyDescent="0.2">
      <c r="D124" s="362"/>
    </row>
    <row r="125" spans="4:4" x14ac:dyDescent="0.2">
      <c r="D125" s="362"/>
    </row>
    <row r="126" spans="4:4" x14ac:dyDescent="0.2">
      <c r="D126" s="362"/>
    </row>
    <row r="127" spans="4:4" x14ac:dyDescent="0.2">
      <c r="D127" s="362"/>
    </row>
    <row r="128" spans="4:4" x14ac:dyDescent="0.2">
      <c r="D128" s="362"/>
    </row>
    <row r="129" spans="4:4" x14ac:dyDescent="0.2">
      <c r="D129" s="362"/>
    </row>
    <row r="130" spans="4:4" x14ac:dyDescent="0.2">
      <c r="D130" s="362"/>
    </row>
    <row r="131" spans="4:4" x14ac:dyDescent="0.2">
      <c r="D131" s="362"/>
    </row>
    <row r="132" spans="4:4" x14ac:dyDescent="0.2">
      <c r="D132" s="362"/>
    </row>
    <row r="133" spans="4:4" x14ac:dyDescent="0.2">
      <c r="D133" s="362"/>
    </row>
    <row r="134" spans="4:4" x14ac:dyDescent="0.2">
      <c r="D134" s="362"/>
    </row>
    <row r="135" spans="4:4" x14ac:dyDescent="0.2">
      <c r="D135" s="362"/>
    </row>
    <row r="136" spans="4:4" x14ac:dyDescent="0.2">
      <c r="D136" s="362"/>
    </row>
    <row r="137" spans="4:4" x14ac:dyDescent="0.2">
      <c r="D137" s="362"/>
    </row>
    <row r="138" spans="4:4" x14ac:dyDescent="0.2">
      <c r="D138" s="362"/>
    </row>
    <row r="139" spans="4:4" x14ac:dyDescent="0.2">
      <c r="D139" s="362"/>
    </row>
    <row r="140" spans="4:4" x14ac:dyDescent="0.2">
      <c r="D140" s="362"/>
    </row>
    <row r="141" spans="4:4" x14ac:dyDescent="0.2">
      <c r="D141" s="362"/>
    </row>
    <row r="142" spans="4:4" x14ac:dyDescent="0.2">
      <c r="D142" s="362"/>
    </row>
    <row r="143" spans="4:4" x14ac:dyDescent="0.2">
      <c r="D143" s="362"/>
    </row>
    <row r="144" spans="4:4" x14ac:dyDescent="0.2">
      <c r="D144" s="362"/>
    </row>
    <row r="145" spans="4:4" x14ac:dyDescent="0.2">
      <c r="D145" s="362"/>
    </row>
    <row r="146" spans="4:4" x14ac:dyDescent="0.2">
      <c r="D146" s="362"/>
    </row>
    <row r="147" spans="4:4" x14ac:dyDescent="0.2">
      <c r="D147" s="362"/>
    </row>
    <row r="148" spans="4:4" x14ac:dyDescent="0.2">
      <c r="D148" s="362"/>
    </row>
    <row r="149" spans="4:4" x14ac:dyDescent="0.2">
      <c r="D149" s="362"/>
    </row>
    <row r="150" spans="4:4" x14ac:dyDescent="0.2">
      <c r="D150" s="362"/>
    </row>
    <row r="151" spans="4:4" x14ac:dyDescent="0.2">
      <c r="D151" s="362"/>
    </row>
    <row r="152" spans="4:4" x14ac:dyDescent="0.2">
      <c r="D152" s="362"/>
    </row>
    <row r="153" spans="4:4" x14ac:dyDescent="0.2">
      <c r="D153" s="362"/>
    </row>
    <row r="154" spans="4:4" x14ac:dyDescent="0.2">
      <c r="D154" s="362"/>
    </row>
    <row r="155" spans="4:4" x14ac:dyDescent="0.2">
      <c r="D155" s="362"/>
    </row>
    <row r="156" spans="4:4" x14ac:dyDescent="0.2">
      <c r="D156" s="362"/>
    </row>
    <row r="157" spans="4:4" x14ac:dyDescent="0.2">
      <c r="D157" s="362"/>
    </row>
    <row r="158" spans="4:4" x14ac:dyDescent="0.2">
      <c r="D158" s="362"/>
    </row>
    <row r="159" spans="4:4" x14ac:dyDescent="0.2">
      <c r="D159" s="362"/>
    </row>
    <row r="160" spans="4:4" x14ac:dyDescent="0.2">
      <c r="D160" s="362"/>
    </row>
    <row r="161" spans="4:4" x14ac:dyDescent="0.2">
      <c r="D161" s="362"/>
    </row>
    <row r="162" spans="4:4" x14ac:dyDescent="0.2">
      <c r="D162" s="362"/>
    </row>
    <row r="163" spans="4:4" x14ac:dyDescent="0.2">
      <c r="D163" s="362"/>
    </row>
    <row r="164" spans="4:4" x14ac:dyDescent="0.2">
      <c r="D164" s="362"/>
    </row>
    <row r="165" spans="4:4" x14ac:dyDescent="0.2">
      <c r="D165" s="362"/>
    </row>
    <row r="166" spans="4:4" x14ac:dyDescent="0.2">
      <c r="D166" s="362"/>
    </row>
    <row r="167" spans="4:4" x14ac:dyDescent="0.2">
      <c r="D167" s="362"/>
    </row>
    <row r="168" spans="4:4" x14ac:dyDescent="0.2">
      <c r="D168" s="362"/>
    </row>
    <row r="169" spans="4:4" x14ac:dyDescent="0.2">
      <c r="D169" s="362"/>
    </row>
    <row r="170" spans="4:4" x14ac:dyDescent="0.2">
      <c r="D170" s="362"/>
    </row>
    <row r="171" spans="4:4" x14ac:dyDescent="0.2">
      <c r="D171" s="362"/>
    </row>
    <row r="172" spans="4:4" x14ac:dyDescent="0.2">
      <c r="D172" s="362"/>
    </row>
    <row r="173" spans="4:4" x14ac:dyDescent="0.2">
      <c r="D173" s="362"/>
    </row>
    <row r="174" spans="4:4" x14ac:dyDescent="0.2">
      <c r="D174" s="362"/>
    </row>
    <row r="175" spans="4:4" x14ac:dyDescent="0.2">
      <c r="D175" s="362"/>
    </row>
    <row r="176" spans="4:4" x14ac:dyDescent="0.2">
      <c r="D176" s="362"/>
    </row>
    <row r="177" spans="4:4" x14ac:dyDescent="0.2">
      <c r="D177" s="362"/>
    </row>
    <row r="178" spans="4:4" x14ac:dyDescent="0.2">
      <c r="D178" s="362"/>
    </row>
    <row r="179" spans="4:4" x14ac:dyDescent="0.2">
      <c r="D179" s="362"/>
    </row>
    <row r="180" spans="4:4" x14ac:dyDescent="0.2">
      <c r="D180" s="362"/>
    </row>
    <row r="181" spans="4:4" x14ac:dyDescent="0.2">
      <c r="D181" s="362"/>
    </row>
    <row r="182" spans="4:4" x14ac:dyDescent="0.2">
      <c r="D182" s="362"/>
    </row>
    <row r="183" spans="4:4" x14ac:dyDescent="0.2">
      <c r="D183" s="362"/>
    </row>
    <row r="184" spans="4:4" x14ac:dyDescent="0.2">
      <c r="D184" s="362"/>
    </row>
    <row r="185" spans="4:4" x14ac:dyDescent="0.2">
      <c r="D185" s="362"/>
    </row>
    <row r="186" spans="4:4" x14ac:dyDescent="0.2">
      <c r="D186" s="362"/>
    </row>
    <row r="187" spans="4:4" x14ac:dyDescent="0.2">
      <c r="D187" s="362"/>
    </row>
    <row r="188" spans="4:4" x14ac:dyDescent="0.2">
      <c r="D188" s="362"/>
    </row>
    <row r="189" spans="4:4" x14ac:dyDescent="0.2">
      <c r="D189" s="362"/>
    </row>
    <row r="190" spans="4:4" x14ac:dyDescent="0.2">
      <c r="D190" s="362"/>
    </row>
    <row r="191" spans="4:4" x14ac:dyDescent="0.2">
      <c r="D191" s="362"/>
    </row>
    <row r="192" spans="4:4" x14ac:dyDescent="0.2">
      <c r="D192" s="362"/>
    </row>
    <row r="193" spans="4:4" x14ac:dyDescent="0.2">
      <c r="D193" s="362"/>
    </row>
    <row r="194" spans="4:4" x14ac:dyDescent="0.2">
      <c r="D194" s="362"/>
    </row>
    <row r="195" spans="4:4" x14ac:dyDescent="0.2">
      <c r="D195" s="362"/>
    </row>
    <row r="196" spans="4:4" x14ac:dyDescent="0.2">
      <c r="D196" s="362"/>
    </row>
    <row r="197" spans="4:4" x14ac:dyDescent="0.2">
      <c r="D197" s="362"/>
    </row>
    <row r="198" spans="4:4" x14ac:dyDescent="0.2">
      <c r="D198" s="362"/>
    </row>
    <row r="199" spans="4:4" x14ac:dyDescent="0.2">
      <c r="D199" s="362"/>
    </row>
    <row r="200" spans="4:4" x14ac:dyDescent="0.2">
      <c r="D200" s="362"/>
    </row>
    <row r="201" spans="4:4" x14ac:dyDescent="0.2">
      <c r="D201" s="362"/>
    </row>
    <row r="202" spans="4:4" x14ac:dyDescent="0.2">
      <c r="D202" s="362"/>
    </row>
    <row r="203" spans="4:4" x14ac:dyDescent="0.2">
      <c r="D203" s="362"/>
    </row>
    <row r="204" spans="4:4" x14ac:dyDescent="0.2">
      <c r="D204" s="362"/>
    </row>
    <row r="205" spans="4:4" x14ac:dyDescent="0.2">
      <c r="D205" s="362"/>
    </row>
    <row r="206" spans="4:4" x14ac:dyDescent="0.2">
      <c r="D206" s="362"/>
    </row>
    <row r="207" spans="4:4" x14ac:dyDescent="0.2">
      <c r="D207" s="362"/>
    </row>
    <row r="208" spans="4:4" x14ac:dyDescent="0.2">
      <c r="D208" s="362"/>
    </row>
    <row r="209" spans="4:4" x14ac:dyDescent="0.2">
      <c r="D209" s="362"/>
    </row>
    <row r="210" spans="4:4" x14ac:dyDescent="0.2">
      <c r="D210" s="362"/>
    </row>
    <row r="211" spans="4:4" x14ac:dyDescent="0.2">
      <c r="D211" s="362"/>
    </row>
    <row r="212" spans="4:4" x14ac:dyDescent="0.2">
      <c r="D212" s="362"/>
    </row>
    <row r="213" spans="4:4" x14ac:dyDescent="0.2">
      <c r="D213" s="362"/>
    </row>
    <row r="214" spans="4:4" x14ac:dyDescent="0.2">
      <c r="D214" s="362"/>
    </row>
    <row r="215" spans="4:4" x14ac:dyDescent="0.2">
      <c r="D215" s="362"/>
    </row>
    <row r="216" spans="4:4" x14ac:dyDescent="0.2">
      <c r="D216" s="362"/>
    </row>
    <row r="217" spans="4:4" x14ac:dyDescent="0.2">
      <c r="D217" s="362"/>
    </row>
    <row r="218" spans="4:4" x14ac:dyDescent="0.2">
      <c r="D218" s="362"/>
    </row>
    <row r="219" spans="4:4" x14ac:dyDescent="0.2">
      <c r="D219" s="362"/>
    </row>
    <row r="220" spans="4:4" x14ac:dyDescent="0.2">
      <c r="D220" s="362"/>
    </row>
    <row r="221" spans="4:4" x14ac:dyDescent="0.2">
      <c r="D221" s="362"/>
    </row>
    <row r="222" spans="4:4" x14ac:dyDescent="0.2">
      <c r="D222" s="362"/>
    </row>
    <row r="223" spans="4:4" x14ac:dyDescent="0.2">
      <c r="D223" s="362"/>
    </row>
    <row r="224" spans="4:4" x14ac:dyDescent="0.2">
      <c r="D224" s="362"/>
    </row>
    <row r="225" spans="4:4" x14ac:dyDescent="0.2">
      <c r="D225" s="362"/>
    </row>
    <row r="226" spans="4:4" x14ac:dyDescent="0.2">
      <c r="D226" s="362"/>
    </row>
    <row r="227" spans="4:4" x14ac:dyDescent="0.2">
      <c r="D227" s="362"/>
    </row>
    <row r="228" spans="4:4" x14ac:dyDescent="0.2">
      <c r="D228" s="362"/>
    </row>
    <row r="229" spans="4:4" x14ac:dyDescent="0.2">
      <c r="D229" s="362"/>
    </row>
    <row r="230" spans="4:4" x14ac:dyDescent="0.2">
      <c r="D230" s="362"/>
    </row>
    <row r="231" spans="4:4" x14ac:dyDescent="0.2">
      <c r="D231" s="362"/>
    </row>
    <row r="232" spans="4:4" x14ac:dyDescent="0.2">
      <c r="D232" s="362"/>
    </row>
    <row r="233" spans="4:4" x14ac:dyDescent="0.2">
      <c r="D233" s="362"/>
    </row>
    <row r="234" spans="4:4" x14ac:dyDescent="0.2">
      <c r="D234" s="362"/>
    </row>
    <row r="235" spans="4:4" x14ac:dyDescent="0.2">
      <c r="D235" s="362"/>
    </row>
    <row r="236" spans="4:4" x14ac:dyDescent="0.2">
      <c r="D236" s="362"/>
    </row>
    <row r="237" spans="4:4" x14ac:dyDescent="0.2">
      <c r="D237" s="362"/>
    </row>
    <row r="238" spans="4:4" x14ac:dyDescent="0.2">
      <c r="D238" s="362"/>
    </row>
    <row r="239" spans="4:4" x14ac:dyDescent="0.2">
      <c r="D239" s="362"/>
    </row>
    <row r="240" spans="4:4" x14ac:dyDescent="0.2">
      <c r="D240" s="362"/>
    </row>
    <row r="241" spans="4:4" x14ac:dyDescent="0.2">
      <c r="D241" s="362"/>
    </row>
    <row r="242" spans="4:4" x14ac:dyDescent="0.2">
      <c r="D242" s="362"/>
    </row>
    <row r="243" spans="4:4" x14ac:dyDescent="0.2">
      <c r="D243" s="362"/>
    </row>
    <row r="244" spans="4:4" x14ac:dyDescent="0.2">
      <c r="D244" s="362"/>
    </row>
    <row r="245" spans="4:4" x14ac:dyDescent="0.2">
      <c r="D245" s="362"/>
    </row>
    <row r="246" spans="4:4" x14ac:dyDescent="0.2">
      <c r="D246" s="362"/>
    </row>
    <row r="247" spans="4:4" x14ac:dyDescent="0.2">
      <c r="D247" s="362"/>
    </row>
    <row r="248" spans="4:4" x14ac:dyDescent="0.2">
      <c r="D248" s="362"/>
    </row>
    <row r="249" spans="4:4" x14ac:dyDescent="0.2">
      <c r="D249" s="362"/>
    </row>
    <row r="250" spans="4:4" x14ac:dyDescent="0.2">
      <c r="D250" s="362"/>
    </row>
    <row r="251" spans="4:4" x14ac:dyDescent="0.2">
      <c r="D251" s="362"/>
    </row>
    <row r="252" spans="4:4" x14ac:dyDescent="0.2">
      <c r="D252" s="362"/>
    </row>
    <row r="253" spans="4:4" x14ac:dyDescent="0.2">
      <c r="D253" s="362"/>
    </row>
    <row r="254" spans="4:4" x14ac:dyDescent="0.2">
      <c r="D254" s="362"/>
    </row>
    <row r="255" spans="4:4" x14ac:dyDescent="0.2">
      <c r="D255" s="362"/>
    </row>
    <row r="256" spans="4:4" x14ac:dyDescent="0.2">
      <c r="D256" s="362"/>
    </row>
    <row r="257" spans="4:4" x14ac:dyDescent="0.2">
      <c r="D257" s="362"/>
    </row>
    <row r="258" spans="4:4" x14ac:dyDescent="0.2">
      <c r="D258" s="362"/>
    </row>
    <row r="259" spans="4:4" x14ac:dyDescent="0.2">
      <c r="D259" s="362"/>
    </row>
    <row r="260" spans="4:4" x14ac:dyDescent="0.2">
      <c r="D260" s="362"/>
    </row>
    <row r="261" spans="4:4" x14ac:dyDescent="0.2">
      <c r="D261" s="362"/>
    </row>
    <row r="262" spans="4:4" x14ac:dyDescent="0.2">
      <c r="D262" s="362"/>
    </row>
    <row r="263" spans="4:4" x14ac:dyDescent="0.2">
      <c r="D263" s="362"/>
    </row>
    <row r="264" spans="4:4" x14ac:dyDescent="0.2">
      <c r="D264" s="362"/>
    </row>
    <row r="265" spans="4:4" x14ac:dyDescent="0.2">
      <c r="D265" s="362"/>
    </row>
    <row r="266" spans="4:4" x14ac:dyDescent="0.2">
      <c r="D266" s="362"/>
    </row>
    <row r="267" spans="4:4" x14ac:dyDescent="0.2">
      <c r="D267" s="362"/>
    </row>
    <row r="268" spans="4:4" x14ac:dyDescent="0.2">
      <c r="D268" s="362"/>
    </row>
    <row r="269" spans="4:4" x14ac:dyDescent="0.2">
      <c r="D269" s="362"/>
    </row>
    <row r="270" spans="4:4" x14ac:dyDescent="0.2">
      <c r="D270" s="362"/>
    </row>
    <row r="271" spans="4:4" x14ac:dyDescent="0.2">
      <c r="D271" s="362"/>
    </row>
    <row r="272" spans="4:4" x14ac:dyDescent="0.2">
      <c r="D272" s="362"/>
    </row>
    <row r="273" spans="4:4" x14ac:dyDescent="0.2">
      <c r="D273" s="362"/>
    </row>
    <row r="274" spans="4:4" x14ac:dyDescent="0.2">
      <c r="D274" s="362"/>
    </row>
    <row r="275" spans="4:4" x14ac:dyDescent="0.2">
      <c r="D275" s="362"/>
    </row>
    <row r="276" spans="4:4" x14ac:dyDescent="0.2">
      <c r="D276" s="362"/>
    </row>
    <row r="277" spans="4:4" x14ac:dyDescent="0.2">
      <c r="D277" s="362"/>
    </row>
    <row r="278" spans="4:4" x14ac:dyDescent="0.2">
      <c r="D278" s="362"/>
    </row>
    <row r="279" spans="4:4" x14ac:dyDescent="0.2">
      <c r="D279" s="362"/>
    </row>
    <row r="280" spans="4:4" x14ac:dyDescent="0.2">
      <c r="D280" s="362"/>
    </row>
    <row r="281" spans="4:4" x14ac:dyDescent="0.2">
      <c r="D281" s="362"/>
    </row>
    <row r="282" spans="4:4" x14ac:dyDescent="0.2">
      <c r="D282" s="362"/>
    </row>
    <row r="283" spans="4:4" x14ac:dyDescent="0.2">
      <c r="D283" s="362"/>
    </row>
    <row r="284" spans="4:4" x14ac:dyDescent="0.2">
      <c r="D284" s="362"/>
    </row>
    <row r="285" spans="4:4" x14ac:dyDescent="0.2">
      <c r="D285" s="362"/>
    </row>
    <row r="286" spans="4:4" x14ac:dyDescent="0.2">
      <c r="D286" s="362"/>
    </row>
    <row r="287" spans="4:4" x14ac:dyDescent="0.2">
      <c r="D287" s="362"/>
    </row>
    <row r="288" spans="4:4" x14ac:dyDescent="0.2">
      <c r="D288" s="362"/>
    </row>
    <row r="289" spans="4:4" x14ac:dyDescent="0.2">
      <c r="D289" s="362"/>
    </row>
    <row r="290" spans="4:4" x14ac:dyDescent="0.2">
      <c r="D290" s="362"/>
    </row>
    <row r="291" spans="4:4" x14ac:dyDescent="0.2">
      <c r="D291" s="362"/>
    </row>
    <row r="292" spans="4:4" x14ac:dyDescent="0.2">
      <c r="D292" s="362"/>
    </row>
    <row r="293" spans="4:4" x14ac:dyDescent="0.2">
      <c r="D293" s="362"/>
    </row>
    <row r="294" spans="4:4" x14ac:dyDescent="0.2">
      <c r="D294" s="362"/>
    </row>
    <row r="295" spans="4:4" x14ac:dyDescent="0.2">
      <c r="D295" s="362"/>
    </row>
    <row r="296" spans="4:4" x14ac:dyDescent="0.2">
      <c r="D296" s="362"/>
    </row>
    <row r="297" spans="4:4" x14ac:dyDescent="0.2">
      <c r="D297" s="362"/>
    </row>
    <row r="298" spans="4:4" x14ac:dyDescent="0.2">
      <c r="D298" s="362"/>
    </row>
    <row r="299" spans="4:4" x14ac:dyDescent="0.2">
      <c r="D299" s="362"/>
    </row>
    <row r="300" spans="4:4" x14ac:dyDescent="0.2">
      <c r="D300" s="362"/>
    </row>
    <row r="301" spans="4:4" x14ac:dyDescent="0.2">
      <c r="D301" s="362"/>
    </row>
    <row r="302" spans="4:4" x14ac:dyDescent="0.2">
      <c r="D302" s="362"/>
    </row>
    <row r="303" spans="4:4" x14ac:dyDescent="0.2">
      <c r="D303" s="362"/>
    </row>
    <row r="304" spans="4:4" x14ac:dyDescent="0.2">
      <c r="D304" s="362"/>
    </row>
    <row r="305" spans="4:4" x14ac:dyDescent="0.2">
      <c r="D305" s="362"/>
    </row>
    <row r="306" spans="4:4" x14ac:dyDescent="0.2">
      <c r="D306" s="362"/>
    </row>
    <row r="307" spans="4:4" x14ac:dyDescent="0.2">
      <c r="D307" s="362"/>
    </row>
    <row r="308" spans="4:4" x14ac:dyDescent="0.2">
      <c r="D308" s="362"/>
    </row>
    <row r="309" spans="4:4" x14ac:dyDescent="0.2">
      <c r="D309" s="362"/>
    </row>
    <row r="310" spans="4:4" x14ac:dyDescent="0.2">
      <c r="D310" s="362"/>
    </row>
    <row r="311" spans="4:4" x14ac:dyDescent="0.2">
      <c r="D311" s="362"/>
    </row>
    <row r="312" spans="4:4" x14ac:dyDescent="0.2">
      <c r="D312" s="362"/>
    </row>
    <row r="313" spans="4:4" x14ac:dyDescent="0.2">
      <c r="D313" s="362"/>
    </row>
    <row r="314" spans="4:4" x14ac:dyDescent="0.2">
      <c r="D314" s="362"/>
    </row>
    <row r="315" spans="4:4" x14ac:dyDescent="0.2">
      <c r="D315" s="362"/>
    </row>
    <row r="316" spans="4:4" x14ac:dyDescent="0.2">
      <c r="D316" s="362"/>
    </row>
    <row r="317" spans="4:4" x14ac:dyDescent="0.2">
      <c r="D317" s="362"/>
    </row>
    <row r="318" spans="4:4" x14ac:dyDescent="0.2">
      <c r="D318" s="362"/>
    </row>
    <row r="319" spans="4:4" x14ac:dyDescent="0.2">
      <c r="D319" s="362"/>
    </row>
    <row r="320" spans="4:4" x14ac:dyDescent="0.2">
      <c r="D320" s="362"/>
    </row>
    <row r="321" spans="4:4" x14ac:dyDescent="0.2">
      <c r="D321" s="362"/>
    </row>
    <row r="322" spans="4:4" x14ac:dyDescent="0.2">
      <c r="D322" s="362"/>
    </row>
    <row r="323" spans="4:4" x14ac:dyDescent="0.2">
      <c r="D323" s="362"/>
    </row>
    <row r="324" spans="4:4" x14ac:dyDescent="0.2">
      <c r="D324" s="362"/>
    </row>
    <row r="325" spans="4:4" x14ac:dyDescent="0.2">
      <c r="D325" s="362"/>
    </row>
  </sheetData>
  <sheetProtection password="C47C" sheet="1" objects="1" scenarios="1"/>
  <customSheetViews>
    <customSheetView guid="{53CC1FF8-69F4-40AB-9E52-A9F35D642996}" scale="90" showGridLines="0" state="hidden">
      <pane xSplit="4" ySplit="3" topLeftCell="E4" activePane="bottomRight" state="frozen"/>
      <selection pane="bottomRight" sqref="A1:C1"/>
      <rowBreaks count="1" manualBreakCount="1">
        <brk id="74" max="16383" man="1"/>
      </rowBreaks>
      <pageMargins left="0.6" right="0.25" top="0.5" bottom="0.25" header="0.5" footer="0.5"/>
      <pageSetup scale="95" orientation="landscape" blackAndWhite="1" r:id="rId1"/>
      <headerFooter alignWithMargins="0"/>
    </customSheetView>
  </customSheetViews>
  <mergeCells count="7">
    <mergeCell ref="A45:C45"/>
    <mergeCell ref="A43:J43"/>
    <mergeCell ref="A40:D40"/>
    <mergeCell ref="A1:C1"/>
    <mergeCell ref="D2:H2"/>
    <mergeCell ref="I1:J1"/>
    <mergeCell ref="A42:C42"/>
  </mergeCells>
  <phoneticPr fontId="55" type="noConversion"/>
  <conditionalFormatting sqref="I41:I42">
    <cfRule type="expression" dxfId="180" priority="7" stopIfTrue="1">
      <formula>$I$40&lt;$I$37</formula>
    </cfRule>
    <cfRule type="expression" dxfId="179" priority="8" stopIfTrue="1">
      <formula>$I$40/$I$37&lt;1.02</formula>
    </cfRule>
    <cfRule type="expression" dxfId="178" priority="9" stopIfTrue="1">
      <formula>$I$40/$I$37&gt;1</formula>
    </cfRule>
  </conditionalFormatting>
  <conditionalFormatting sqref="J41:J42">
    <cfRule type="expression" dxfId="177" priority="10" stopIfTrue="1">
      <formula>$J$40&lt;$J$37</formula>
    </cfRule>
    <cfRule type="expression" dxfId="176" priority="11" stopIfTrue="1">
      <formula>$J$40/$J$37&lt;1.02</formula>
    </cfRule>
    <cfRule type="expression" dxfId="175" priority="12" stopIfTrue="1">
      <formula>$J$40/$J$37&gt;1</formula>
    </cfRule>
  </conditionalFormatting>
  <dataValidations count="1">
    <dataValidation allowBlank="1" showInputMessage="1" showErrorMessage="1" promptTitle="Calculated" prompt="This is calculated, only change if not correct." sqref="I34:J34"/>
  </dataValidations>
  <pageMargins left="0.6" right="0.25" top="0.5" bottom="0.25" header="0.5" footer="0.5"/>
  <pageSetup scale="95" orientation="landscape" blackAndWhite="1" r:id="rId2"/>
  <headerFooter alignWithMargins="0"/>
  <rowBreaks count="1" manualBreakCount="1">
    <brk id="75" max="16383" man="1"/>
  </rowBreaks>
  <ignoredErrors>
    <ignoredError sqref="I3:J3 F3:H3"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39997558519241921"/>
    <pageSetUpPr fitToPage="1"/>
  </sheetPr>
  <dimension ref="A1:K52"/>
  <sheetViews>
    <sheetView showGridLines="0" zoomScale="80" zoomScaleNormal="80" workbookViewId="0">
      <pane xSplit="3" ySplit="4" topLeftCell="D5" activePane="bottomRight" state="frozen"/>
      <selection activeCell="C2" sqref="C2:H2"/>
      <selection pane="topRight" activeCell="C2" sqref="C2:H2"/>
      <selection pane="bottomLeft" activeCell="C2" sqref="C2:H2"/>
      <selection pane="bottomRight"/>
    </sheetView>
  </sheetViews>
  <sheetFormatPr defaultColWidth="9" defaultRowHeight="12.75" x14ac:dyDescent="0.2"/>
  <cols>
    <col min="1" max="1" width="44.85546875" style="15" customWidth="1"/>
    <col min="2" max="2" width="3.5703125" style="2" customWidth="1"/>
    <col min="3" max="3" width="1.42578125" style="2" customWidth="1"/>
    <col min="4" max="6" width="15.7109375" style="18" customWidth="1"/>
    <col min="7" max="7" width="15.42578125" style="18" customWidth="1"/>
    <col min="8" max="8" width="16.85546875" style="18" customWidth="1"/>
    <col min="9" max="9" width="15.42578125" style="18" customWidth="1"/>
    <col min="10" max="10" width="13.42578125" style="18" customWidth="1"/>
    <col min="11" max="11" width="3.5703125" style="2" customWidth="1"/>
    <col min="12" max="16384" width="9" style="2"/>
  </cols>
  <sheetData>
    <row r="1" spans="1:11" ht="18.75" x14ac:dyDescent="0.3">
      <c r="A1" s="34" t="s">
        <v>869</v>
      </c>
      <c r="B1" s="18"/>
      <c r="C1" s="203"/>
      <c r="D1" s="935">
        <f>InputsResults!$K$3</f>
        <v>0</v>
      </c>
      <c r="E1" s="936"/>
      <c r="F1" s="936"/>
      <c r="G1" s="936"/>
      <c r="H1" s="936"/>
      <c r="I1" s="35" t="s">
        <v>934</v>
      </c>
      <c r="J1" s="33" t="e">
        <f>InputsResults!$J$3</f>
        <v>#N/A</v>
      </c>
    </row>
    <row r="2" spans="1:11" ht="19.5" thickBot="1" x14ac:dyDescent="0.35">
      <c r="A2" s="34" t="s">
        <v>935</v>
      </c>
      <c r="B2" s="203"/>
      <c r="C2" s="16"/>
      <c r="D2" s="900" t="str">
        <f>CONCATENATE("FY ",DoM!$B$6-2," ACTUAL WORKSHEET - Page 1")</f>
        <v>FY 2016 ACTUAL WORKSHEET - Page 1</v>
      </c>
      <c r="E2" s="900"/>
      <c r="F2" s="900"/>
      <c r="G2" s="900"/>
      <c r="H2" s="418"/>
      <c r="I2" s="418"/>
      <c r="J2" s="419"/>
      <c r="K2" s="31"/>
    </row>
    <row r="3" spans="1:11" x14ac:dyDescent="0.2">
      <c r="A3" s="36"/>
      <c r="B3" s="31"/>
      <c r="C3" s="40"/>
      <c r="D3" s="417"/>
      <c r="E3" s="897" t="s">
        <v>870</v>
      </c>
      <c r="F3" s="898"/>
      <c r="G3" s="898"/>
      <c r="H3" s="898"/>
      <c r="I3" s="898"/>
      <c r="J3" s="899"/>
      <c r="K3" s="37"/>
    </row>
    <row r="4" spans="1:11" ht="24.75" customHeight="1" x14ac:dyDescent="0.2">
      <c r="A4" s="38" t="s">
        <v>871</v>
      </c>
      <c r="B4" s="31"/>
      <c r="C4" s="204"/>
      <c r="D4" s="54" t="s">
        <v>928</v>
      </c>
      <c r="E4" s="416" t="s">
        <v>931</v>
      </c>
      <c r="F4" s="342" t="s">
        <v>929</v>
      </c>
      <c r="G4" s="39" t="s">
        <v>930</v>
      </c>
      <c r="H4" s="388" t="s">
        <v>1642</v>
      </c>
      <c r="I4" s="388" t="s">
        <v>52</v>
      </c>
      <c r="J4" s="388" t="s">
        <v>1488</v>
      </c>
      <c r="K4" s="40"/>
    </row>
    <row r="5" spans="1:11" x14ac:dyDescent="0.2">
      <c r="A5" s="4" t="s">
        <v>785</v>
      </c>
      <c r="B5" s="5">
        <v>1</v>
      </c>
      <c r="C5" s="6"/>
      <c r="D5" s="67"/>
      <c r="E5" s="292"/>
      <c r="F5" s="137"/>
      <c r="G5" s="137"/>
      <c r="H5" s="137"/>
      <c r="I5" s="137"/>
      <c r="J5" s="292"/>
      <c r="K5" s="6">
        <v>1</v>
      </c>
    </row>
    <row r="6" spans="1:11" x14ac:dyDescent="0.2">
      <c r="A6" s="4" t="s">
        <v>786</v>
      </c>
      <c r="B6" s="24">
        <v>2</v>
      </c>
      <c r="C6" s="6"/>
      <c r="D6" s="67"/>
      <c r="E6" s="292"/>
      <c r="F6" s="137"/>
      <c r="G6" s="137"/>
      <c r="H6" s="137"/>
      <c r="I6" s="137"/>
      <c r="J6" s="292"/>
      <c r="K6" s="6">
        <v>2</v>
      </c>
    </row>
    <row r="7" spans="1:11" x14ac:dyDescent="0.2">
      <c r="A7" s="4" t="s">
        <v>787</v>
      </c>
      <c r="B7" s="24">
        <v>3</v>
      </c>
      <c r="C7" s="6"/>
      <c r="D7" s="136"/>
      <c r="E7" s="292"/>
      <c r="F7" s="292"/>
      <c r="G7" s="292"/>
      <c r="H7" s="292"/>
      <c r="I7" s="292"/>
      <c r="J7" s="292"/>
      <c r="K7" s="6">
        <v>3</v>
      </c>
    </row>
    <row r="8" spans="1:11" x14ac:dyDescent="0.2">
      <c r="A8" s="4" t="s">
        <v>788</v>
      </c>
      <c r="B8" s="24">
        <v>4</v>
      </c>
      <c r="C8" s="6"/>
      <c r="D8" s="136"/>
      <c r="E8" s="112"/>
      <c r="F8" s="292"/>
      <c r="G8" s="292"/>
      <c r="H8" s="292"/>
      <c r="I8" s="292"/>
      <c r="J8" s="292"/>
      <c r="K8" s="6">
        <v>4</v>
      </c>
    </row>
    <row r="9" spans="1:11" x14ac:dyDescent="0.2">
      <c r="A9" s="4" t="s">
        <v>789</v>
      </c>
      <c r="B9" s="24">
        <v>5</v>
      </c>
      <c r="C9" s="6"/>
      <c r="D9" s="67"/>
      <c r="E9" s="137"/>
      <c r="F9" s="291"/>
      <c r="G9" s="291"/>
      <c r="H9" s="291"/>
      <c r="I9" s="291"/>
      <c r="J9" s="292"/>
      <c r="K9" s="6">
        <v>5</v>
      </c>
    </row>
    <row r="10" spans="1:11" x14ac:dyDescent="0.2">
      <c r="A10" s="4" t="s">
        <v>790</v>
      </c>
      <c r="B10" s="24">
        <v>6</v>
      </c>
      <c r="C10" s="6"/>
      <c r="D10" s="62"/>
      <c r="E10" s="292"/>
      <c r="F10" s="292"/>
      <c r="G10" s="292"/>
      <c r="H10" s="292"/>
      <c r="I10" s="292"/>
      <c r="J10" s="292"/>
      <c r="K10" s="6">
        <v>6</v>
      </c>
    </row>
    <row r="11" spans="1:11" x14ac:dyDescent="0.2">
      <c r="A11" s="4" t="s">
        <v>791</v>
      </c>
      <c r="B11" s="24">
        <v>7</v>
      </c>
      <c r="C11" s="6"/>
      <c r="D11" s="136"/>
      <c r="E11" s="112"/>
      <c r="F11" s="292"/>
      <c r="G11" s="292"/>
      <c r="H11" s="292"/>
      <c r="I11" s="292"/>
      <c r="J11" s="292"/>
      <c r="K11" s="6">
        <v>7</v>
      </c>
    </row>
    <row r="12" spans="1:11" x14ac:dyDescent="0.2">
      <c r="A12" s="4" t="s">
        <v>792</v>
      </c>
      <c r="B12" s="24">
        <v>8</v>
      </c>
      <c r="C12" s="6"/>
      <c r="D12" s="67"/>
      <c r="E12" s="67"/>
      <c r="F12" s="135"/>
      <c r="G12" s="135"/>
      <c r="H12" s="135"/>
      <c r="I12" s="135"/>
      <c r="J12" s="292"/>
      <c r="K12" s="6">
        <v>8</v>
      </c>
    </row>
    <row r="13" spans="1:11" x14ac:dyDescent="0.2">
      <c r="A13" s="4" t="s">
        <v>793</v>
      </c>
      <c r="B13" s="24">
        <v>9</v>
      </c>
      <c r="C13" s="6"/>
      <c r="D13" s="67"/>
      <c r="E13" s="67"/>
      <c r="F13" s="67"/>
      <c r="G13" s="67"/>
      <c r="H13" s="67"/>
      <c r="I13" s="67"/>
      <c r="J13" s="292"/>
      <c r="K13" s="6">
        <v>9</v>
      </c>
    </row>
    <row r="14" spans="1:11" x14ac:dyDescent="0.2">
      <c r="A14" s="4" t="s">
        <v>794</v>
      </c>
      <c r="B14" s="24">
        <v>10</v>
      </c>
      <c r="C14" s="6"/>
      <c r="D14" s="67"/>
      <c r="E14" s="292"/>
      <c r="F14" s="292"/>
      <c r="G14" s="292"/>
      <c r="H14" s="292"/>
      <c r="I14" s="292"/>
      <c r="J14" s="292"/>
      <c r="K14" s="6">
        <v>10</v>
      </c>
    </row>
    <row r="15" spans="1:11" x14ac:dyDescent="0.2">
      <c r="A15" s="4" t="s">
        <v>795</v>
      </c>
      <c r="B15" s="24">
        <v>11</v>
      </c>
      <c r="C15" s="6"/>
      <c r="D15" s="67"/>
      <c r="E15" s="292"/>
      <c r="F15" s="292"/>
      <c r="G15" s="292"/>
      <c r="H15" s="292"/>
      <c r="I15" s="292"/>
      <c r="J15" s="292"/>
      <c r="K15" s="6">
        <v>11</v>
      </c>
    </row>
    <row r="16" spans="1:11" x14ac:dyDescent="0.2">
      <c r="A16" s="4" t="s">
        <v>796</v>
      </c>
      <c r="B16" s="24">
        <v>12</v>
      </c>
      <c r="C16" s="6"/>
      <c r="D16" s="67"/>
      <c r="E16" s="292"/>
      <c r="F16" s="67"/>
      <c r="G16" s="112"/>
      <c r="H16" s="67"/>
      <c r="I16" s="67"/>
      <c r="J16" s="292"/>
      <c r="K16" s="6">
        <v>12</v>
      </c>
    </row>
    <row r="17" spans="1:11" x14ac:dyDescent="0.2">
      <c r="A17" s="4" t="s">
        <v>1645</v>
      </c>
      <c r="B17" s="24">
        <v>13</v>
      </c>
      <c r="C17" s="6"/>
      <c r="D17" s="67"/>
      <c r="E17" s="292"/>
      <c r="F17" s="67"/>
      <c r="G17" s="67"/>
      <c r="H17" s="67"/>
      <c r="I17" s="67"/>
      <c r="J17" s="292"/>
      <c r="K17" s="6">
        <v>13</v>
      </c>
    </row>
    <row r="18" spans="1:11" x14ac:dyDescent="0.2">
      <c r="A18" s="23" t="s">
        <v>700</v>
      </c>
      <c r="B18" s="24">
        <v>14</v>
      </c>
      <c r="C18" s="6"/>
      <c r="D18" s="67"/>
      <c r="E18" s="292"/>
      <c r="F18" s="292"/>
      <c r="G18" s="292"/>
      <c r="H18" s="292"/>
      <c r="I18" s="292"/>
      <c r="J18" s="292"/>
      <c r="K18" s="6">
        <v>14</v>
      </c>
    </row>
    <row r="19" spans="1:11" x14ac:dyDescent="0.2">
      <c r="A19" s="4" t="s">
        <v>922</v>
      </c>
      <c r="B19" s="24">
        <v>15</v>
      </c>
      <c r="C19" s="6"/>
      <c r="D19" s="67"/>
      <c r="E19" s="292"/>
      <c r="F19" s="67"/>
      <c r="G19" s="112"/>
      <c r="H19" s="67"/>
      <c r="I19" s="67"/>
      <c r="J19" s="292"/>
      <c r="K19" s="6">
        <v>15</v>
      </c>
    </row>
    <row r="20" spans="1:11" x14ac:dyDescent="0.2">
      <c r="A20" s="23" t="s">
        <v>797</v>
      </c>
      <c r="B20" s="24">
        <v>16</v>
      </c>
      <c r="C20" s="6"/>
      <c r="D20" s="66">
        <f t="shared" ref="D20:I20" si="0">SUM(D5:D19)</f>
        <v>0</v>
      </c>
      <c r="E20" s="85">
        <f t="shared" si="0"/>
        <v>0</v>
      </c>
      <c r="F20" s="66">
        <f t="shared" si="0"/>
        <v>0</v>
      </c>
      <c r="G20" s="66">
        <f t="shared" si="0"/>
        <v>0</v>
      </c>
      <c r="H20" s="66">
        <f t="shared" si="0"/>
        <v>0</v>
      </c>
      <c r="I20" s="66">
        <f t="shared" si="0"/>
        <v>0</v>
      </c>
      <c r="J20" s="292"/>
      <c r="K20" s="6">
        <v>16</v>
      </c>
    </row>
    <row r="21" spans="1:11" x14ac:dyDescent="0.2">
      <c r="A21" s="23" t="s">
        <v>798</v>
      </c>
      <c r="B21" s="24">
        <v>17</v>
      </c>
      <c r="C21" s="6"/>
      <c r="D21" s="67"/>
      <c r="E21" s="292"/>
      <c r="F21" s="292"/>
      <c r="G21" s="292"/>
      <c r="H21" s="292"/>
      <c r="I21" s="292"/>
      <c r="J21" s="292"/>
      <c r="K21" s="6">
        <v>17</v>
      </c>
    </row>
    <row r="22" spans="1:11" x14ac:dyDescent="0.2">
      <c r="A22" s="23" t="s">
        <v>1476</v>
      </c>
      <c r="B22" s="24">
        <v>18</v>
      </c>
      <c r="C22" s="6"/>
      <c r="D22" s="67"/>
      <c r="E22" s="67"/>
      <c r="F22" s="67"/>
      <c r="G22" s="67"/>
      <c r="H22" s="67"/>
      <c r="I22" s="67"/>
      <c r="J22" s="292"/>
      <c r="K22" s="6">
        <v>18</v>
      </c>
    </row>
    <row r="23" spans="1:11" x14ac:dyDescent="0.2">
      <c r="A23" s="23" t="s">
        <v>799</v>
      </c>
      <c r="B23" s="24">
        <v>19</v>
      </c>
      <c r="C23" s="6"/>
      <c r="D23" s="67"/>
      <c r="E23" s="67"/>
      <c r="F23" s="292"/>
      <c r="G23" s="67"/>
      <c r="H23" s="67"/>
      <c r="I23" s="67"/>
      <c r="J23" s="292"/>
      <c r="K23" s="6">
        <v>19</v>
      </c>
    </row>
    <row r="24" spans="1:11" x14ac:dyDescent="0.2">
      <c r="A24" s="23" t="s">
        <v>800</v>
      </c>
      <c r="B24" s="24">
        <v>20</v>
      </c>
      <c r="C24" s="6"/>
      <c r="D24" s="66">
        <f t="shared" ref="D24:I24" si="1">SUM(D20:D23)</f>
        <v>0</v>
      </c>
      <c r="E24" s="66">
        <f t="shared" si="1"/>
        <v>0</v>
      </c>
      <c r="F24" s="66">
        <f t="shared" si="1"/>
        <v>0</v>
      </c>
      <c r="G24" s="66">
        <f t="shared" si="1"/>
        <v>0</v>
      </c>
      <c r="H24" s="66">
        <f t="shared" si="1"/>
        <v>0</v>
      </c>
      <c r="I24" s="66">
        <f t="shared" si="1"/>
        <v>0</v>
      </c>
      <c r="J24" s="292"/>
      <c r="K24" s="6">
        <v>20</v>
      </c>
    </row>
    <row r="25" spans="1:11" x14ac:dyDescent="0.2">
      <c r="A25" s="23" t="s">
        <v>801</v>
      </c>
      <c r="B25" s="24">
        <v>21</v>
      </c>
      <c r="C25" s="6"/>
      <c r="D25" s="67"/>
      <c r="E25" s="67"/>
      <c r="F25" s="67"/>
      <c r="G25" s="67"/>
      <c r="H25" s="67"/>
      <c r="I25" s="67"/>
      <c r="J25" s="292"/>
      <c r="K25" s="6">
        <v>21</v>
      </c>
    </row>
    <row r="26" spans="1:11" x14ac:dyDescent="0.2">
      <c r="A26" s="23" t="s">
        <v>802</v>
      </c>
      <c r="B26" s="24">
        <v>22</v>
      </c>
      <c r="C26" s="295"/>
      <c r="D26" s="66">
        <f t="shared" ref="D26:I26" si="2">SUM(D24:D25)</f>
        <v>0</v>
      </c>
      <c r="E26" s="66">
        <f t="shared" si="2"/>
        <v>0</v>
      </c>
      <c r="F26" s="66">
        <f t="shared" si="2"/>
        <v>0</v>
      </c>
      <c r="G26" s="66">
        <f t="shared" si="2"/>
        <v>0</v>
      </c>
      <c r="H26" s="66">
        <f t="shared" si="2"/>
        <v>0</v>
      </c>
      <c r="I26" s="66">
        <f t="shared" si="2"/>
        <v>0</v>
      </c>
      <c r="J26" s="292"/>
      <c r="K26" s="6">
        <v>22</v>
      </c>
    </row>
    <row r="27" spans="1:11" x14ac:dyDescent="0.2">
      <c r="A27" s="25" t="s">
        <v>872</v>
      </c>
      <c r="B27" s="139"/>
      <c r="C27" s="139"/>
    </row>
    <row r="28" spans="1:11" x14ac:dyDescent="0.2">
      <c r="A28" s="23" t="s">
        <v>873</v>
      </c>
      <c r="B28" s="24">
        <v>23</v>
      </c>
      <c r="C28" s="294"/>
      <c r="D28" s="67"/>
      <c r="E28" s="112"/>
      <c r="F28" s="67"/>
      <c r="G28" s="112"/>
      <c r="H28" s="112"/>
      <c r="I28" s="112"/>
      <c r="J28" s="292"/>
      <c r="K28" s="6">
        <v>23</v>
      </c>
    </row>
    <row r="29" spans="1:11" x14ac:dyDescent="0.2">
      <c r="A29" s="23" t="s">
        <v>804</v>
      </c>
      <c r="B29" s="24">
        <v>24</v>
      </c>
      <c r="C29" s="6"/>
      <c r="D29" s="67"/>
      <c r="E29" s="112"/>
      <c r="F29" s="67"/>
      <c r="G29" s="112"/>
      <c r="H29" s="112"/>
      <c r="I29" s="389"/>
      <c r="J29" s="292"/>
      <c r="K29" s="6">
        <v>24</v>
      </c>
    </row>
    <row r="30" spans="1:11" x14ac:dyDescent="0.2">
      <c r="A30" s="23" t="s">
        <v>805</v>
      </c>
      <c r="B30" s="24">
        <v>25</v>
      </c>
      <c r="C30" s="6"/>
      <c r="D30" s="67"/>
      <c r="E30" s="137"/>
      <c r="F30" s="67"/>
      <c r="G30" s="112"/>
      <c r="H30" s="112"/>
      <c r="I30" s="389"/>
      <c r="J30" s="292"/>
      <c r="K30" s="6">
        <v>25</v>
      </c>
    </row>
    <row r="31" spans="1:11" x14ac:dyDescent="0.2">
      <c r="A31" s="23" t="s">
        <v>806</v>
      </c>
      <c r="B31" s="24">
        <v>26</v>
      </c>
      <c r="C31" s="6"/>
      <c r="D31" s="67"/>
      <c r="E31" s="137"/>
      <c r="F31" s="67"/>
      <c r="G31" s="112"/>
      <c r="H31" s="67"/>
      <c r="I31" s="389"/>
      <c r="J31" s="292"/>
      <c r="K31" s="6">
        <v>26</v>
      </c>
    </row>
    <row r="32" spans="1:11" x14ac:dyDescent="0.2">
      <c r="A32" s="4" t="s">
        <v>923</v>
      </c>
      <c r="B32" s="24">
        <v>27</v>
      </c>
      <c r="C32" s="6"/>
      <c r="D32" s="67"/>
      <c r="E32" s="137"/>
      <c r="F32" s="67"/>
      <c r="G32" s="112"/>
      <c r="H32" s="67"/>
      <c r="I32" s="389"/>
      <c r="J32" s="292"/>
      <c r="K32" s="6">
        <v>27</v>
      </c>
    </row>
    <row r="33" spans="1:11" x14ac:dyDescent="0.2">
      <c r="A33" s="23" t="s">
        <v>1066</v>
      </c>
      <c r="B33" s="24">
        <v>28</v>
      </c>
      <c r="C33" s="6"/>
      <c r="D33" s="67"/>
      <c r="E33" s="137"/>
      <c r="F33" s="67"/>
      <c r="G33" s="135"/>
      <c r="H33" s="67"/>
      <c r="I33" s="389"/>
      <c r="J33" s="292"/>
      <c r="K33" s="6">
        <v>28</v>
      </c>
    </row>
    <row r="34" spans="1:11" x14ac:dyDescent="0.2">
      <c r="A34" s="23" t="s">
        <v>807</v>
      </c>
      <c r="B34" s="24">
        <v>29</v>
      </c>
      <c r="C34" s="6"/>
      <c r="D34" s="67"/>
      <c r="E34" s="137"/>
      <c r="F34" s="67"/>
      <c r="G34" s="137"/>
      <c r="H34" s="67"/>
      <c r="I34" s="389"/>
      <c r="J34" s="292"/>
      <c r="K34" s="6">
        <v>29</v>
      </c>
    </row>
    <row r="35" spans="1:11" x14ac:dyDescent="0.2">
      <c r="A35" s="23" t="s">
        <v>808</v>
      </c>
      <c r="B35" s="24">
        <v>30</v>
      </c>
      <c r="C35" s="6"/>
      <c r="D35" s="67"/>
      <c r="E35" s="137"/>
      <c r="F35" s="67"/>
      <c r="G35" s="137"/>
      <c r="H35" s="292"/>
      <c r="I35" s="389"/>
      <c r="J35" s="292"/>
      <c r="K35" s="6">
        <v>30</v>
      </c>
    </row>
    <row r="36" spans="1:11" x14ac:dyDescent="0.2">
      <c r="A36" s="4" t="s">
        <v>924</v>
      </c>
      <c r="B36" s="24">
        <v>31</v>
      </c>
      <c r="C36" s="6"/>
      <c r="D36" s="292"/>
      <c r="E36" s="292"/>
      <c r="F36" s="292"/>
      <c r="G36" s="292"/>
      <c r="H36" s="292"/>
      <c r="I36" s="135"/>
      <c r="J36" s="292"/>
      <c r="K36" s="6">
        <v>31</v>
      </c>
    </row>
    <row r="37" spans="1:11" x14ac:dyDescent="0.2">
      <c r="A37" s="23" t="s">
        <v>874</v>
      </c>
      <c r="B37" s="24">
        <v>32</v>
      </c>
      <c r="C37" s="6"/>
      <c r="D37" s="137"/>
      <c r="E37" s="292"/>
      <c r="F37" s="67"/>
      <c r="G37" s="135"/>
      <c r="H37" s="67"/>
      <c r="I37" s="112"/>
      <c r="J37" s="292"/>
      <c r="K37" s="6">
        <v>32</v>
      </c>
    </row>
    <row r="38" spans="1:11" x14ac:dyDescent="0.2">
      <c r="A38" s="23" t="s">
        <v>813</v>
      </c>
      <c r="B38" s="24">
        <v>33</v>
      </c>
      <c r="C38" s="6"/>
      <c r="D38" s="61"/>
      <c r="E38" s="292"/>
      <c r="F38" s="67"/>
      <c r="G38" s="136"/>
      <c r="H38" s="292"/>
      <c r="I38" s="67"/>
      <c r="J38" s="292"/>
      <c r="K38" s="6">
        <v>33</v>
      </c>
    </row>
    <row r="39" spans="1:11" x14ac:dyDescent="0.2">
      <c r="A39" s="23" t="s">
        <v>875</v>
      </c>
      <c r="B39" s="24">
        <v>34</v>
      </c>
      <c r="C39" s="6"/>
      <c r="D39" s="61"/>
      <c r="E39" s="292"/>
      <c r="F39" s="292"/>
      <c r="G39" s="292"/>
      <c r="H39" s="292"/>
      <c r="I39" s="292"/>
      <c r="J39" s="292"/>
      <c r="K39" s="6">
        <v>34</v>
      </c>
    </row>
    <row r="40" spans="1:11" x14ac:dyDescent="0.2">
      <c r="A40" s="23" t="s">
        <v>815</v>
      </c>
      <c r="B40" s="24">
        <v>35</v>
      </c>
      <c r="C40" s="6"/>
      <c r="D40" s="67"/>
      <c r="E40" s="292"/>
      <c r="F40" s="292"/>
      <c r="G40" s="292"/>
      <c r="H40" s="292"/>
      <c r="I40" s="292"/>
      <c r="J40" s="292"/>
      <c r="K40" s="6">
        <v>35</v>
      </c>
    </row>
    <row r="41" spans="1:11" x14ac:dyDescent="0.2">
      <c r="A41" s="23" t="s">
        <v>818</v>
      </c>
      <c r="B41" s="24">
        <v>36</v>
      </c>
      <c r="C41" s="6"/>
      <c r="D41" s="66">
        <f t="shared" ref="D41:I41" si="3">SUM(D28:D40)</f>
        <v>0</v>
      </c>
      <c r="E41" s="66">
        <f t="shared" si="3"/>
        <v>0</v>
      </c>
      <c r="F41" s="66">
        <f t="shared" si="3"/>
        <v>0</v>
      </c>
      <c r="G41" s="66">
        <f t="shared" si="3"/>
        <v>0</v>
      </c>
      <c r="H41" s="66">
        <f t="shared" si="3"/>
        <v>0</v>
      </c>
      <c r="I41" s="66">
        <f t="shared" si="3"/>
        <v>0</v>
      </c>
      <c r="J41" s="292"/>
      <c r="K41" s="6">
        <v>36</v>
      </c>
    </row>
    <row r="42" spans="1:11" x14ac:dyDescent="0.2">
      <c r="A42" s="23" t="s">
        <v>1477</v>
      </c>
      <c r="B42" s="24">
        <v>37</v>
      </c>
      <c r="C42" s="6"/>
      <c r="D42" s="67"/>
      <c r="E42" s="67"/>
      <c r="F42" s="67"/>
      <c r="G42" s="67"/>
      <c r="H42" s="67"/>
      <c r="I42" s="67"/>
      <c r="J42" s="292"/>
      <c r="K42" s="6">
        <v>37</v>
      </c>
    </row>
    <row r="43" spans="1:11" x14ac:dyDescent="0.2">
      <c r="A43" s="23" t="s">
        <v>819</v>
      </c>
      <c r="B43" s="24">
        <v>38</v>
      </c>
      <c r="C43" s="6"/>
      <c r="D43" s="66">
        <f t="shared" ref="D43:I43" si="4">SUM(D41:D42)</f>
        <v>0</v>
      </c>
      <c r="E43" s="66">
        <f t="shared" si="4"/>
        <v>0</v>
      </c>
      <c r="F43" s="66">
        <f t="shared" si="4"/>
        <v>0</v>
      </c>
      <c r="G43" s="66">
        <f t="shared" si="4"/>
        <v>0</v>
      </c>
      <c r="H43" s="66">
        <f t="shared" si="4"/>
        <v>0</v>
      </c>
      <c r="I43" s="66">
        <f t="shared" si="4"/>
        <v>0</v>
      </c>
      <c r="J43" s="292"/>
      <c r="K43" s="6">
        <v>38</v>
      </c>
    </row>
    <row r="44" spans="1:11" x14ac:dyDescent="0.2">
      <c r="A44" s="23" t="s">
        <v>820</v>
      </c>
      <c r="B44" s="24">
        <v>39</v>
      </c>
      <c r="C44" s="6"/>
      <c r="D44" s="288" t="e">
        <f>INDEX(SNAMEB[],MATCH($J$1,SNAMEB[DIST],0),MATCH(D$52,SNAMEB[#Headers],0))</f>
        <v>#N/A</v>
      </c>
      <c r="E44" s="288" t="e">
        <f>INDEX(SNAMEB[],MATCH($J$1,SNAMEB[DIST],0),MATCH(E$52,SNAMEB[#Headers],0))</f>
        <v>#N/A</v>
      </c>
      <c r="F44" s="288" t="e">
        <f>INDEX(SNAMEB[],MATCH($J$1,SNAMEB[DIST],0),MATCH(F$52,SNAMEB[#Headers],0))</f>
        <v>#N/A</v>
      </c>
      <c r="G44" s="288" t="e">
        <f>INDEX(SNAMEB[],MATCH($J$1,SNAMEB[DIST],0),MATCH(G$52,SNAMEB[#Headers],0))</f>
        <v>#N/A</v>
      </c>
      <c r="H44" s="288" t="e">
        <f>INDEX(SNAMEB[],MATCH($J$1,SNAMEB[DIST],0),MATCH(H$52,SNAMEB[#Headers],0))</f>
        <v>#N/A</v>
      </c>
      <c r="I44" s="288" t="e">
        <f>INDEX(SNAMEB[],MATCH($J$1,SNAMEB[DIST],0),MATCH(I$52,SNAMEB[#Headers],0))</f>
        <v>#N/A</v>
      </c>
      <c r="J44" s="292"/>
      <c r="K44" s="6">
        <v>39</v>
      </c>
    </row>
    <row r="45" spans="1:11" x14ac:dyDescent="0.2">
      <c r="A45" s="23" t="s">
        <v>821</v>
      </c>
      <c r="B45" s="24">
        <v>40</v>
      </c>
      <c r="C45" s="6"/>
      <c r="D45" s="66" t="e">
        <f t="shared" ref="D45:I45" si="5">SUM(D43:D44)</f>
        <v>#N/A</v>
      </c>
      <c r="E45" s="66" t="e">
        <f t="shared" si="5"/>
        <v>#N/A</v>
      </c>
      <c r="F45" s="66" t="e">
        <f t="shared" si="5"/>
        <v>#N/A</v>
      </c>
      <c r="G45" s="66" t="e">
        <f t="shared" si="5"/>
        <v>#N/A</v>
      </c>
      <c r="H45" s="66" t="e">
        <f t="shared" si="5"/>
        <v>#N/A</v>
      </c>
      <c r="I45" s="66" t="e">
        <f t="shared" si="5"/>
        <v>#N/A</v>
      </c>
      <c r="J45" s="292"/>
      <c r="K45" s="6">
        <v>40</v>
      </c>
    </row>
    <row r="52" spans="4:9" hidden="1" x14ac:dyDescent="0.2">
      <c r="D52" s="18" t="str">
        <f>SNAMEB[[#Headers],[General Fund Balance]]</f>
        <v>General Fund Balance</v>
      </c>
      <c r="E52" s="18" t="str">
        <f>SNAMEB[[#Headers],[Activity Fund Balance]]</f>
        <v>Activity Fund Balance</v>
      </c>
      <c r="F52" s="18" t="str">
        <f>SNAMEB[[#Headers],[Management Fund Balance]]</f>
        <v>Management Fund Balance</v>
      </c>
      <c r="G52" s="18" t="str">
        <f>SNAMEB[[#Headers],[PERL Fund Balance]]</f>
        <v>PERL Fund Balance</v>
      </c>
      <c r="H52" s="18" t="str">
        <f>SNAMEB[[#Headers],[Entre/Equal/SupportTrust/Library FundBalance]]</f>
        <v>Entre/Equal/SupportTrust/Library FundBalance</v>
      </c>
      <c r="I52" s="18" t="str">
        <f>SNAMEB[[#Headers],[Emergency/DisasterRecovery Fund Balance]]</f>
        <v>Emergency/DisasterRecovery Fund Balance</v>
      </c>
    </row>
  </sheetData>
  <sheetProtection password="C47C" sheet="1" objects="1" scenarios="1"/>
  <customSheetViews>
    <customSheetView guid="{53CC1FF8-69F4-40AB-9E52-A9F35D642996}" scale="80" showGridLines="0" fitToPage="1" state="hidden">
      <pane xSplit="3" ySplit="4" topLeftCell="D5" activePane="bottomRight" state="frozen"/>
      <selection pane="bottomRight" activeCell="A3" sqref="A3"/>
      <pageMargins left="0.5" right="0.5" top="0.5" bottom="0.5" header="0.5" footer="0.5"/>
      <printOptions horizontalCentered="1" verticalCentered="1"/>
      <pageSetup scale="93" orientation="landscape" horizontalDpi="1200" verticalDpi="1200" r:id="rId1"/>
      <headerFooter alignWithMargins="0"/>
    </customSheetView>
  </customSheetViews>
  <mergeCells count="3">
    <mergeCell ref="E3:J3"/>
    <mergeCell ref="D2:G2"/>
    <mergeCell ref="D1:H1"/>
  </mergeCells>
  <phoneticPr fontId="0" type="noConversion"/>
  <dataValidations count="1">
    <dataValidation type="whole" allowBlank="1" showInputMessage="1" showErrorMessage="1" error="Only a WHOLE number can be entered in this area.  Select cancel and reenter an appropriate number." sqref="D5:J26 D28:J45">
      <formula1>-999999999999</formula1>
      <formula2>999999999999</formula2>
    </dataValidation>
  </dataValidations>
  <printOptions horizontalCentered="1" verticalCentered="1"/>
  <pageMargins left="0.5" right="0.5" top="0.5" bottom="0.5" header="0.5" footer="0.5"/>
  <pageSetup scale="92" orientation="landscape" horizontalDpi="1200" verticalDpi="1200"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9" tint="0.39997558519241921"/>
    <pageSetUpPr fitToPage="1"/>
  </sheetPr>
  <dimension ref="A1:J52"/>
  <sheetViews>
    <sheetView showGridLines="0" zoomScale="80" zoomScaleNormal="80" workbookViewId="0">
      <pane xSplit="2" ySplit="4" topLeftCell="C5" activePane="bottomRight" state="frozen"/>
      <selection activeCell="C2" sqref="C2:H2"/>
      <selection pane="topRight" activeCell="C2" sqref="C2:H2"/>
      <selection pane="bottomLeft" activeCell="C2" sqref="C2:H2"/>
      <selection pane="bottomRight" activeCell="A52" sqref="A52:XFD52"/>
    </sheetView>
  </sheetViews>
  <sheetFormatPr defaultColWidth="9" defaultRowHeight="12.75" x14ac:dyDescent="0.2"/>
  <cols>
    <col min="1" max="1" width="44.85546875" style="15" customWidth="1"/>
    <col min="2" max="2" width="3.5703125" style="2" customWidth="1"/>
    <col min="3" max="9" width="15.140625" style="18" customWidth="1"/>
    <col min="10" max="10" width="3.5703125" style="2" customWidth="1"/>
    <col min="11" max="16384" width="9" style="2"/>
  </cols>
  <sheetData>
    <row r="1" spans="1:10" ht="18.75" x14ac:dyDescent="0.3">
      <c r="A1" s="17" t="s">
        <v>1644</v>
      </c>
      <c r="B1" s="18"/>
      <c r="C1" s="937">
        <f>InputsResults!$K$3</f>
        <v>0</v>
      </c>
      <c r="D1" s="938"/>
      <c r="E1" s="938"/>
      <c r="F1" s="938"/>
      <c r="G1" s="18" t="s">
        <v>934</v>
      </c>
      <c r="H1" s="41" t="e">
        <f>InputsResults!J3</f>
        <v>#N/A</v>
      </c>
      <c r="I1" s="41"/>
    </row>
    <row r="2" spans="1:10" ht="19.5" thickBot="1" x14ac:dyDescent="0.35">
      <c r="A2" s="17" t="s">
        <v>935</v>
      </c>
      <c r="C2" s="906" t="str">
        <f>CONCATENATE("FY ",DoM!$B$6-2," ACTUAL WORKSHEET - Page 2")</f>
        <v>FY 2016 ACTUAL WORKSHEET - Page 2</v>
      </c>
      <c r="D2" s="906"/>
      <c r="E2" s="906"/>
      <c r="F2" s="906"/>
      <c r="G2" s="41"/>
      <c r="H2" s="41"/>
      <c r="I2" s="41"/>
    </row>
    <row r="3" spans="1:10" ht="12.75" customHeight="1" x14ac:dyDescent="0.2">
      <c r="C3" s="903" t="s">
        <v>1493</v>
      </c>
      <c r="D3" s="904"/>
      <c r="E3" s="905"/>
      <c r="F3" s="433" t="s">
        <v>880</v>
      </c>
      <c r="G3" s="901" t="s">
        <v>877</v>
      </c>
      <c r="H3" s="902"/>
      <c r="I3" s="53" t="s">
        <v>936</v>
      </c>
      <c r="J3" s="19"/>
    </row>
    <row r="4" spans="1:10" x14ac:dyDescent="0.2">
      <c r="A4" s="20" t="s">
        <v>871</v>
      </c>
      <c r="C4" s="423" t="s">
        <v>1486</v>
      </c>
      <c r="D4" s="39" t="s">
        <v>1489</v>
      </c>
      <c r="E4" s="39" t="s">
        <v>1487</v>
      </c>
      <c r="F4" s="434" t="s">
        <v>1490</v>
      </c>
      <c r="G4" s="21" t="s">
        <v>932</v>
      </c>
      <c r="H4" s="421" t="s">
        <v>933</v>
      </c>
      <c r="I4" s="52"/>
      <c r="J4" s="22"/>
    </row>
    <row r="5" spans="1:10" x14ac:dyDescent="0.2">
      <c r="A5" s="4" t="s">
        <v>785</v>
      </c>
      <c r="B5" s="5">
        <v>1</v>
      </c>
      <c r="C5" s="296"/>
      <c r="D5" s="112"/>
      <c r="E5" s="292"/>
      <c r="F5" s="112"/>
      <c r="G5" s="61"/>
      <c r="H5" s="61"/>
      <c r="I5" s="66">
        <f>SUM(C5:H5)+SUM(FY16Wk1!D5:J5)</f>
        <v>0</v>
      </c>
      <c r="J5" s="6">
        <v>1</v>
      </c>
    </row>
    <row r="6" spans="1:10" x14ac:dyDescent="0.2">
      <c r="A6" s="4" t="s">
        <v>786</v>
      </c>
      <c r="B6" s="24">
        <v>2</v>
      </c>
      <c r="C6" s="296"/>
      <c r="D6" s="112"/>
      <c r="E6" s="412"/>
      <c r="F6" s="112"/>
      <c r="G6" s="61"/>
      <c r="H6" s="61"/>
      <c r="I6" s="66">
        <f>SUM(C6:H6)+SUM(FY16Wk1!D6:J6)</f>
        <v>0</v>
      </c>
      <c r="J6" s="6">
        <v>2</v>
      </c>
    </row>
    <row r="7" spans="1:10" x14ac:dyDescent="0.2">
      <c r="A7" s="4" t="s">
        <v>787</v>
      </c>
      <c r="B7" s="24">
        <v>3</v>
      </c>
      <c r="C7" s="296"/>
      <c r="D7" s="112"/>
      <c r="E7" s="292"/>
      <c r="F7" s="61"/>
      <c r="G7" s="61"/>
      <c r="H7" s="61"/>
      <c r="I7" s="66">
        <f>SUM(C7:H7)+SUM(FY16Wk1!D7:J7)</f>
        <v>0</v>
      </c>
      <c r="J7" s="6">
        <v>3</v>
      </c>
    </row>
    <row r="8" spans="1:10" x14ac:dyDescent="0.2">
      <c r="A8" s="4" t="s">
        <v>788</v>
      </c>
      <c r="B8" s="24">
        <v>4</v>
      </c>
      <c r="C8" s="296"/>
      <c r="D8" s="292"/>
      <c r="E8" s="61"/>
      <c r="F8" s="61"/>
      <c r="G8" s="61"/>
      <c r="H8" s="61"/>
      <c r="I8" s="66">
        <f>SUM(C8:H8)+SUM(FY16Wk1!D8:J8)</f>
        <v>0</v>
      </c>
      <c r="J8" s="6">
        <v>4</v>
      </c>
    </row>
    <row r="9" spans="1:10" x14ac:dyDescent="0.2">
      <c r="A9" s="4" t="s">
        <v>789</v>
      </c>
      <c r="B9" s="24">
        <v>5</v>
      </c>
      <c r="C9" s="424"/>
      <c r="D9" s="291"/>
      <c r="E9" s="67"/>
      <c r="F9" s="67"/>
      <c r="G9" s="67"/>
      <c r="H9" s="67"/>
      <c r="I9" s="66">
        <f>SUM(C9:H9)+SUM(FY16Wk1!D9:J9)</f>
        <v>0</v>
      </c>
      <c r="J9" s="6">
        <v>5</v>
      </c>
    </row>
    <row r="10" spans="1:10" x14ac:dyDescent="0.2">
      <c r="A10" s="4" t="s">
        <v>790</v>
      </c>
      <c r="B10" s="24">
        <v>6</v>
      </c>
      <c r="C10" s="296"/>
      <c r="D10" s="292"/>
      <c r="E10" s="61"/>
      <c r="F10" s="61"/>
      <c r="G10" s="67"/>
      <c r="H10" s="112"/>
      <c r="I10" s="66">
        <f>SUM(C10:H10)+SUM(FY16Wk1!D10:J10)</f>
        <v>0</v>
      </c>
      <c r="J10" s="6">
        <v>6</v>
      </c>
    </row>
    <row r="11" spans="1:10" x14ac:dyDescent="0.2">
      <c r="A11" s="4" t="s">
        <v>791</v>
      </c>
      <c r="B11" s="24">
        <v>7</v>
      </c>
      <c r="C11" s="296"/>
      <c r="D11" s="292"/>
      <c r="E11" s="292"/>
      <c r="F11" s="292"/>
      <c r="G11" s="292"/>
      <c r="H11" s="112"/>
      <c r="I11" s="66">
        <f>SUM(C11:H11)+SUM(FY16Wk1!D11:J11)</f>
        <v>0</v>
      </c>
      <c r="J11" s="6">
        <v>7</v>
      </c>
    </row>
    <row r="12" spans="1:10" x14ac:dyDescent="0.2">
      <c r="A12" s="4" t="s">
        <v>792</v>
      </c>
      <c r="B12" s="24">
        <v>8</v>
      </c>
      <c r="C12" s="424"/>
      <c r="D12" s="135"/>
      <c r="E12" s="67"/>
      <c r="F12" s="67"/>
      <c r="G12" s="67"/>
      <c r="H12" s="67"/>
      <c r="I12" s="66">
        <f>SUM(C12:H12)+SUM(FY16Wk1!D12:J12)</f>
        <v>0</v>
      </c>
      <c r="J12" s="6">
        <v>8</v>
      </c>
    </row>
    <row r="13" spans="1:10" x14ac:dyDescent="0.2">
      <c r="A13" s="4" t="s">
        <v>793</v>
      </c>
      <c r="B13" s="24">
        <v>9</v>
      </c>
      <c r="C13" s="425"/>
      <c r="D13" s="112"/>
      <c r="E13" s="136"/>
      <c r="F13" s="292"/>
      <c r="G13" s="67"/>
      <c r="H13" s="67"/>
      <c r="I13" s="66">
        <f>SUM(C13:H13)+SUM(FY16Wk1!D13:J13)</f>
        <v>0</v>
      </c>
      <c r="J13" s="6">
        <v>9</v>
      </c>
    </row>
    <row r="14" spans="1:10" x14ac:dyDescent="0.2">
      <c r="A14" s="4" t="s">
        <v>794</v>
      </c>
      <c r="B14" s="24">
        <v>10</v>
      </c>
      <c r="C14" s="296"/>
      <c r="D14" s="292"/>
      <c r="E14" s="292"/>
      <c r="F14" s="292"/>
      <c r="G14" s="292"/>
      <c r="H14" s="292"/>
      <c r="I14" s="66">
        <f>SUM(C14:H14)+SUM(FY16Wk1!D14:J14)</f>
        <v>0</v>
      </c>
      <c r="J14" s="6">
        <v>10</v>
      </c>
    </row>
    <row r="15" spans="1:10" x14ac:dyDescent="0.2">
      <c r="A15" s="4" t="s">
        <v>795</v>
      </c>
      <c r="B15" s="24">
        <v>11</v>
      </c>
      <c r="C15" s="296"/>
      <c r="D15" s="292"/>
      <c r="E15" s="292"/>
      <c r="F15" s="292"/>
      <c r="G15" s="292"/>
      <c r="H15" s="292"/>
      <c r="I15" s="66">
        <f>SUM(C15:H15)+SUM(FY16Wk1!D15:J15)</f>
        <v>0</v>
      </c>
      <c r="J15" s="6">
        <v>11</v>
      </c>
    </row>
    <row r="16" spans="1:10" x14ac:dyDescent="0.2">
      <c r="A16" s="4" t="s">
        <v>796</v>
      </c>
      <c r="B16" s="24">
        <v>12</v>
      </c>
      <c r="C16" s="424"/>
      <c r="D16" s="67"/>
      <c r="E16" s="67"/>
      <c r="F16" s="67"/>
      <c r="G16" s="67"/>
      <c r="H16" s="112"/>
      <c r="I16" s="66">
        <f>SUM(C16:H16)+SUM(FY16Wk1!D16:J16)</f>
        <v>0</v>
      </c>
      <c r="J16" s="6">
        <v>12</v>
      </c>
    </row>
    <row r="17" spans="1:10" x14ac:dyDescent="0.2">
      <c r="A17" s="4" t="s">
        <v>1645</v>
      </c>
      <c r="B17" s="24">
        <v>13</v>
      </c>
      <c r="C17" s="296"/>
      <c r="D17" s="67"/>
      <c r="E17" s="292"/>
      <c r="F17" s="67"/>
      <c r="G17" s="292"/>
      <c r="H17" s="292"/>
      <c r="I17" s="66">
        <f>SUM(C17:H17)+SUM(FY16Wk1!D17:J17)</f>
        <v>0</v>
      </c>
      <c r="J17" s="6">
        <v>13</v>
      </c>
    </row>
    <row r="18" spans="1:10" x14ac:dyDescent="0.2">
      <c r="A18" s="23" t="s">
        <v>700</v>
      </c>
      <c r="B18" s="24">
        <v>14</v>
      </c>
      <c r="C18" s="292"/>
      <c r="D18" s="292"/>
      <c r="E18" s="136"/>
      <c r="F18" s="292"/>
      <c r="G18" s="292"/>
      <c r="H18" s="292"/>
      <c r="I18" s="66">
        <f>SUM(C18:H18)+SUM(FY16Wk1!D18:J18)</f>
        <v>0</v>
      </c>
      <c r="J18" s="6">
        <v>14</v>
      </c>
    </row>
    <row r="19" spans="1:10" x14ac:dyDescent="0.2">
      <c r="A19" s="4" t="s">
        <v>922</v>
      </c>
      <c r="B19" s="24">
        <v>15</v>
      </c>
      <c r="C19" s="424"/>
      <c r="D19" s="67"/>
      <c r="E19" s="67"/>
      <c r="F19" s="67"/>
      <c r="G19" s="67"/>
      <c r="H19" s="112"/>
      <c r="I19" s="66">
        <f>SUM(C19:H19)+SUM(FY16Wk1!D19:J19)</f>
        <v>0</v>
      </c>
      <c r="J19" s="6">
        <v>15</v>
      </c>
    </row>
    <row r="20" spans="1:10" x14ac:dyDescent="0.2">
      <c r="A20" s="23" t="s">
        <v>797</v>
      </c>
      <c r="B20" s="24">
        <v>16</v>
      </c>
      <c r="C20" s="426">
        <f t="shared" ref="C20:H20" si="0">SUM(C5:C19)</f>
        <v>0</v>
      </c>
      <c r="D20" s="66">
        <f t="shared" si="0"/>
        <v>0</v>
      </c>
      <c r="E20" s="66">
        <f t="shared" si="0"/>
        <v>0</v>
      </c>
      <c r="F20" s="68">
        <f t="shared" si="0"/>
        <v>0</v>
      </c>
      <c r="G20" s="68">
        <f t="shared" si="0"/>
        <v>0</v>
      </c>
      <c r="H20" s="68">
        <f t="shared" si="0"/>
        <v>0</v>
      </c>
      <c r="I20" s="66">
        <f>SUM(I5:I19)</f>
        <v>0</v>
      </c>
      <c r="J20" s="6">
        <v>16</v>
      </c>
    </row>
    <row r="21" spans="1:10" x14ac:dyDescent="0.2">
      <c r="A21" s="23" t="s">
        <v>798</v>
      </c>
      <c r="B21" s="24">
        <v>17</v>
      </c>
      <c r="C21" s="424"/>
      <c r="D21" s="67"/>
      <c r="E21" s="137"/>
      <c r="F21" s="136"/>
      <c r="G21" s="292"/>
      <c r="H21" s="292"/>
      <c r="I21" s="66">
        <f>SUM(C21:H21)+SUM(FY16Wk1!D21:J21)</f>
        <v>0</v>
      </c>
      <c r="J21" s="6">
        <v>17</v>
      </c>
    </row>
    <row r="22" spans="1:10" x14ac:dyDescent="0.2">
      <c r="A22" s="23" t="s">
        <v>1476</v>
      </c>
      <c r="B22" s="24">
        <v>18</v>
      </c>
      <c r="C22" s="427"/>
      <c r="D22" s="67"/>
      <c r="E22" s="137"/>
      <c r="F22" s="67"/>
      <c r="G22" s="67"/>
      <c r="H22" s="67"/>
      <c r="I22" s="66">
        <f>SUM(C22:H22)+SUM(FY16Wk1!D22:J22)</f>
        <v>0</v>
      </c>
      <c r="J22" s="6">
        <v>18</v>
      </c>
    </row>
    <row r="23" spans="1:10" x14ac:dyDescent="0.2">
      <c r="A23" s="23" t="s">
        <v>799</v>
      </c>
      <c r="B23" s="24">
        <v>19</v>
      </c>
      <c r="C23" s="424"/>
      <c r="D23" s="67"/>
      <c r="E23" s="67"/>
      <c r="F23" s="61"/>
      <c r="G23" s="67"/>
      <c r="H23" s="67"/>
      <c r="I23" s="66">
        <f>SUM(C23:H23)+SUM(FY16Wk1!D23:J23)</f>
        <v>0</v>
      </c>
      <c r="J23" s="6">
        <v>19</v>
      </c>
    </row>
    <row r="24" spans="1:10" x14ac:dyDescent="0.2">
      <c r="A24" s="23" t="s">
        <v>800</v>
      </c>
      <c r="B24" s="24">
        <v>20</v>
      </c>
      <c r="C24" s="428">
        <f t="shared" ref="C24:H24" si="1">SUM(C20:C23)</f>
        <v>0</v>
      </c>
      <c r="D24" s="66">
        <f>SUM(D20:D23)</f>
        <v>0</v>
      </c>
      <c r="E24" s="66">
        <f>SUM(E20:E23)</f>
        <v>0</v>
      </c>
      <c r="F24" s="68">
        <f t="shared" si="1"/>
        <v>0</v>
      </c>
      <c r="G24" s="68">
        <f t="shared" si="1"/>
        <v>0</v>
      </c>
      <c r="H24" s="68">
        <f t="shared" si="1"/>
        <v>0</v>
      </c>
      <c r="I24" s="66">
        <f>SUM(I20:I23)</f>
        <v>0</v>
      </c>
      <c r="J24" s="6">
        <v>20</v>
      </c>
    </row>
    <row r="25" spans="1:10" x14ac:dyDescent="0.2">
      <c r="A25" s="23" t="s">
        <v>801</v>
      </c>
      <c r="B25" s="24">
        <v>21</v>
      </c>
      <c r="C25" s="427"/>
      <c r="D25" s="67"/>
      <c r="E25" s="67"/>
      <c r="F25" s="67"/>
      <c r="G25" s="67"/>
      <c r="H25" s="67"/>
      <c r="I25" s="66">
        <f>SUM(C25:H25)+SUM(FY16Wk1!D25:J25)</f>
        <v>0</v>
      </c>
      <c r="J25" s="6">
        <v>21</v>
      </c>
    </row>
    <row r="26" spans="1:10" x14ac:dyDescent="0.2">
      <c r="A26" s="23" t="s">
        <v>802</v>
      </c>
      <c r="B26" s="24">
        <v>22</v>
      </c>
      <c r="C26" s="435">
        <f t="shared" ref="C26:H26" si="2">SUM(C24:C25)</f>
        <v>0</v>
      </c>
      <c r="D26" s="66">
        <f>SUM(D24:D25)</f>
        <v>0</v>
      </c>
      <c r="E26" s="66">
        <f>SUM(E24:E25)</f>
        <v>0</v>
      </c>
      <c r="F26" s="66">
        <f t="shared" si="2"/>
        <v>0</v>
      </c>
      <c r="G26" s="66">
        <f t="shared" si="2"/>
        <v>0</v>
      </c>
      <c r="H26" s="66">
        <f t="shared" si="2"/>
        <v>0</v>
      </c>
      <c r="I26" s="66">
        <f>SUM(I24:I25)</f>
        <v>0</v>
      </c>
      <c r="J26" s="6">
        <v>22</v>
      </c>
    </row>
    <row r="27" spans="1:10" x14ac:dyDescent="0.2">
      <c r="A27" s="25" t="s">
        <v>872</v>
      </c>
      <c r="B27" s="13"/>
      <c r="C27" s="411"/>
      <c r="D27" s="411"/>
      <c r="E27" s="411"/>
      <c r="F27" s="411"/>
      <c r="G27" s="411"/>
      <c r="H27" s="411"/>
    </row>
    <row r="28" spans="1:10" x14ac:dyDescent="0.2">
      <c r="A28" s="23" t="s">
        <v>873</v>
      </c>
      <c r="B28" s="14">
        <v>23</v>
      </c>
      <c r="C28" s="424"/>
      <c r="D28" s="137"/>
      <c r="E28" s="67"/>
      <c r="F28" s="292"/>
      <c r="G28" s="67"/>
      <c r="H28" s="67"/>
      <c r="I28" s="66">
        <f>SUM(C28:H28)+SUM(FY16Wk1!D28:J28)</f>
        <v>0</v>
      </c>
      <c r="J28" s="6">
        <v>23</v>
      </c>
    </row>
    <row r="29" spans="1:10" x14ac:dyDescent="0.2">
      <c r="A29" s="23" t="s">
        <v>804</v>
      </c>
      <c r="B29" s="14">
        <v>24</v>
      </c>
      <c r="C29" s="424"/>
      <c r="D29" s="137"/>
      <c r="E29" s="67"/>
      <c r="F29" s="292"/>
      <c r="G29" s="67"/>
      <c r="H29" s="67"/>
      <c r="I29" s="66">
        <f>SUM(C29:H29)+SUM(FY16Wk1!D29:J29)</f>
        <v>0</v>
      </c>
      <c r="J29" s="6">
        <v>24</v>
      </c>
    </row>
    <row r="30" spans="1:10" x14ac:dyDescent="0.2">
      <c r="A30" s="23" t="s">
        <v>805</v>
      </c>
      <c r="B30" s="14">
        <v>25</v>
      </c>
      <c r="C30" s="424"/>
      <c r="D30" s="137"/>
      <c r="E30" s="67"/>
      <c r="F30" s="292"/>
      <c r="G30" s="67"/>
      <c r="H30" s="67"/>
      <c r="I30" s="66">
        <f>SUM(C30:H30)+SUM(FY16Wk1!D30:J30)</f>
        <v>0</v>
      </c>
      <c r="J30" s="6">
        <v>25</v>
      </c>
    </row>
    <row r="31" spans="1:10" x14ac:dyDescent="0.2">
      <c r="A31" s="23" t="s">
        <v>806</v>
      </c>
      <c r="B31" s="14">
        <v>26</v>
      </c>
      <c r="C31" s="424"/>
      <c r="D31" s="137"/>
      <c r="E31" s="67"/>
      <c r="F31" s="292"/>
      <c r="G31" s="67"/>
      <c r="H31" s="67"/>
      <c r="I31" s="66">
        <f>SUM(C31:H31)+SUM(FY16Wk1!D31:J31)</f>
        <v>0</v>
      </c>
      <c r="J31" s="6">
        <v>26</v>
      </c>
    </row>
    <row r="32" spans="1:10" x14ac:dyDescent="0.2">
      <c r="A32" s="4" t="s">
        <v>923</v>
      </c>
      <c r="B32" s="14">
        <v>27</v>
      </c>
      <c r="C32" s="424"/>
      <c r="D32" s="137"/>
      <c r="E32" s="67"/>
      <c r="F32" s="292"/>
      <c r="G32" s="67"/>
      <c r="H32" s="67"/>
      <c r="I32" s="66">
        <f>SUM(C32:H32)+SUM(FY16Wk1!D32:J32)</f>
        <v>0</v>
      </c>
      <c r="J32" s="6">
        <v>27</v>
      </c>
    </row>
    <row r="33" spans="1:10" x14ac:dyDescent="0.2">
      <c r="A33" s="23" t="s">
        <v>1066</v>
      </c>
      <c r="B33" s="14">
        <v>28</v>
      </c>
      <c r="C33" s="424"/>
      <c r="D33" s="67"/>
      <c r="E33" s="67"/>
      <c r="F33" s="67"/>
      <c r="G33" s="67"/>
      <c r="H33" s="67"/>
      <c r="I33" s="66">
        <f>SUM(C33:H33)+SUM(FY16Wk1!D33:J33)</f>
        <v>0</v>
      </c>
      <c r="J33" s="6">
        <v>28</v>
      </c>
    </row>
    <row r="34" spans="1:10" x14ac:dyDescent="0.2">
      <c r="A34" s="23" t="s">
        <v>807</v>
      </c>
      <c r="B34" s="14">
        <v>29</v>
      </c>
      <c r="C34" s="424"/>
      <c r="D34" s="112"/>
      <c r="E34" s="67"/>
      <c r="F34" s="292"/>
      <c r="G34" s="67"/>
      <c r="H34" s="67"/>
      <c r="I34" s="66">
        <f>SUM(C34:H34)+SUM(FY16Wk1!D34:J34)</f>
        <v>0</v>
      </c>
      <c r="J34" s="6">
        <v>29</v>
      </c>
    </row>
    <row r="35" spans="1:10" x14ac:dyDescent="0.2">
      <c r="A35" s="23" t="s">
        <v>808</v>
      </c>
      <c r="B35" s="14">
        <v>30</v>
      </c>
      <c r="C35" s="424"/>
      <c r="D35" s="112"/>
      <c r="E35" s="67"/>
      <c r="F35" s="292"/>
      <c r="G35" s="67"/>
      <c r="H35" s="67"/>
      <c r="I35" s="66">
        <f>SUM(C35:H35)+SUM(FY16Wk1!D35:J35)</f>
        <v>0</v>
      </c>
      <c r="J35" s="6">
        <v>30</v>
      </c>
    </row>
    <row r="36" spans="1:10" x14ac:dyDescent="0.2">
      <c r="A36" s="4" t="s">
        <v>924</v>
      </c>
      <c r="B36" s="14">
        <v>31</v>
      </c>
      <c r="C36" s="296"/>
      <c r="D36" s="292"/>
      <c r="E36" s="61"/>
      <c r="F36" s="292"/>
      <c r="G36" s="292"/>
      <c r="H36" s="292"/>
      <c r="I36" s="66">
        <f>SUM(C36:H36)+SUM(FY16Wk1!D36:J36)</f>
        <v>0</v>
      </c>
      <c r="J36" s="6">
        <v>31</v>
      </c>
    </row>
    <row r="37" spans="1:10" x14ac:dyDescent="0.2">
      <c r="A37" s="23" t="s">
        <v>874</v>
      </c>
      <c r="B37" s="14">
        <v>32</v>
      </c>
      <c r="C37" s="424"/>
      <c r="D37" s="112"/>
      <c r="E37" s="67"/>
      <c r="F37" s="292"/>
      <c r="G37" s="67"/>
      <c r="H37" s="67"/>
      <c r="I37" s="66">
        <f>SUM(C37:H37)+SUM(FY16Wk1!D37:J37)</f>
        <v>0</v>
      </c>
      <c r="J37" s="6">
        <v>32</v>
      </c>
    </row>
    <row r="38" spans="1:10" x14ac:dyDescent="0.2">
      <c r="A38" s="23" t="s">
        <v>813</v>
      </c>
      <c r="B38" s="14">
        <v>33</v>
      </c>
      <c r="C38" s="424"/>
      <c r="D38" s="67"/>
      <c r="E38" s="67"/>
      <c r="F38" s="292"/>
      <c r="G38" s="292"/>
      <c r="H38" s="67"/>
      <c r="I38" s="66">
        <f>SUM(C38:H38)+SUM(FY16Wk1!D38:J38)</f>
        <v>0</v>
      </c>
      <c r="J38" s="6">
        <v>33</v>
      </c>
    </row>
    <row r="39" spans="1:10" x14ac:dyDescent="0.2">
      <c r="A39" s="23" t="s">
        <v>875</v>
      </c>
      <c r="B39" s="14">
        <v>34</v>
      </c>
      <c r="C39" s="424"/>
      <c r="D39" s="112"/>
      <c r="E39" s="112"/>
      <c r="F39" s="112"/>
      <c r="G39" s="292"/>
      <c r="H39" s="292"/>
      <c r="I39" s="66">
        <f>SUM(C39:H39)+SUM(FY16Wk1!D39:J39)</f>
        <v>0</v>
      </c>
      <c r="J39" s="6">
        <v>34</v>
      </c>
    </row>
    <row r="40" spans="1:10" x14ac:dyDescent="0.2">
      <c r="A40" s="23" t="s">
        <v>815</v>
      </c>
      <c r="B40" s="14">
        <v>35</v>
      </c>
      <c r="C40" s="296"/>
      <c r="D40" s="292"/>
      <c r="E40" s="61"/>
      <c r="F40" s="292"/>
      <c r="G40" s="292"/>
      <c r="H40" s="292"/>
      <c r="I40" s="66">
        <f>SUM(C40:H40)+SUM(FY16Wk1!D40:J40)</f>
        <v>0</v>
      </c>
      <c r="J40" s="6">
        <v>35</v>
      </c>
    </row>
    <row r="41" spans="1:10" x14ac:dyDescent="0.2">
      <c r="A41" s="23" t="s">
        <v>818</v>
      </c>
      <c r="B41" s="14">
        <v>36</v>
      </c>
      <c r="C41" s="429">
        <f t="shared" ref="C41:H41" si="3">SUM(C28:C40)</f>
        <v>0</v>
      </c>
      <c r="D41" s="66">
        <f>SUM(D28:D40)</f>
        <v>0</v>
      </c>
      <c r="E41" s="66">
        <f>SUM(E28:E40)</f>
        <v>0</v>
      </c>
      <c r="F41" s="66">
        <f t="shared" si="3"/>
        <v>0</v>
      </c>
      <c r="G41" s="66">
        <f t="shared" si="3"/>
        <v>0</v>
      </c>
      <c r="H41" s="66">
        <f t="shared" si="3"/>
        <v>0</v>
      </c>
      <c r="I41" s="66">
        <f>SUM(I28:I40)</f>
        <v>0</v>
      </c>
      <c r="J41" s="6">
        <v>36</v>
      </c>
    </row>
    <row r="42" spans="1:10" x14ac:dyDescent="0.2">
      <c r="A42" s="23" t="s">
        <v>1477</v>
      </c>
      <c r="B42" s="14">
        <v>37</v>
      </c>
      <c r="C42" s="424"/>
      <c r="D42" s="67"/>
      <c r="E42" s="67"/>
      <c r="F42" s="67"/>
      <c r="G42" s="67"/>
      <c r="H42" s="67"/>
      <c r="I42" s="66">
        <f>SUM(C42:H42)+SUM(FY16Wk1!D42:J42)</f>
        <v>0</v>
      </c>
      <c r="J42" s="6">
        <v>37</v>
      </c>
    </row>
    <row r="43" spans="1:10" x14ac:dyDescent="0.2">
      <c r="A43" s="23" t="s">
        <v>819</v>
      </c>
      <c r="B43" s="14">
        <v>38</v>
      </c>
      <c r="C43" s="429">
        <f t="shared" ref="C43:H43" si="4">SUM(C41:C42)</f>
        <v>0</v>
      </c>
      <c r="D43" s="66">
        <f>SUM(D41:D42)</f>
        <v>0</v>
      </c>
      <c r="E43" s="66">
        <f>SUM(E41:E42)</f>
        <v>0</v>
      </c>
      <c r="F43" s="66">
        <f t="shared" si="4"/>
        <v>0</v>
      </c>
      <c r="G43" s="66">
        <f t="shared" si="4"/>
        <v>0</v>
      </c>
      <c r="H43" s="66">
        <f t="shared" si="4"/>
        <v>0</v>
      </c>
      <c r="I43" s="66">
        <f>SUM(I41:I42)</f>
        <v>0</v>
      </c>
      <c r="J43" s="6">
        <v>38</v>
      </c>
    </row>
    <row r="44" spans="1:10" x14ac:dyDescent="0.2">
      <c r="A44" s="23" t="s">
        <v>820</v>
      </c>
      <c r="B44" s="14">
        <v>39</v>
      </c>
      <c r="C44" s="288" t="e">
        <f>INDEX(SNAMEB[],MATCH($H$1,SNAMEB[DIST],0),MATCH(C$52,SNAMEB[#Headers],0))</f>
        <v>#N/A</v>
      </c>
      <c r="D44" s="288" t="e">
        <f>INDEX(SNAMEB[],MATCH($H$1,SNAMEB[DIST],0),MATCH(D$52,SNAMEB[#Headers],0))</f>
        <v>#N/A</v>
      </c>
      <c r="E44" s="288" t="e">
        <f>INDEX(SNAMEB[],MATCH($H$1,SNAMEB[DIST],0),MATCH(E$52,SNAMEB[#Headers],0))</f>
        <v>#N/A</v>
      </c>
      <c r="F44" s="288" t="e">
        <f>INDEX(SNAMEB[],MATCH($H$1,SNAMEB[DIST],0),MATCH(F$52,SNAMEB[#Headers],0))</f>
        <v>#N/A</v>
      </c>
      <c r="G44" s="288" t="e">
        <f>INDEX(SNAMEB[],MATCH($H$1,SNAMEB[DIST],0),MATCH(G$52,SNAMEB[#Headers],0))</f>
        <v>#N/A</v>
      </c>
      <c r="H44" s="288" t="e">
        <f>INDEX(SNAMEB[],MATCH($H$1,SNAMEB[DIST],0),MATCH(H$52,SNAMEB[#Headers],0))</f>
        <v>#N/A</v>
      </c>
      <c r="I44" s="66" t="e">
        <f>SUM(C44:H44)+SUM(FY16Wk1!D44:J44)</f>
        <v>#N/A</v>
      </c>
      <c r="J44" s="6">
        <v>39</v>
      </c>
    </row>
    <row r="45" spans="1:10" x14ac:dyDescent="0.2">
      <c r="A45" s="23" t="s">
        <v>821</v>
      </c>
      <c r="B45" s="14">
        <v>40</v>
      </c>
      <c r="C45" s="431" t="e">
        <f t="shared" ref="C45:I45" si="5">SUM(C43:C44)</f>
        <v>#N/A</v>
      </c>
      <c r="D45" s="66" t="e">
        <f t="shared" si="5"/>
        <v>#N/A</v>
      </c>
      <c r="E45" s="66" t="e">
        <f t="shared" si="5"/>
        <v>#N/A</v>
      </c>
      <c r="F45" s="66" t="e">
        <f t="shared" si="5"/>
        <v>#N/A</v>
      </c>
      <c r="G45" s="66" t="e">
        <f t="shared" si="5"/>
        <v>#N/A</v>
      </c>
      <c r="H45" s="66" t="e">
        <f t="shared" si="5"/>
        <v>#N/A</v>
      </c>
      <c r="I45" s="66" t="e">
        <f t="shared" si="5"/>
        <v>#N/A</v>
      </c>
      <c r="J45" s="6">
        <v>40</v>
      </c>
    </row>
    <row r="52" spans="3:8" hidden="1" x14ac:dyDescent="0.2">
      <c r="C52" s="18" t="str">
        <f>SNAMEB[[#Headers],[Sales Tax Fund Balance]]</f>
        <v>Sales Tax Fund Balance</v>
      </c>
      <c r="D52" s="18" t="str">
        <f>SNAMEB[[#Headers],[PPEL Fund Balance]]</f>
        <v>PPEL Fund Balance</v>
      </c>
      <c r="E52" s="18" t="str">
        <f>SNAMEB[[#Headers],[Capital Project FundBalance]]</f>
        <v>Capital Project FundBalance</v>
      </c>
      <c r="F52" s="18" t="str">
        <f>SNAMEB[[#Headers],[Debt Service Fund Balance]]</f>
        <v>Debt Service Fund Balance</v>
      </c>
      <c r="G52" s="18" t="str">
        <f>SNAMEB[[#Headers],[Nutrition Fund Balance]]</f>
        <v>Nutrition Fund Balance</v>
      </c>
      <c r="H52" s="18" t="str">
        <f>SNAMEB[[#Headers],[Other Enterprise FundBalance]]</f>
        <v>Other Enterprise FundBalance</v>
      </c>
    </row>
  </sheetData>
  <sheetProtection password="C47C" sheet="1" objects="1" scenarios="1"/>
  <customSheetViews>
    <customSheetView guid="{53CC1FF8-69F4-40AB-9E52-A9F35D642996}" scale="80" showGridLines="0" fitToPage="1" state="hidden">
      <pane xSplit="2" ySplit="4" topLeftCell="C5" activePane="bottomRight" state="frozen"/>
      <selection pane="bottomRight" activeCell="A3" sqref="A3"/>
      <pageMargins left="0.5" right="0.5" top="0.5" bottom="0.5" header="0.5" footer="0.5"/>
      <printOptions horizontalCentered="1" verticalCentered="1"/>
      <pageSetup scale="94" orientation="landscape" horizontalDpi="1200" verticalDpi="1200" r:id="rId1"/>
      <headerFooter alignWithMargins="0"/>
    </customSheetView>
  </customSheetViews>
  <mergeCells count="4">
    <mergeCell ref="C3:E3"/>
    <mergeCell ref="G3:H3"/>
    <mergeCell ref="C2:F2"/>
    <mergeCell ref="C1:F1"/>
  </mergeCells>
  <phoneticPr fontId="0" type="noConversion"/>
  <dataValidations count="1">
    <dataValidation type="whole" allowBlank="1" showInputMessage="1" showErrorMessage="1" error="Only a WHOLE number can be entered in this area.  Select cancel and reenter an appropriate number." sqref="C5:I26 C28:I45">
      <formula1>-999999999999</formula1>
      <formula2>999999999999</formula2>
    </dataValidation>
  </dataValidations>
  <printOptions horizontalCentered="1" verticalCentered="1"/>
  <pageMargins left="0.5" right="0.5" top="0.5" bottom="0.5" header="0.5" footer="0.5"/>
  <pageSetup scale="94" orientation="landscape" horizontalDpi="1200" verticalDpi="1200"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39997558519241921"/>
    <pageSetUpPr fitToPage="1"/>
  </sheetPr>
  <dimension ref="A1:G37"/>
  <sheetViews>
    <sheetView showGridLines="0" workbookViewId="0">
      <selection activeCell="D18" sqref="D18"/>
    </sheetView>
  </sheetViews>
  <sheetFormatPr defaultRowHeight="12.75" x14ac:dyDescent="0.2"/>
  <cols>
    <col min="1" max="1" width="3.140625" style="208" customWidth="1"/>
    <col min="2" max="2" width="17.7109375" style="208" customWidth="1"/>
    <col min="3" max="6" width="16.28515625" style="208" customWidth="1"/>
    <col min="7" max="7" width="16.140625" style="208" customWidth="1"/>
    <col min="8" max="16384" width="9.140625" style="208"/>
  </cols>
  <sheetData>
    <row r="1" spans="1:7" x14ac:dyDescent="0.2">
      <c r="A1" s="3"/>
      <c r="B1" s="3" t="s">
        <v>937</v>
      </c>
      <c r="C1" s="3"/>
      <c r="D1" s="3"/>
      <c r="E1" s="3"/>
      <c r="F1" s="3"/>
      <c r="G1" s="207" t="s">
        <v>938</v>
      </c>
    </row>
    <row r="2" spans="1:7" x14ac:dyDescent="0.2">
      <c r="A2" s="209"/>
      <c r="B2" s="3"/>
      <c r="C2" s="209"/>
      <c r="D2" s="210"/>
      <c r="E2" s="210"/>
      <c r="F2" s="210"/>
      <c r="G2" s="207"/>
    </row>
    <row r="3" spans="1:7" x14ac:dyDescent="0.2">
      <c r="A3" s="209" t="s">
        <v>939</v>
      </c>
      <c r="B3" s="211"/>
      <c r="C3" s="212"/>
      <c r="D3" s="212"/>
      <c r="E3" s="212"/>
      <c r="F3" s="211" t="s">
        <v>940</v>
      </c>
      <c r="G3" s="213"/>
    </row>
    <row r="4" spans="1:7" s="215" customFormat="1" ht="15" customHeight="1" x14ac:dyDescent="0.2">
      <c r="A4" s="214" t="s">
        <v>941</v>
      </c>
      <c r="B4" s="214"/>
      <c r="C4" s="214"/>
      <c r="D4" s="214"/>
      <c r="E4" s="214"/>
      <c r="F4" s="214"/>
      <c r="G4" s="214"/>
    </row>
    <row r="5" spans="1:7" s="215" customFormat="1" ht="15" customHeight="1" x14ac:dyDescent="0.2">
      <c r="A5" s="214" t="s">
        <v>942</v>
      </c>
      <c r="B5" s="214"/>
      <c r="C5" s="214"/>
      <c r="D5" s="214"/>
      <c r="E5" s="214"/>
      <c r="F5" s="214"/>
      <c r="G5" s="214"/>
    </row>
    <row r="6" spans="1:7" s="215" customFormat="1" ht="15" customHeight="1" x14ac:dyDescent="0.2">
      <c r="A6" s="214" t="s">
        <v>1005</v>
      </c>
      <c r="B6" s="214"/>
      <c r="C6" s="214"/>
      <c r="D6" s="214"/>
      <c r="E6" s="214"/>
      <c r="F6" s="214"/>
      <c r="G6" s="214"/>
    </row>
    <row r="7" spans="1:7" s="217" customFormat="1" ht="15" customHeight="1" x14ac:dyDescent="0.2">
      <c r="A7" s="216"/>
      <c r="B7" s="216"/>
      <c r="C7" s="216"/>
      <c r="D7" s="216"/>
      <c r="E7" s="216"/>
      <c r="F7" s="216"/>
      <c r="G7" s="216"/>
    </row>
    <row r="8" spans="1:7" s="217" customFormat="1" ht="15" customHeight="1" x14ac:dyDescent="0.2">
      <c r="A8" s="218" t="s">
        <v>943</v>
      </c>
      <c r="B8" s="219"/>
      <c r="C8" s="220"/>
      <c r="D8" s="221" t="s">
        <v>944</v>
      </c>
      <c r="E8" s="221" t="s">
        <v>945</v>
      </c>
      <c r="F8" s="221" t="s">
        <v>946</v>
      </c>
      <c r="G8" s="221" t="s">
        <v>947</v>
      </c>
    </row>
    <row r="9" spans="1:7" s="217" customFormat="1" ht="12" x14ac:dyDescent="0.2">
      <c r="A9" s="222"/>
      <c r="B9" s="223"/>
      <c r="C9" s="224"/>
      <c r="D9" s="225"/>
      <c r="E9" s="226"/>
      <c r="F9" s="226"/>
      <c r="G9" s="226"/>
    </row>
    <row r="10" spans="1:7" s="217" customFormat="1" ht="15" customHeight="1" x14ac:dyDescent="0.2">
      <c r="A10" s="227"/>
      <c r="B10" s="227"/>
      <c r="C10" s="227"/>
      <c r="D10" s="227"/>
      <c r="E10" s="227"/>
      <c r="F10" s="227"/>
      <c r="G10" s="227"/>
    </row>
    <row r="11" spans="1:7" s="217" customFormat="1" ht="12" x14ac:dyDescent="0.2"/>
    <row r="12" spans="1:7" s="217" customFormat="1" ht="12" x14ac:dyDescent="0.2">
      <c r="A12" s="228"/>
      <c r="B12" s="229"/>
      <c r="C12" s="228"/>
      <c r="D12" s="230"/>
      <c r="E12" s="231"/>
      <c r="F12" s="232" t="s">
        <v>948</v>
      </c>
      <c r="G12" s="231"/>
    </row>
    <row r="13" spans="1:7" s="217" customFormat="1" ht="12" x14ac:dyDescent="0.2">
      <c r="A13" s="233"/>
      <c r="B13" s="234"/>
      <c r="C13" s="235" t="s">
        <v>949</v>
      </c>
      <c r="D13" s="236"/>
      <c r="E13" s="237" t="s">
        <v>950</v>
      </c>
      <c r="F13" s="238" t="s">
        <v>951</v>
      </c>
      <c r="G13" s="239" t="s">
        <v>952</v>
      </c>
    </row>
    <row r="14" spans="1:7" s="217" customFormat="1" ht="12" x14ac:dyDescent="0.2">
      <c r="A14" s="233"/>
      <c r="B14" s="240" t="s">
        <v>953</v>
      </c>
      <c r="C14" s="231" t="s">
        <v>954</v>
      </c>
      <c r="D14" s="240" t="s">
        <v>955</v>
      </c>
      <c r="E14" s="237" t="s">
        <v>955</v>
      </c>
      <c r="F14" s="238" t="s">
        <v>956</v>
      </c>
      <c r="G14" s="239" t="s">
        <v>957</v>
      </c>
    </row>
    <row r="15" spans="1:7" s="217" customFormat="1" ht="12" x14ac:dyDescent="0.2">
      <c r="A15" s="241"/>
      <c r="B15" s="242" t="s">
        <v>958</v>
      </c>
      <c r="C15" s="243" t="s">
        <v>959</v>
      </c>
      <c r="D15" s="244" t="s">
        <v>960</v>
      </c>
      <c r="E15" s="245" t="s">
        <v>961</v>
      </c>
      <c r="F15" s="243" t="s">
        <v>973</v>
      </c>
      <c r="G15" s="244" t="s">
        <v>974</v>
      </c>
    </row>
    <row r="16" spans="1:7" s="217" customFormat="1" ht="24" customHeight="1" x14ac:dyDescent="0.2">
      <c r="A16" s="246">
        <v>1</v>
      </c>
      <c r="B16" s="247" t="s">
        <v>975</v>
      </c>
      <c r="C16" s="248"/>
      <c r="D16" s="248"/>
      <c r="E16" s="248"/>
      <c r="F16" s="248"/>
      <c r="G16" s="249">
        <f t="shared" ref="G16:G36" si="0">SUM(D16:F16)</f>
        <v>0</v>
      </c>
    </row>
    <row r="17" spans="1:7" s="217" customFormat="1" ht="24" customHeight="1" x14ac:dyDescent="0.2">
      <c r="A17" s="250">
        <v>2</v>
      </c>
      <c r="B17" s="247" t="s">
        <v>975</v>
      </c>
      <c r="C17" s="248"/>
      <c r="D17" s="248"/>
      <c r="E17" s="248"/>
      <c r="F17" s="248"/>
      <c r="G17" s="249">
        <f t="shared" si="0"/>
        <v>0</v>
      </c>
    </row>
    <row r="18" spans="1:7" s="217" customFormat="1" ht="24" customHeight="1" x14ac:dyDescent="0.2">
      <c r="A18" s="250">
        <v>3</v>
      </c>
      <c r="B18" s="247" t="s">
        <v>975</v>
      </c>
      <c r="C18" s="248"/>
      <c r="D18" s="248"/>
      <c r="E18" s="248"/>
      <c r="F18" s="248"/>
      <c r="G18" s="249">
        <f t="shared" si="0"/>
        <v>0</v>
      </c>
    </row>
    <row r="19" spans="1:7" s="217" customFormat="1" ht="24" customHeight="1" x14ac:dyDescent="0.2">
      <c r="A19" s="250">
        <v>4</v>
      </c>
      <c r="B19" s="247" t="s">
        <v>975</v>
      </c>
      <c r="C19" s="248"/>
      <c r="D19" s="248"/>
      <c r="E19" s="248"/>
      <c r="F19" s="248"/>
      <c r="G19" s="249">
        <f t="shared" si="0"/>
        <v>0</v>
      </c>
    </row>
    <row r="20" spans="1:7" s="217" customFormat="1" ht="24" customHeight="1" x14ac:dyDescent="0.2">
      <c r="A20" s="250">
        <v>5</v>
      </c>
      <c r="B20" s="247" t="s">
        <v>975</v>
      </c>
      <c r="C20" s="248"/>
      <c r="D20" s="248"/>
      <c r="E20" s="248"/>
      <c r="F20" s="248"/>
      <c r="G20" s="249">
        <f t="shared" si="0"/>
        <v>0</v>
      </c>
    </row>
    <row r="21" spans="1:7" s="217" customFormat="1" ht="24" customHeight="1" x14ac:dyDescent="0.2">
      <c r="A21" s="250">
        <v>6</v>
      </c>
      <c r="B21" s="247" t="s">
        <v>975</v>
      </c>
      <c r="C21" s="248"/>
      <c r="D21" s="248"/>
      <c r="E21" s="248"/>
      <c r="F21" s="248"/>
      <c r="G21" s="249">
        <f t="shared" si="0"/>
        <v>0</v>
      </c>
    </row>
    <row r="22" spans="1:7" s="217" customFormat="1" ht="24" customHeight="1" x14ac:dyDescent="0.2">
      <c r="A22" s="250">
        <v>7</v>
      </c>
      <c r="B22" s="247" t="s">
        <v>975</v>
      </c>
      <c r="C22" s="248"/>
      <c r="D22" s="248"/>
      <c r="E22" s="248"/>
      <c r="F22" s="248"/>
      <c r="G22" s="249">
        <f t="shared" si="0"/>
        <v>0</v>
      </c>
    </row>
    <row r="23" spans="1:7" s="217" customFormat="1" ht="24" customHeight="1" x14ac:dyDescent="0.2">
      <c r="A23" s="250">
        <v>8</v>
      </c>
      <c r="B23" s="247" t="s">
        <v>975</v>
      </c>
      <c r="C23" s="248"/>
      <c r="D23" s="248"/>
      <c r="E23" s="248"/>
      <c r="F23" s="248"/>
      <c r="G23" s="249">
        <f t="shared" si="0"/>
        <v>0</v>
      </c>
    </row>
    <row r="24" spans="1:7" s="217" customFormat="1" ht="24" customHeight="1" x14ac:dyDescent="0.2">
      <c r="A24" s="250">
        <v>9</v>
      </c>
      <c r="B24" s="247" t="s">
        <v>975</v>
      </c>
      <c r="C24" s="248"/>
      <c r="D24" s="248"/>
      <c r="E24" s="248"/>
      <c r="F24" s="248"/>
      <c r="G24" s="249">
        <f t="shared" si="0"/>
        <v>0</v>
      </c>
    </row>
    <row r="25" spans="1:7" s="217" customFormat="1" ht="24" customHeight="1" x14ac:dyDescent="0.2">
      <c r="A25" s="250">
        <v>10</v>
      </c>
      <c r="B25" s="247" t="s">
        <v>975</v>
      </c>
      <c r="C25" s="248"/>
      <c r="D25" s="248"/>
      <c r="E25" s="248"/>
      <c r="F25" s="248"/>
      <c r="G25" s="249">
        <f t="shared" si="0"/>
        <v>0</v>
      </c>
    </row>
    <row r="26" spans="1:7" s="217" customFormat="1" ht="24" customHeight="1" x14ac:dyDescent="0.2">
      <c r="A26" s="250">
        <v>11</v>
      </c>
      <c r="B26" s="247" t="s">
        <v>975</v>
      </c>
      <c r="C26" s="248"/>
      <c r="D26" s="248"/>
      <c r="E26" s="248"/>
      <c r="F26" s="248"/>
      <c r="G26" s="249">
        <f t="shared" si="0"/>
        <v>0</v>
      </c>
    </row>
    <row r="27" spans="1:7" s="217" customFormat="1" ht="24" customHeight="1" x14ac:dyDescent="0.2">
      <c r="A27" s="250">
        <v>12</v>
      </c>
      <c r="B27" s="247" t="s">
        <v>975</v>
      </c>
      <c r="C27" s="248"/>
      <c r="D27" s="248"/>
      <c r="E27" s="248"/>
      <c r="F27" s="248"/>
      <c r="G27" s="249">
        <f t="shared" si="0"/>
        <v>0</v>
      </c>
    </row>
    <row r="28" spans="1:7" s="217" customFormat="1" ht="24" customHeight="1" x14ac:dyDescent="0.2">
      <c r="A28" s="250">
        <v>13</v>
      </c>
      <c r="B28" s="247" t="s">
        <v>975</v>
      </c>
      <c r="C28" s="248"/>
      <c r="D28" s="248"/>
      <c r="E28" s="248"/>
      <c r="F28" s="248"/>
      <c r="G28" s="249">
        <f t="shared" si="0"/>
        <v>0</v>
      </c>
    </row>
    <row r="29" spans="1:7" s="217" customFormat="1" ht="24" customHeight="1" x14ac:dyDescent="0.2">
      <c r="A29" s="250">
        <v>14</v>
      </c>
      <c r="B29" s="247" t="s">
        <v>975</v>
      </c>
      <c r="C29" s="248"/>
      <c r="D29" s="248"/>
      <c r="E29" s="248"/>
      <c r="F29" s="248"/>
      <c r="G29" s="249">
        <f t="shared" si="0"/>
        <v>0</v>
      </c>
    </row>
    <row r="30" spans="1:7" s="217" customFormat="1" ht="24" customHeight="1" x14ac:dyDescent="0.2">
      <c r="A30" s="250">
        <v>15</v>
      </c>
      <c r="B30" s="247" t="s">
        <v>975</v>
      </c>
      <c r="C30" s="248"/>
      <c r="D30" s="248"/>
      <c r="E30" s="248"/>
      <c r="F30" s="248"/>
      <c r="G30" s="249">
        <f t="shared" si="0"/>
        <v>0</v>
      </c>
    </row>
    <row r="31" spans="1:7" s="217" customFormat="1" ht="24" customHeight="1" x14ac:dyDescent="0.2">
      <c r="A31" s="250">
        <v>16</v>
      </c>
      <c r="B31" s="247" t="s">
        <v>975</v>
      </c>
      <c r="C31" s="248"/>
      <c r="D31" s="248"/>
      <c r="E31" s="248"/>
      <c r="F31" s="248"/>
      <c r="G31" s="249">
        <f t="shared" si="0"/>
        <v>0</v>
      </c>
    </row>
    <row r="32" spans="1:7" s="217" customFormat="1" ht="24" customHeight="1" x14ac:dyDescent="0.2">
      <c r="A32" s="250">
        <v>17</v>
      </c>
      <c r="B32" s="247" t="s">
        <v>975</v>
      </c>
      <c r="C32" s="248"/>
      <c r="D32" s="248"/>
      <c r="E32" s="248"/>
      <c r="F32" s="248"/>
      <c r="G32" s="249">
        <f t="shared" si="0"/>
        <v>0</v>
      </c>
    </row>
    <row r="33" spans="1:7" s="217" customFormat="1" ht="24" customHeight="1" x14ac:dyDescent="0.2">
      <c r="A33" s="250">
        <v>18</v>
      </c>
      <c r="B33" s="247" t="s">
        <v>975</v>
      </c>
      <c r="C33" s="248"/>
      <c r="D33" s="248"/>
      <c r="E33" s="248"/>
      <c r="F33" s="248"/>
      <c r="G33" s="249">
        <f t="shared" si="0"/>
        <v>0</v>
      </c>
    </row>
    <row r="34" spans="1:7" s="217" customFormat="1" ht="24" customHeight="1" x14ac:dyDescent="0.2">
      <c r="A34" s="251">
        <v>19</v>
      </c>
      <c r="B34" s="247" t="s">
        <v>975</v>
      </c>
      <c r="C34" s="248"/>
      <c r="D34" s="248"/>
      <c r="E34" s="248"/>
      <c r="F34" s="248"/>
      <c r="G34" s="249">
        <f t="shared" si="0"/>
        <v>0</v>
      </c>
    </row>
    <row r="35" spans="1:7" s="217" customFormat="1" ht="24" customHeight="1" x14ac:dyDescent="0.2">
      <c r="A35" s="250">
        <v>20</v>
      </c>
      <c r="B35" s="247" t="s">
        <v>975</v>
      </c>
      <c r="C35" s="248"/>
      <c r="D35" s="248"/>
      <c r="E35" s="248"/>
      <c r="F35" s="248"/>
      <c r="G35" s="249">
        <f t="shared" si="0"/>
        <v>0</v>
      </c>
    </row>
    <row r="36" spans="1:7" s="217" customFormat="1" ht="24" customHeight="1" x14ac:dyDescent="0.2">
      <c r="A36" s="252">
        <v>21</v>
      </c>
      <c r="B36" s="253" t="s">
        <v>975</v>
      </c>
      <c r="C36" s="254"/>
      <c r="D36" s="254"/>
      <c r="E36" s="254"/>
      <c r="F36" s="254"/>
      <c r="G36" s="255">
        <f t="shared" si="0"/>
        <v>0</v>
      </c>
    </row>
    <row r="37" spans="1:7" s="217" customFormat="1" ht="24" customHeight="1" x14ac:dyDescent="0.25">
      <c r="A37" s="256"/>
      <c r="B37" s="257" t="s">
        <v>952</v>
      </c>
      <c r="C37" s="258"/>
      <c r="D37" s="259">
        <f>SUM(D16:D36)</f>
        <v>0</v>
      </c>
      <c r="E37" s="259">
        <f>SUM(E16:E36)</f>
        <v>0</v>
      </c>
      <c r="F37" s="259">
        <f>SUM(F16:F36)</f>
        <v>0</v>
      </c>
      <c r="G37" s="259">
        <f>SUM(G16:G36)</f>
        <v>0</v>
      </c>
    </row>
  </sheetData>
  <sheetProtection password="C47C" sheet="1" objects="1" scenarios="1"/>
  <customSheetViews>
    <customSheetView guid="{53CC1FF8-69F4-40AB-9E52-A9F35D642996}" showGridLines="0" fitToPage="1" state="hidden">
      <selection activeCell="A9" sqref="A9"/>
      <pageMargins left="0.75" right="0.75" top="1" bottom="1" header="0.5" footer="0.5"/>
      <pageSetup orientation="portrait" horizontalDpi="1200" verticalDpi="1200" r:id="rId1"/>
      <headerFooter alignWithMargins="0"/>
    </customSheetView>
  </customSheetViews>
  <phoneticPr fontId="0" type="noConversion"/>
  <pageMargins left="0.75" right="0.75" top="1" bottom="1" header="0.5" footer="0.5"/>
  <pageSetup orientation="portrait" horizontalDpi="1200" verticalDpi="1200"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39997558519241921"/>
    <pageSetUpPr fitToPage="1"/>
  </sheetPr>
  <dimension ref="A1:G37"/>
  <sheetViews>
    <sheetView showGridLines="0" workbookViewId="0">
      <selection activeCell="D18" sqref="D18"/>
    </sheetView>
  </sheetViews>
  <sheetFormatPr defaultRowHeight="12.75" x14ac:dyDescent="0.2"/>
  <cols>
    <col min="1" max="1" width="3.140625" style="208" customWidth="1"/>
    <col min="2" max="2" width="17.7109375" style="208" customWidth="1"/>
    <col min="3" max="6" width="16.28515625" style="208" customWidth="1"/>
    <col min="7" max="7" width="16.140625" style="208" customWidth="1"/>
    <col min="8" max="16384" width="9.140625" style="208"/>
  </cols>
  <sheetData>
    <row r="1" spans="1:7" x14ac:dyDescent="0.2">
      <c r="A1" s="3"/>
      <c r="B1" s="3" t="s">
        <v>937</v>
      </c>
      <c r="C1" s="3"/>
      <c r="D1" s="3"/>
      <c r="E1" s="3"/>
      <c r="F1" s="3"/>
      <c r="G1" s="207" t="s">
        <v>938</v>
      </c>
    </row>
    <row r="2" spans="1:7" x14ac:dyDescent="0.2">
      <c r="A2" s="209"/>
      <c r="B2" s="3"/>
      <c r="C2" s="209"/>
      <c r="D2" s="210"/>
      <c r="E2" s="210"/>
      <c r="F2" s="210"/>
      <c r="G2" s="207"/>
    </row>
    <row r="3" spans="1:7" x14ac:dyDescent="0.2">
      <c r="A3" s="209" t="s">
        <v>939</v>
      </c>
      <c r="B3" s="211"/>
      <c r="C3" s="212"/>
      <c r="D3" s="212"/>
      <c r="E3" s="212"/>
      <c r="F3" s="211" t="s">
        <v>940</v>
      </c>
      <c r="G3" s="213"/>
    </row>
    <row r="4" spans="1:7" s="215" customFormat="1" ht="15" customHeight="1" x14ac:dyDescent="0.2">
      <c r="A4" s="214" t="s">
        <v>941</v>
      </c>
      <c r="B4" s="214"/>
      <c r="C4" s="214"/>
      <c r="D4" s="214"/>
      <c r="E4" s="214"/>
      <c r="F4" s="214"/>
      <c r="G4" s="214"/>
    </row>
    <row r="5" spans="1:7" s="215" customFormat="1" ht="15" customHeight="1" x14ac:dyDescent="0.2">
      <c r="A5" s="214" t="s">
        <v>942</v>
      </c>
      <c r="B5" s="214"/>
      <c r="C5" s="214"/>
      <c r="D5" s="214"/>
      <c r="E5" s="214"/>
      <c r="F5" s="214"/>
      <c r="G5" s="214"/>
    </row>
    <row r="6" spans="1:7" s="215" customFormat="1" ht="15" customHeight="1" x14ac:dyDescent="0.2">
      <c r="A6" s="214" t="s">
        <v>1005</v>
      </c>
      <c r="B6" s="214"/>
      <c r="C6" s="214"/>
      <c r="D6" s="214"/>
      <c r="E6" s="214"/>
      <c r="F6" s="214"/>
      <c r="G6" s="214"/>
    </row>
    <row r="7" spans="1:7" s="217" customFormat="1" ht="15" customHeight="1" x14ac:dyDescent="0.2">
      <c r="A7" s="216"/>
      <c r="B7" s="216"/>
      <c r="C7" s="216"/>
      <c r="D7" s="216"/>
      <c r="E7" s="216"/>
      <c r="F7" s="216"/>
      <c r="G7" s="216"/>
    </row>
    <row r="8" spans="1:7" s="217" customFormat="1" ht="15" customHeight="1" x14ac:dyDescent="0.2">
      <c r="A8" s="218" t="s">
        <v>943</v>
      </c>
      <c r="B8" s="219"/>
      <c r="C8" s="220"/>
      <c r="D8" s="221" t="s">
        <v>944</v>
      </c>
      <c r="E8" s="221" t="s">
        <v>945</v>
      </c>
      <c r="F8" s="221" t="s">
        <v>946</v>
      </c>
      <c r="G8" s="221" t="s">
        <v>947</v>
      </c>
    </row>
    <row r="9" spans="1:7" s="217" customFormat="1" ht="12" x14ac:dyDescent="0.2">
      <c r="A9" s="222"/>
      <c r="B9" s="223"/>
      <c r="C9" s="224"/>
      <c r="D9" s="225"/>
      <c r="E9" s="226"/>
      <c r="F9" s="226"/>
      <c r="G9" s="226"/>
    </row>
    <row r="10" spans="1:7" s="217" customFormat="1" ht="15" customHeight="1" x14ac:dyDescent="0.2">
      <c r="A10" s="227"/>
      <c r="B10" s="227"/>
      <c r="C10" s="227"/>
      <c r="D10" s="227"/>
      <c r="E10" s="227"/>
      <c r="F10" s="227"/>
      <c r="G10" s="227"/>
    </row>
    <row r="11" spans="1:7" s="217" customFormat="1" ht="12" x14ac:dyDescent="0.2"/>
    <row r="12" spans="1:7" s="217" customFormat="1" ht="12" x14ac:dyDescent="0.2">
      <c r="A12" s="228"/>
      <c r="B12" s="229"/>
      <c r="C12" s="228"/>
      <c r="D12" s="230"/>
      <c r="E12" s="231"/>
      <c r="F12" s="232" t="s">
        <v>948</v>
      </c>
      <c r="G12" s="231"/>
    </row>
    <row r="13" spans="1:7" s="217" customFormat="1" ht="12" x14ac:dyDescent="0.2">
      <c r="A13" s="233"/>
      <c r="B13" s="234"/>
      <c r="C13" s="235" t="s">
        <v>949</v>
      </c>
      <c r="D13" s="236"/>
      <c r="E13" s="237" t="s">
        <v>950</v>
      </c>
      <c r="F13" s="238" t="s">
        <v>951</v>
      </c>
      <c r="G13" s="239" t="s">
        <v>952</v>
      </c>
    </row>
    <row r="14" spans="1:7" s="217" customFormat="1" ht="12" x14ac:dyDescent="0.2">
      <c r="A14" s="233"/>
      <c r="B14" s="240" t="s">
        <v>953</v>
      </c>
      <c r="C14" s="231" t="s">
        <v>954</v>
      </c>
      <c r="D14" s="240" t="s">
        <v>955</v>
      </c>
      <c r="E14" s="237" t="s">
        <v>955</v>
      </c>
      <c r="F14" s="238" t="s">
        <v>956</v>
      </c>
      <c r="G14" s="239" t="s">
        <v>957</v>
      </c>
    </row>
    <row r="15" spans="1:7" s="217" customFormat="1" ht="12" x14ac:dyDescent="0.2">
      <c r="A15" s="241"/>
      <c r="B15" s="242" t="s">
        <v>958</v>
      </c>
      <c r="C15" s="243" t="s">
        <v>959</v>
      </c>
      <c r="D15" s="244" t="s">
        <v>960</v>
      </c>
      <c r="E15" s="245" t="s">
        <v>961</v>
      </c>
      <c r="F15" s="243" t="s">
        <v>973</v>
      </c>
      <c r="G15" s="244" t="s">
        <v>974</v>
      </c>
    </row>
    <row r="16" spans="1:7" s="217" customFormat="1" ht="24" customHeight="1" x14ac:dyDescent="0.2">
      <c r="A16" s="246">
        <v>1</v>
      </c>
      <c r="B16" s="247" t="s">
        <v>975</v>
      </c>
      <c r="C16" s="248"/>
      <c r="D16" s="248"/>
      <c r="E16" s="248"/>
      <c r="F16" s="248"/>
      <c r="G16" s="249">
        <f t="shared" ref="G16:G36" si="0">SUM(D16:F16)</f>
        <v>0</v>
      </c>
    </row>
    <row r="17" spans="1:7" s="217" customFormat="1" ht="24" customHeight="1" x14ac:dyDescent="0.2">
      <c r="A17" s="250">
        <v>2</v>
      </c>
      <c r="B17" s="247" t="s">
        <v>975</v>
      </c>
      <c r="C17" s="248"/>
      <c r="D17" s="248"/>
      <c r="E17" s="248"/>
      <c r="F17" s="248"/>
      <c r="G17" s="249">
        <f t="shared" si="0"/>
        <v>0</v>
      </c>
    </row>
    <row r="18" spans="1:7" s="217" customFormat="1" ht="24" customHeight="1" x14ac:dyDescent="0.2">
      <c r="A18" s="250">
        <v>3</v>
      </c>
      <c r="B18" s="247" t="s">
        <v>975</v>
      </c>
      <c r="C18" s="248"/>
      <c r="D18" s="248"/>
      <c r="E18" s="248"/>
      <c r="F18" s="248"/>
      <c r="G18" s="249">
        <f t="shared" si="0"/>
        <v>0</v>
      </c>
    </row>
    <row r="19" spans="1:7" s="217" customFormat="1" ht="24" customHeight="1" x14ac:dyDescent="0.2">
      <c r="A19" s="250">
        <v>4</v>
      </c>
      <c r="B19" s="247" t="s">
        <v>975</v>
      </c>
      <c r="C19" s="248"/>
      <c r="D19" s="248"/>
      <c r="E19" s="248"/>
      <c r="F19" s="248"/>
      <c r="G19" s="249">
        <f t="shared" si="0"/>
        <v>0</v>
      </c>
    </row>
    <row r="20" spans="1:7" s="217" customFormat="1" ht="24" customHeight="1" x14ac:dyDescent="0.2">
      <c r="A20" s="250">
        <v>5</v>
      </c>
      <c r="B20" s="247" t="s">
        <v>975</v>
      </c>
      <c r="C20" s="248"/>
      <c r="D20" s="248"/>
      <c r="E20" s="248"/>
      <c r="F20" s="248"/>
      <c r="G20" s="249">
        <f t="shared" si="0"/>
        <v>0</v>
      </c>
    </row>
    <row r="21" spans="1:7" s="217" customFormat="1" ht="24" customHeight="1" x14ac:dyDescent="0.2">
      <c r="A21" s="250">
        <v>6</v>
      </c>
      <c r="B21" s="247" t="s">
        <v>975</v>
      </c>
      <c r="C21" s="248"/>
      <c r="D21" s="248"/>
      <c r="E21" s="248"/>
      <c r="F21" s="248"/>
      <c r="G21" s="249">
        <f t="shared" si="0"/>
        <v>0</v>
      </c>
    </row>
    <row r="22" spans="1:7" s="217" customFormat="1" ht="24" customHeight="1" x14ac:dyDescent="0.2">
      <c r="A22" s="250">
        <v>7</v>
      </c>
      <c r="B22" s="247" t="s">
        <v>975</v>
      </c>
      <c r="C22" s="248"/>
      <c r="D22" s="248"/>
      <c r="E22" s="248"/>
      <c r="F22" s="248"/>
      <c r="G22" s="249">
        <f t="shared" si="0"/>
        <v>0</v>
      </c>
    </row>
    <row r="23" spans="1:7" s="217" customFormat="1" ht="24" customHeight="1" x14ac:dyDescent="0.2">
      <c r="A23" s="250">
        <v>8</v>
      </c>
      <c r="B23" s="247" t="s">
        <v>975</v>
      </c>
      <c r="C23" s="248"/>
      <c r="D23" s="248"/>
      <c r="E23" s="248"/>
      <c r="F23" s="248"/>
      <c r="G23" s="249">
        <f t="shared" si="0"/>
        <v>0</v>
      </c>
    </row>
    <row r="24" spans="1:7" s="217" customFormat="1" ht="24" customHeight="1" x14ac:dyDescent="0.2">
      <c r="A24" s="250">
        <v>9</v>
      </c>
      <c r="B24" s="247" t="s">
        <v>975</v>
      </c>
      <c r="C24" s="248"/>
      <c r="D24" s="248"/>
      <c r="E24" s="248"/>
      <c r="F24" s="248"/>
      <c r="G24" s="249">
        <f t="shared" si="0"/>
        <v>0</v>
      </c>
    </row>
    <row r="25" spans="1:7" s="217" customFormat="1" ht="24" customHeight="1" x14ac:dyDescent="0.2">
      <c r="A25" s="250">
        <v>10</v>
      </c>
      <c r="B25" s="247" t="s">
        <v>975</v>
      </c>
      <c r="C25" s="248"/>
      <c r="D25" s="248"/>
      <c r="E25" s="248"/>
      <c r="F25" s="248"/>
      <c r="G25" s="249">
        <f t="shared" si="0"/>
        <v>0</v>
      </c>
    </row>
    <row r="26" spans="1:7" s="217" customFormat="1" ht="24" customHeight="1" x14ac:dyDescent="0.2">
      <c r="A26" s="250">
        <v>11</v>
      </c>
      <c r="B26" s="247" t="s">
        <v>975</v>
      </c>
      <c r="C26" s="248"/>
      <c r="D26" s="248"/>
      <c r="E26" s="248"/>
      <c r="F26" s="248"/>
      <c r="G26" s="249">
        <f t="shared" si="0"/>
        <v>0</v>
      </c>
    </row>
    <row r="27" spans="1:7" s="217" customFormat="1" ht="24" customHeight="1" x14ac:dyDescent="0.2">
      <c r="A27" s="250">
        <v>12</v>
      </c>
      <c r="B27" s="247" t="s">
        <v>975</v>
      </c>
      <c r="C27" s="248"/>
      <c r="D27" s="248"/>
      <c r="E27" s="248"/>
      <c r="F27" s="248"/>
      <c r="G27" s="249">
        <f t="shared" si="0"/>
        <v>0</v>
      </c>
    </row>
    <row r="28" spans="1:7" s="217" customFormat="1" ht="24" customHeight="1" x14ac:dyDescent="0.2">
      <c r="A28" s="250">
        <v>13</v>
      </c>
      <c r="B28" s="247" t="s">
        <v>975</v>
      </c>
      <c r="C28" s="248"/>
      <c r="D28" s="248"/>
      <c r="E28" s="248"/>
      <c r="F28" s="248"/>
      <c r="G28" s="249">
        <f t="shared" si="0"/>
        <v>0</v>
      </c>
    </row>
    <row r="29" spans="1:7" s="217" customFormat="1" ht="24" customHeight="1" x14ac:dyDescent="0.2">
      <c r="A29" s="250">
        <v>14</v>
      </c>
      <c r="B29" s="247" t="s">
        <v>975</v>
      </c>
      <c r="C29" s="248"/>
      <c r="D29" s="248"/>
      <c r="E29" s="248"/>
      <c r="F29" s="248"/>
      <c r="G29" s="249">
        <f t="shared" si="0"/>
        <v>0</v>
      </c>
    </row>
    <row r="30" spans="1:7" s="217" customFormat="1" ht="24" customHeight="1" x14ac:dyDescent="0.2">
      <c r="A30" s="250">
        <v>15</v>
      </c>
      <c r="B30" s="247" t="s">
        <v>975</v>
      </c>
      <c r="C30" s="248"/>
      <c r="D30" s="248"/>
      <c r="E30" s="248"/>
      <c r="F30" s="248"/>
      <c r="G30" s="249">
        <f t="shared" si="0"/>
        <v>0</v>
      </c>
    </row>
    <row r="31" spans="1:7" s="217" customFormat="1" ht="24" customHeight="1" x14ac:dyDescent="0.2">
      <c r="A31" s="250">
        <v>16</v>
      </c>
      <c r="B31" s="247" t="s">
        <v>975</v>
      </c>
      <c r="C31" s="248"/>
      <c r="D31" s="248"/>
      <c r="E31" s="248"/>
      <c r="F31" s="248"/>
      <c r="G31" s="249">
        <f t="shared" si="0"/>
        <v>0</v>
      </c>
    </row>
    <row r="32" spans="1:7" s="217" customFormat="1" ht="24" customHeight="1" x14ac:dyDescent="0.2">
      <c r="A32" s="250">
        <v>17</v>
      </c>
      <c r="B32" s="247" t="s">
        <v>975</v>
      </c>
      <c r="C32" s="248"/>
      <c r="D32" s="248"/>
      <c r="E32" s="248"/>
      <c r="F32" s="248"/>
      <c r="G32" s="249">
        <f t="shared" si="0"/>
        <v>0</v>
      </c>
    </row>
    <row r="33" spans="1:7" s="217" customFormat="1" ht="24" customHeight="1" x14ac:dyDescent="0.2">
      <c r="A33" s="250">
        <v>18</v>
      </c>
      <c r="B33" s="247" t="s">
        <v>975</v>
      </c>
      <c r="C33" s="248"/>
      <c r="D33" s="248"/>
      <c r="E33" s="248"/>
      <c r="F33" s="248"/>
      <c r="G33" s="249">
        <f t="shared" si="0"/>
        <v>0</v>
      </c>
    </row>
    <row r="34" spans="1:7" s="217" customFormat="1" ht="24" customHeight="1" x14ac:dyDescent="0.2">
      <c r="A34" s="251">
        <v>19</v>
      </c>
      <c r="B34" s="247" t="s">
        <v>975</v>
      </c>
      <c r="C34" s="248"/>
      <c r="D34" s="248"/>
      <c r="E34" s="248"/>
      <c r="F34" s="248"/>
      <c r="G34" s="249">
        <f t="shared" si="0"/>
        <v>0</v>
      </c>
    </row>
    <row r="35" spans="1:7" s="217" customFormat="1" ht="24" customHeight="1" x14ac:dyDescent="0.2">
      <c r="A35" s="250">
        <v>20</v>
      </c>
      <c r="B35" s="247" t="s">
        <v>975</v>
      </c>
      <c r="C35" s="248"/>
      <c r="D35" s="248"/>
      <c r="E35" s="248"/>
      <c r="F35" s="248"/>
      <c r="G35" s="249">
        <f t="shared" si="0"/>
        <v>0</v>
      </c>
    </row>
    <row r="36" spans="1:7" s="217" customFormat="1" ht="24" customHeight="1" x14ac:dyDescent="0.2">
      <c r="A36" s="252">
        <v>21</v>
      </c>
      <c r="B36" s="253" t="s">
        <v>975</v>
      </c>
      <c r="C36" s="254"/>
      <c r="D36" s="254"/>
      <c r="E36" s="254"/>
      <c r="F36" s="254"/>
      <c r="G36" s="255">
        <f t="shared" si="0"/>
        <v>0</v>
      </c>
    </row>
    <row r="37" spans="1:7" s="217" customFormat="1" ht="24" customHeight="1" x14ac:dyDescent="0.25">
      <c r="A37" s="256"/>
      <c r="B37" s="257" t="s">
        <v>952</v>
      </c>
      <c r="C37" s="258"/>
      <c r="D37" s="259">
        <f>SUM(D16:D36)</f>
        <v>0</v>
      </c>
      <c r="E37" s="259">
        <f>SUM(E16:E36)</f>
        <v>0</v>
      </c>
      <c r="F37" s="259">
        <f>SUM(F16:F36)</f>
        <v>0</v>
      </c>
      <c r="G37" s="259">
        <f>SUM(G16:G36)</f>
        <v>0</v>
      </c>
    </row>
  </sheetData>
  <sheetProtection password="C47C" sheet="1" objects="1" scenarios="1"/>
  <customSheetViews>
    <customSheetView guid="{53CC1FF8-69F4-40AB-9E52-A9F35D642996}" showGridLines="0" fitToPage="1" state="hidden">
      <selection activeCell="A9" sqref="A9"/>
      <pageMargins left="0.75" right="0.75" top="1" bottom="1" header="0.5" footer="0.5"/>
      <pageSetup orientation="portrait" horizontalDpi="1200" verticalDpi="1200" r:id="rId1"/>
      <headerFooter alignWithMargins="0"/>
    </customSheetView>
  </customSheetViews>
  <phoneticPr fontId="0" type="noConversion"/>
  <pageMargins left="0.75" right="0.75" top="1" bottom="1" header="0.5" footer="0.5"/>
  <pageSetup orientation="portrait" horizontalDpi="1200" verticalDpi="1200"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39997558519241921"/>
    <pageSetUpPr fitToPage="1"/>
  </sheetPr>
  <dimension ref="A1:G37"/>
  <sheetViews>
    <sheetView showGridLines="0" workbookViewId="0">
      <selection activeCell="D18" sqref="D18"/>
    </sheetView>
  </sheetViews>
  <sheetFormatPr defaultRowHeight="12.75" x14ac:dyDescent="0.2"/>
  <cols>
    <col min="1" max="1" width="3.140625" style="208" customWidth="1"/>
    <col min="2" max="2" width="17.7109375" style="208" customWidth="1"/>
    <col min="3" max="6" width="16.28515625" style="208" customWidth="1"/>
    <col min="7" max="7" width="16.140625" style="208" customWidth="1"/>
    <col min="8" max="16384" width="9.140625" style="208"/>
  </cols>
  <sheetData>
    <row r="1" spans="1:7" x14ac:dyDescent="0.2">
      <c r="A1" s="3"/>
      <c r="B1" s="3" t="s">
        <v>937</v>
      </c>
      <c r="C1" s="3"/>
      <c r="D1" s="3"/>
      <c r="E1" s="3"/>
      <c r="F1" s="3"/>
      <c r="G1" s="207" t="s">
        <v>938</v>
      </c>
    </row>
    <row r="2" spans="1:7" x14ac:dyDescent="0.2">
      <c r="A2" s="209"/>
      <c r="B2" s="3"/>
      <c r="C2" s="209"/>
      <c r="D2" s="210"/>
      <c r="E2" s="210"/>
      <c r="F2" s="210"/>
      <c r="G2" s="207"/>
    </row>
    <row r="3" spans="1:7" x14ac:dyDescent="0.2">
      <c r="A3" s="209" t="s">
        <v>939</v>
      </c>
      <c r="B3" s="211"/>
      <c r="C3" s="212"/>
      <c r="D3" s="212"/>
      <c r="E3" s="212"/>
      <c r="F3" s="211" t="s">
        <v>940</v>
      </c>
      <c r="G3" s="213"/>
    </row>
    <row r="4" spans="1:7" s="215" customFormat="1" ht="15" customHeight="1" x14ac:dyDescent="0.2">
      <c r="A4" s="214" t="s">
        <v>941</v>
      </c>
      <c r="B4" s="214"/>
      <c r="C4" s="214"/>
      <c r="D4" s="214"/>
      <c r="E4" s="214"/>
      <c r="F4" s="214"/>
      <c r="G4" s="214"/>
    </row>
    <row r="5" spans="1:7" s="215" customFormat="1" ht="15" customHeight="1" x14ac:dyDescent="0.2">
      <c r="A5" s="214" t="s">
        <v>942</v>
      </c>
      <c r="B5" s="214"/>
      <c r="C5" s="214"/>
      <c r="D5" s="214"/>
      <c r="E5" s="214"/>
      <c r="F5" s="214"/>
      <c r="G5" s="214"/>
    </row>
    <row r="6" spans="1:7" s="215" customFormat="1" ht="15" customHeight="1" x14ac:dyDescent="0.2">
      <c r="A6" s="214" t="s">
        <v>1005</v>
      </c>
      <c r="B6" s="214"/>
      <c r="C6" s="214"/>
      <c r="D6" s="214"/>
      <c r="E6" s="214"/>
      <c r="F6" s="214"/>
      <c r="G6" s="214"/>
    </row>
    <row r="7" spans="1:7" s="217" customFormat="1" ht="15" customHeight="1" x14ac:dyDescent="0.2">
      <c r="A7" s="216"/>
      <c r="B7" s="216"/>
      <c r="C7" s="216"/>
      <c r="D7" s="216"/>
      <c r="E7" s="216"/>
      <c r="F7" s="216"/>
      <c r="G7" s="216"/>
    </row>
    <row r="8" spans="1:7" s="217" customFormat="1" ht="15" customHeight="1" x14ac:dyDescent="0.2">
      <c r="A8" s="218" t="s">
        <v>943</v>
      </c>
      <c r="B8" s="219"/>
      <c r="C8" s="220"/>
      <c r="D8" s="221" t="s">
        <v>944</v>
      </c>
      <c r="E8" s="221" t="s">
        <v>945</v>
      </c>
      <c r="F8" s="221" t="s">
        <v>946</v>
      </c>
      <c r="G8" s="221" t="s">
        <v>947</v>
      </c>
    </row>
    <row r="9" spans="1:7" s="217" customFormat="1" ht="12" x14ac:dyDescent="0.2">
      <c r="A9" s="222"/>
      <c r="B9" s="223"/>
      <c r="C9" s="224"/>
      <c r="D9" s="225"/>
      <c r="E9" s="226"/>
      <c r="F9" s="226"/>
      <c r="G9" s="226"/>
    </row>
    <row r="10" spans="1:7" s="217" customFormat="1" ht="15" customHeight="1" x14ac:dyDescent="0.2">
      <c r="A10" s="227"/>
      <c r="B10" s="227"/>
      <c r="C10" s="227"/>
      <c r="D10" s="227"/>
      <c r="E10" s="227"/>
      <c r="F10" s="227"/>
      <c r="G10" s="227"/>
    </row>
    <row r="11" spans="1:7" s="217" customFormat="1" ht="12" x14ac:dyDescent="0.2"/>
    <row r="12" spans="1:7" s="217" customFormat="1" ht="12" x14ac:dyDescent="0.2">
      <c r="A12" s="228"/>
      <c r="B12" s="229"/>
      <c r="C12" s="228"/>
      <c r="D12" s="230"/>
      <c r="E12" s="231"/>
      <c r="F12" s="232" t="s">
        <v>948</v>
      </c>
      <c r="G12" s="231"/>
    </row>
    <row r="13" spans="1:7" s="217" customFormat="1" ht="12" x14ac:dyDescent="0.2">
      <c r="A13" s="233"/>
      <c r="B13" s="234"/>
      <c r="C13" s="235" t="s">
        <v>949</v>
      </c>
      <c r="D13" s="236"/>
      <c r="E13" s="237" t="s">
        <v>950</v>
      </c>
      <c r="F13" s="238" t="s">
        <v>951</v>
      </c>
      <c r="G13" s="239" t="s">
        <v>952</v>
      </c>
    </row>
    <row r="14" spans="1:7" s="217" customFormat="1" ht="12" x14ac:dyDescent="0.2">
      <c r="A14" s="233"/>
      <c r="B14" s="240" t="s">
        <v>953</v>
      </c>
      <c r="C14" s="231" t="s">
        <v>954</v>
      </c>
      <c r="D14" s="240" t="s">
        <v>955</v>
      </c>
      <c r="E14" s="237" t="s">
        <v>955</v>
      </c>
      <c r="F14" s="238" t="s">
        <v>956</v>
      </c>
      <c r="G14" s="239" t="s">
        <v>957</v>
      </c>
    </row>
    <row r="15" spans="1:7" s="217" customFormat="1" ht="12" x14ac:dyDescent="0.2">
      <c r="A15" s="241"/>
      <c r="B15" s="242" t="s">
        <v>958</v>
      </c>
      <c r="C15" s="243" t="s">
        <v>959</v>
      </c>
      <c r="D15" s="244" t="s">
        <v>960</v>
      </c>
      <c r="E15" s="245" t="s">
        <v>961</v>
      </c>
      <c r="F15" s="243" t="s">
        <v>973</v>
      </c>
      <c r="G15" s="244" t="s">
        <v>974</v>
      </c>
    </row>
    <row r="16" spans="1:7" s="217" customFormat="1" ht="24" customHeight="1" x14ac:dyDescent="0.2">
      <c r="A16" s="246">
        <v>1</v>
      </c>
      <c r="B16" s="247" t="s">
        <v>975</v>
      </c>
      <c r="C16" s="248"/>
      <c r="D16" s="248"/>
      <c r="E16" s="248"/>
      <c r="F16" s="248"/>
      <c r="G16" s="249">
        <f t="shared" ref="G16:G36" si="0">SUM(D16:F16)</f>
        <v>0</v>
      </c>
    </row>
    <row r="17" spans="1:7" s="217" customFormat="1" ht="24" customHeight="1" x14ac:dyDescent="0.2">
      <c r="A17" s="250">
        <v>2</v>
      </c>
      <c r="B17" s="247" t="s">
        <v>975</v>
      </c>
      <c r="C17" s="248"/>
      <c r="D17" s="248"/>
      <c r="E17" s="248"/>
      <c r="F17" s="248"/>
      <c r="G17" s="249">
        <f t="shared" si="0"/>
        <v>0</v>
      </c>
    </row>
    <row r="18" spans="1:7" s="217" customFormat="1" ht="24" customHeight="1" x14ac:dyDescent="0.2">
      <c r="A18" s="250">
        <v>3</v>
      </c>
      <c r="B18" s="247" t="s">
        <v>975</v>
      </c>
      <c r="C18" s="248"/>
      <c r="D18" s="248"/>
      <c r="E18" s="248"/>
      <c r="F18" s="248"/>
      <c r="G18" s="249">
        <f t="shared" si="0"/>
        <v>0</v>
      </c>
    </row>
    <row r="19" spans="1:7" s="217" customFormat="1" ht="24" customHeight="1" x14ac:dyDescent="0.2">
      <c r="A19" s="250">
        <v>4</v>
      </c>
      <c r="B19" s="247" t="s">
        <v>975</v>
      </c>
      <c r="C19" s="248"/>
      <c r="D19" s="248"/>
      <c r="E19" s="248"/>
      <c r="F19" s="248"/>
      <c r="G19" s="249">
        <f t="shared" si="0"/>
        <v>0</v>
      </c>
    </row>
    <row r="20" spans="1:7" s="217" customFormat="1" ht="24" customHeight="1" x14ac:dyDescent="0.2">
      <c r="A20" s="250">
        <v>5</v>
      </c>
      <c r="B20" s="247" t="s">
        <v>975</v>
      </c>
      <c r="C20" s="248"/>
      <c r="D20" s="248"/>
      <c r="E20" s="248"/>
      <c r="F20" s="248"/>
      <c r="G20" s="249">
        <f t="shared" si="0"/>
        <v>0</v>
      </c>
    </row>
    <row r="21" spans="1:7" s="217" customFormat="1" ht="24" customHeight="1" x14ac:dyDescent="0.2">
      <c r="A21" s="250">
        <v>6</v>
      </c>
      <c r="B21" s="247" t="s">
        <v>975</v>
      </c>
      <c r="C21" s="248"/>
      <c r="D21" s="248"/>
      <c r="E21" s="248"/>
      <c r="F21" s="248"/>
      <c r="G21" s="249">
        <f t="shared" si="0"/>
        <v>0</v>
      </c>
    </row>
    <row r="22" spans="1:7" s="217" customFormat="1" ht="24" customHeight="1" x14ac:dyDescent="0.2">
      <c r="A22" s="250">
        <v>7</v>
      </c>
      <c r="B22" s="247" t="s">
        <v>975</v>
      </c>
      <c r="C22" s="248"/>
      <c r="D22" s="248"/>
      <c r="E22" s="248"/>
      <c r="F22" s="248"/>
      <c r="G22" s="249">
        <f t="shared" si="0"/>
        <v>0</v>
      </c>
    </row>
    <row r="23" spans="1:7" s="217" customFormat="1" ht="24" customHeight="1" x14ac:dyDescent="0.2">
      <c r="A23" s="250">
        <v>8</v>
      </c>
      <c r="B23" s="247" t="s">
        <v>975</v>
      </c>
      <c r="C23" s="248"/>
      <c r="D23" s="248"/>
      <c r="E23" s="248"/>
      <c r="F23" s="248"/>
      <c r="G23" s="249">
        <f t="shared" si="0"/>
        <v>0</v>
      </c>
    </row>
    <row r="24" spans="1:7" s="217" customFormat="1" ht="24" customHeight="1" x14ac:dyDescent="0.2">
      <c r="A24" s="250">
        <v>9</v>
      </c>
      <c r="B24" s="247" t="s">
        <v>975</v>
      </c>
      <c r="C24" s="248"/>
      <c r="D24" s="248"/>
      <c r="E24" s="248"/>
      <c r="F24" s="248"/>
      <c r="G24" s="249">
        <f t="shared" si="0"/>
        <v>0</v>
      </c>
    </row>
    <row r="25" spans="1:7" s="217" customFormat="1" ht="24" customHeight="1" x14ac:dyDescent="0.2">
      <c r="A25" s="250">
        <v>10</v>
      </c>
      <c r="B25" s="247" t="s">
        <v>975</v>
      </c>
      <c r="C25" s="248"/>
      <c r="D25" s="248"/>
      <c r="E25" s="248"/>
      <c r="F25" s="248"/>
      <c r="G25" s="249">
        <f t="shared" si="0"/>
        <v>0</v>
      </c>
    </row>
    <row r="26" spans="1:7" s="217" customFormat="1" ht="24" customHeight="1" x14ac:dyDescent="0.2">
      <c r="A26" s="250">
        <v>11</v>
      </c>
      <c r="B26" s="247" t="s">
        <v>975</v>
      </c>
      <c r="C26" s="248"/>
      <c r="D26" s="248"/>
      <c r="E26" s="248"/>
      <c r="F26" s="248"/>
      <c r="G26" s="249">
        <f t="shared" si="0"/>
        <v>0</v>
      </c>
    </row>
    <row r="27" spans="1:7" s="217" customFormat="1" ht="24" customHeight="1" x14ac:dyDescent="0.2">
      <c r="A27" s="250">
        <v>12</v>
      </c>
      <c r="B27" s="247" t="s">
        <v>975</v>
      </c>
      <c r="C27" s="248"/>
      <c r="D27" s="248"/>
      <c r="E27" s="248"/>
      <c r="F27" s="248"/>
      <c r="G27" s="249">
        <f t="shared" si="0"/>
        <v>0</v>
      </c>
    </row>
    <row r="28" spans="1:7" s="217" customFormat="1" ht="24" customHeight="1" x14ac:dyDescent="0.2">
      <c r="A28" s="250">
        <v>13</v>
      </c>
      <c r="B28" s="247" t="s">
        <v>975</v>
      </c>
      <c r="C28" s="248"/>
      <c r="D28" s="248"/>
      <c r="E28" s="248"/>
      <c r="F28" s="248"/>
      <c r="G28" s="249">
        <f t="shared" si="0"/>
        <v>0</v>
      </c>
    </row>
    <row r="29" spans="1:7" s="217" customFormat="1" ht="24" customHeight="1" x14ac:dyDescent="0.2">
      <c r="A29" s="250">
        <v>14</v>
      </c>
      <c r="B29" s="247" t="s">
        <v>975</v>
      </c>
      <c r="C29" s="248"/>
      <c r="D29" s="248"/>
      <c r="E29" s="248"/>
      <c r="F29" s="248"/>
      <c r="G29" s="249">
        <f t="shared" si="0"/>
        <v>0</v>
      </c>
    </row>
    <row r="30" spans="1:7" s="217" customFormat="1" ht="24" customHeight="1" x14ac:dyDescent="0.2">
      <c r="A30" s="250">
        <v>15</v>
      </c>
      <c r="B30" s="247" t="s">
        <v>975</v>
      </c>
      <c r="C30" s="248"/>
      <c r="D30" s="248"/>
      <c r="E30" s="248"/>
      <c r="F30" s="248"/>
      <c r="G30" s="249">
        <f t="shared" si="0"/>
        <v>0</v>
      </c>
    </row>
    <row r="31" spans="1:7" s="217" customFormat="1" ht="24" customHeight="1" x14ac:dyDescent="0.2">
      <c r="A31" s="250">
        <v>16</v>
      </c>
      <c r="B31" s="247" t="s">
        <v>975</v>
      </c>
      <c r="C31" s="248"/>
      <c r="D31" s="248"/>
      <c r="E31" s="248"/>
      <c r="F31" s="248"/>
      <c r="G31" s="249">
        <f t="shared" si="0"/>
        <v>0</v>
      </c>
    </row>
    <row r="32" spans="1:7" s="217" customFormat="1" ht="24" customHeight="1" x14ac:dyDescent="0.2">
      <c r="A32" s="250">
        <v>17</v>
      </c>
      <c r="B32" s="247" t="s">
        <v>975</v>
      </c>
      <c r="C32" s="248"/>
      <c r="D32" s="248"/>
      <c r="E32" s="248"/>
      <c r="F32" s="248"/>
      <c r="G32" s="249">
        <f t="shared" si="0"/>
        <v>0</v>
      </c>
    </row>
    <row r="33" spans="1:7" s="217" customFormat="1" ht="24" customHeight="1" x14ac:dyDescent="0.2">
      <c r="A33" s="250">
        <v>18</v>
      </c>
      <c r="B33" s="247" t="s">
        <v>975</v>
      </c>
      <c r="C33" s="248"/>
      <c r="D33" s="248"/>
      <c r="E33" s="248"/>
      <c r="F33" s="248"/>
      <c r="G33" s="249">
        <f t="shared" si="0"/>
        <v>0</v>
      </c>
    </row>
    <row r="34" spans="1:7" s="217" customFormat="1" ht="24" customHeight="1" x14ac:dyDescent="0.2">
      <c r="A34" s="251">
        <v>19</v>
      </c>
      <c r="B34" s="247" t="s">
        <v>975</v>
      </c>
      <c r="C34" s="248"/>
      <c r="D34" s="248"/>
      <c r="E34" s="248"/>
      <c r="F34" s="248"/>
      <c r="G34" s="249">
        <f t="shared" si="0"/>
        <v>0</v>
      </c>
    </row>
    <row r="35" spans="1:7" s="217" customFormat="1" ht="24" customHeight="1" x14ac:dyDescent="0.2">
      <c r="A35" s="250">
        <v>20</v>
      </c>
      <c r="B35" s="247" t="s">
        <v>975</v>
      </c>
      <c r="C35" s="248"/>
      <c r="D35" s="248"/>
      <c r="E35" s="248"/>
      <c r="F35" s="248"/>
      <c r="G35" s="249">
        <f t="shared" si="0"/>
        <v>0</v>
      </c>
    </row>
    <row r="36" spans="1:7" s="217" customFormat="1" ht="24" customHeight="1" x14ac:dyDescent="0.2">
      <c r="A36" s="252">
        <v>21</v>
      </c>
      <c r="B36" s="253" t="s">
        <v>975</v>
      </c>
      <c r="C36" s="254"/>
      <c r="D36" s="254"/>
      <c r="E36" s="254"/>
      <c r="F36" s="254"/>
      <c r="G36" s="255">
        <f t="shared" si="0"/>
        <v>0</v>
      </c>
    </row>
    <row r="37" spans="1:7" s="217" customFormat="1" ht="24" customHeight="1" x14ac:dyDescent="0.25">
      <c r="A37" s="256"/>
      <c r="B37" s="257" t="s">
        <v>952</v>
      </c>
      <c r="C37" s="258"/>
      <c r="D37" s="259">
        <f>SUM(D16:D36)</f>
        <v>0</v>
      </c>
      <c r="E37" s="259">
        <f>SUM(E16:E36)</f>
        <v>0</v>
      </c>
      <c r="F37" s="259">
        <f>SUM(F16:F36)</f>
        <v>0</v>
      </c>
      <c r="G37" s="259">
        <f>SUM(G16:G36)</f>
        <v>0</v>
      </c>
    </row>
  </sheetData>
  <sheetProtection password="C47C" sheet="1" objects="1" scenarios="1"/>
  <customSheetViews>
    <customSheetView guid="{53CC1FF8-69F4-40AB-9E52-A9F35D642996}" showGridLines="0" fitToPage="1" state="hidden">
      <selection activeCell="A9" sqref="A9"/>
      <pageMargins left="0.75" right="0.75" top="1" bottom="1" header="0.5" footer="0.5"/>
      <pageSetup orientation="portrait" horizontalDpi="1200" verticalDpi="1200" r:id="rId1"/>
      <headerFooter alignWithMargins="0"/>
    </customSheetView>
  </customSheetViews>
  <phoneticPr fontId="0" type="noConversion"/>
  <pageMargins left="0.75" right="0.75" top="1" bottom="1" header="0.5" footer="0.5"/>
  <pageSetup orientation="portrait" horizontalDpi="1200" verticalDpi="1200"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tabColor theme="4" tint="0.39997558519241921"/>
  </sheetPr>
  <dimension ref="A1:G85"/>
  <sheetViews>
    <sheetView showGridLines="0" zoomScaleNormal="100" workbookViewId="0">
      <selection activeCell="B8" sqref="B8:C8"/>
    </sheetView>
  </sheetViews>
  <sheetFormatPr defaultRowHeight="8.25" x14ac:dyDescent="0.15"/>
  <cols>
    <col min="1" max="1" width="17" style="309" customWidth="1"/>
    <col min="2" max="3" width="10.140625" style="309" customWidth="1"/>
    <col min="4" max="4" width="25.28515625" style="309" customWidth="1"/>
    <col min="5" max="7" width="9.140625" style="341"/>
    <col min="8" max="16384" width="9.140625" style="309"/>
  </cols>
  <sheetData>
    <row r="1" spans="1:4" ht="11.65" customHeight="1" x14ac:dyDescent="0.15">
      <c r="A1" s="183" t="s">
        <v>881</v>
      </c>
      <c r="B1" s="307"/>
      <c r="C1" s="307"/>
      <c r="D1" s="308"/>
    </row>
    <row r="2" spans="1:4" ht="11.65" customHeight="1" x14ac:dyDescent="0.15">
      <c r="A2" s="310" t="s">
        <v>550</v>
      </c>
      <c r="B2" s="311"/>
      <c r="C2" s="311"/>
      <c r="D2" s="312"/>
    </row>
    <row r="3" spans="1:4" ht="11.65" customHeight="1" x14ac:dyDescent="0.15">
      <c r="A3" s="945" t="s">
        <v>783</v>
      </c>
      <c r="B3" s="946"/>
      <c r="C3" s="946"/>
      <c r="D3" s="947"/>
    </row>
    <row r="4" spans="1:4" ht="11.65" customHeight="1" x14ac:dyDescent="0.15">
      <c r="A4" s="915"/>
      <c r="B4" s="916"/>
      <c r="C4" s="916"/>
      <c r="D4" s="917"/>
    </row>
    <row r="5" spans="1:4" ht="11.65" customHeight="1" x14ac:dyDescent="0.15">
      <c r="A5" s="945" t="s">
        <v>976</v>
      </c>
      <c r="B5" s="946"/>
      <c r="C5" s="946"/>
      <c r="D5" s="947"/>
    </row>
    <row r="6" spans="1:4" ht="11.65" customHeight="1" x14ac:dyDescent="0.15">
      <c r="A6" s="942" t="str">
        <f>CONCATENATE("FISCAL YEAR ",DoM!$B$5-1,"/",DoM!$B$5)</f>
        <v>FISCAL YEAR 2016/2017</v>
      </c>
      <c r="B6" s="943"/>
      <c r="C6" s="943"/>
      <c r="D6" s="944"/>
    </row>
    <row r="7" spans="1:4" ht="11.65" customHeight="1" x14ac:dyDescent="0.15">
      <c r="A7" s="313"/>
      <c r="B7" s="314"/>
      <c r="C7" s="314"/>
      <c r="D7" s="315"/>
    </row>
    <row r="8" spans="1:4" ht="11.65" customHeight="1" x14ac:dyDescent="0.2">
      <c r="A8" s="310" t="s">
        <v>977</v>
      </c>
      <c r="B8" s="948"/>
      <c r="C8" s="949"/>
      <c r="D8" s="185"/>
    </row>
    <row r="9" spans="1:4" ht="11.65" customHeight="1" x14ac:dyDescent="0.2">
      <c r="A9" s="310" t="s">
        <v>978</v>
      </c>
      <c r="B9" s="950"/>
      <c r="C9" s="949"/>
      <c r="D9" s="186"/>
    </row>
    <row r="10" spans="1:4" ht="11.65" customHeight="1" x14ac:dyDescent="0.15">
      <c r="A10" s="310" t="s">
        <v>979</v>
      </c>
      <c r="B10" s="940"/>
      <c r="C10" s="940"/>
      <c r="D10" s="941"/>
    </row>
    <row r="11" spans="1:4" ht="11.65" customHeight="1" x14ac:dyDescent="0.15">
      <c r="A11" s="310" t="s">
        <v>1355</v>
      </c>
      <c r="B11" s="119"/>
      <c r="C11" s="119"/>
      <c r="D11" s="316"/>
    </row>
    <row r="12" spans="1:4" ht="11.65" customHeight="1" x14ac:dyDescent="0.15">
      <c r="A12" s="310" t="s">
        <v>1356</v>
      </c>
      <c r="B12" s="119"/>
      <c r="C12" s="119"/>
      <c r="D12" s="316"/>
    </row>
    <row r="13" spans="1:4" ht="11.65" customHeight="1" x14ac:dyDescent="0.15">
      <c r="A13" s="310" t="s">
        <v>1357</v>
      </c>
      <c r="B13" s="119"/>
      <c r="C13" s="119"/>
      <c r="D13" s="316"/>
    </row>
    <row r="14" spans="1:4" ht="11.65" customHeight="1" x14ac:dyDescent="0.15">
      <c r="A14" s="310"/>
      <c r="B14" s="311"/>
      <c r="C14" s="311"/>
      <c r="D14" s="312"/>
    </row>
    <row r="15" spans="1:4" ht="11.65" customHeight="1" x14ac:dyDescent="0.15">
      <c r="A15" s="317" t="s">
        <v>981</v>
      </c>
      <c r="B15" s="318" t="s">
        <v>982</v>
      </c>
      <c r="C15" s="317" t="s">
        <v>983</v>
      </c>
      <c r="D15" s="317" t="s">
        <v>984</v>
      </c>
    </row>
    <row r="16" spans="1:4" ht="11.65" customHeight="1" x14ac:dyDescent="0.15">
      <c r="A16" s="332" t="s">
        <v>985</v>
      </c>
      <c r="B16" s="319"/>
      <c r="C16" s="320"/>
      <c r="D16" s="321"/>
    </row>
    <row r="17" spans="1:4" ht="11.65" customHeight="1" x14ac:dyDescent="0.15">
      <c r="A17" s="332" t="s">
        <v>986</v>
      </c>
      <c r="B17" s="322"/>
      <c r="C17" s="320"/>
      <c r="D17" s="321"/>
    </row>
    <row r="18" spans="1:4" ht="11.65" customHeight="1" x14ac:dyDescent="0.15">
      <c r="A18" s="333" t="s">
        <v>987</v>
      </c>
      <c r="B18" s="323"/>
      <c r="C18" s="324"/>
      <c r="D18" s="321"/>
    </row>
    <row r="19" spans="1:4" ht="11.65" customHeight="1" x14ac:dyDescent="0.15">
      <c r="A19" s="333" t="s">
        <v>988</v>
      </c>
      <c r="B19" s="324"/>
      <c r="C19" s="324"/>
      <c r="D19" s="321"/>
    </row>
    <row r="20" spans="1:4" ht="11.65" customHeight="1" x14ac:dyDescent="0.15">
      <c r="A20" s="325"/>
      <c r="B20" s="311"/>
      <c r="C20" s="311"/>
      <c r="D20" s="312"/>
    </row>
    <row r="21" spans="1:4" ht="11.65" customHeight="1" x14ac:dyDescent="0.15">
      <c r="A21" s="310" t="s">
        <v>1358</v>
      </c>
      <c r="B21" s="119"/>
      <c r="C21" s="119"/>
      <c r="D21" s="316"/>
    </row>
    <row r="22" spans="1:4" ht="11.65" customHeight="1" x14ac:dyDescent="0.15">
      <c r="A22" s="326" t="s">
        <v>1359</v>
      </c>
      <c r="B22" s="119"/>
      <c r="C22" s="119"/>
      <c r="D22" s="316"/>
    </row>
    <row r="23" spans="1:4" ht="11.65" customHeight="1" x14ac:dyDescent="0.15">
      <c r="A23" s="128" t="str">
        <f>CONCATENATE("fiscal year ending June 30, ",DoM!$B$5,"  At the hearing, any resident or taxpayer may present objections to,")</f>
        <v>fiscal year ending June 30, 2017  At the hearing, any resident or taxpayer may present objections to,</v>
      </c>
      <c r="B23" s="327"/>
      <c r="C23" s="119"/>
      <c r="D23" s="316"/>
    </row>
    <row r="24" spans="1:4" ht="11.65" customHeight="1" x14ac:dyDescent="0.15">
      <c r="A24" s="310" t="s">
        <v>1360</v>
      </c>
      <c r="B24" s="119"/>
      <c r="C24" s="119"/>
      <c r="D24" s="316"/>
    </row>
    <row r="25" spans="1:4" ht="11.65" customHeight="1" x14ac:dyDescent="0.15">
      <c r="A25" s="310" t="s">
        <v>1392</v>
      </c>
      <c r="B25" s="119"/>
      <c r="C25" s="119"/>
      <c r="D25" s="316"/>
    </row>
    <row r="26" spans="1:4" ht="11.65" customHeight="1" x14ac:dyDescent="0.15">
      <c r="A26" s="310" t="s">
        <v>468</v>
      </c>
      <c r="B26" s="119"/>
      <c r="C26" s="119"/>
      <c r="D26" s="316"/>
    </row>
    <row r="27" spans="1:4" ht="11.65" customHeight="1" x14ac:dyDescent="0.15">
      <c r="A27" s="310"/>
      <c r="B27" s="328"/>
      <c r="C27" s="328"/>
      <c r="D27" s="316"/>
    </row>
    <row r="28" spans="1:4" ht="11.65" customHeight="1" x14ac:dyDescent="0.15">
      <c r="A28" s="310"/>
      <c r="B28" s="119"/>
      <c r="C28" s="119"/>
      <c r="D28" s="316"/>
    </row>
    <row r="29" spans="1:4" ht="11.65" customHeight="1" x14ac:dyDescent="0.15">
      <c r="A29" s="329"/>
      <c r="B29" s="330"/>
      <c r="C29" s="330"/>
      <c r="D29" s="331"/>
    </row>
    <row r="85" spans="1:1" ht="12.75" x14ac:dyDescent="0.2">
      <c r="A85" s="2" t="s">
        <v>911</v>
      </c>
    </row>
  </sheetData>
  <sheetProtection password="C47C" sheet="1" objects="1" scenarios="1"/>
  <customSheetViews>
    <customSheetView guid="{53CC1FF8-69F4-40AB-9E52-A9F35D642996}" showGridLines="0" state="hidden">
      <selection activeCell="A4" sqref="A4:D4"/>
      <pageMargins left="0.75" right="0.75" top="1" bottom="1" header="0.5" footer="0.5"/>
      <pageSetup orientation="portrait" horizontalDpi="1200" verticalDpi="1200" r:id="rId1"/>
      <headerFooter alignWithMargins="0"/>
    </customSheetView>
  </customSheetViews>
  <mergeCells count="7">
    <mergeCell ref="B10:D10"/>
    <mergeCell ref="A6:D6"/>
    <mergeCell ref="A4:D4"/>
    <mergeCell ref="A3:D3"/>
    <mergeCell ref="A5:D5"/>
    <mergeCell ref="B8:C8"/>
    <mergeCell ref="B9:C9"/>
  </mergeCells>
  <phoneticPr fontId="0" type="noConversion"/>
  <dataValidations count="1">
    <dataValidation type="whole" allowBlank="1" showInputMessage="1" showErrorMessage="1" error="Only a WHOLE number can be entered in this area.  Select cancel and reenter an appropriate number." sqref="B16:C19">
      <formula1>-999999999999</formula1>
      <formula2>999999999999</formula2>
    </dataValidation>
  </dataValidations>
  <pageMargins left="0.75" right="0.75" top="1" bottom="1" header="0.5" footer="0.5"/>
  <pageSetup orientation="portrait" horizontalDpi="1200" verticalDpi="1200" r:id="rId2"/>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0000FF"/>
  </sheetPr>
  <dimension ref="A1:O428"/>
  <sheetViews>
    <sheetView showGridLines="0" zoomScaleNormal="100" workbookViewId="0">
      <selection activeCell="D93" sqref="D93"/>
    </sheetView>
  </sheetViews>
  <sheetFormatPr defaultColWidth="9" defaultRowHeight="12.75" x14ac:dyDescent="0.2"/>
  <cols>
    <col min="1" max="1" width="2.42578125" style="2" customWidth="1"/>
    <col min="2" max="2" width="14.85546875" style="64" customWidth="1"/>
    <col min="3" max="3" width="4.85546875" style="2" customWidth="1"/>
    <col min="4" max="4" width="7.42578125" style="2" customWidth="1"/>
    <col min="5" max="5" width="73.7109375" style="2" customWidth="1"/>
    <col min="6" max="6" width="6.7109375" style="2" customWidth="1"/>
    <col min="7" max="7" width="15.28515625" style="767" hidden="1" customWidth="1"/>
    <col min="8" max="15" width="9" style="445"/>
    <col min="16" max="16384" width="9" style="28"/>
  </cols>
  <sheetData>
    <row r="1" spans="1:14" ht="15.75" x14ac:dyDescent="0.25">
      <c r="A1" s="31"/>
      <c r="B1" s="31"/>
      <c r="C1" s="176"/>
      <c r="D1" s="33"/>
      <c r="E1" s="78" t="str">
        <f>CONCATENATE("FY ",DoM!B6," Aid and Levy Worksheet")</f>
        <v>FY 2018 Aid and Levy Worksheet</v>
      </c>
      <c r="F1" s="78"/>
      <c r="G1" s="775" t="s">
        <v>1796</v>
      </c>
    </row>
    <row r="2" spans="1:14" ht="15.75" x14ac:dyDescent="0.25">
      <c r="A2" s="31"/>
      <c r="B2" s="31" t="s">
        <v>1409</v>
      </c>
      <c r="C2" s="510" t="e">
        <f>INDEX(SNAME!$A$3:$AS$335,MATCH($D$2,SNAME!$B$3:$B$335,0),MATCH($G$2,SNAME!$A$2:$AS$2,0))</f>
        <v>#N/A</v>
      </c>
      <c r="D2" s="510" t="e">
        <f>InputsResults!$J$3</f>
        <v>#N/A</v>
      </c>
      <c r="E2" s="511">
        <f>InputsResults!$K$3</f>
        <v>0</v>
      </c>
      <c r="F2" s="78"/>
      <c r="G2" s="764" t="str">
        <f>SNAME!$A$2</f>
        <v>AEA</v>
      </c>
    </row>
    <row r="4" spans="1:14" x14ac:dyDescent="0.2">
      <c r="A4" s="27"/>
      <c r="B4" s="27"/>
      <c r="E4" s="82" t="s">
        <v>1410</v>
      </c>
      <c r="F4" s="82"/>
      <c r="I4" s="478"/>
      <c r="J4" s="501"/>
      <c r="K4" s="501"/>
      <c r="L4" s="501"/>
      <c r="M4" s="501"/>
    </row>
    <row r="5" spans="1:14" x14ac:dyDescent="0.2">
      <c r="A5" s="6"/>
      <c r="B5" s="812" t="e">
        <f>INDEX(SNAME[],MATCH($D$2,SNAME[DIST],0),MATCH($G5,SNAME[#Headers],0))</f>
        <v>#N/A</v>
      </c>
      <c r="C5" s="47" t="s">
        <v>1411</v>
      </c>
      <c r="D5" s="47" t="s">
        <v>1412</v>
      </c>
      <c r="E5" s="509" t="str">
        <f>CONCATENATE("Budget Enrollment (Oct ",DoM!B6-2," Budget Enrollment)")</f>
        <v>Budget Enrollment (Oct 2016 Budget Enrollment)</v>
      </c>
      <c r="F5" s="115"/>
      <c r="G5" s="764" t="str">
        <f>SNAME[[#Headers],[line 1.1 x249]]</f>
        <v>line 1.1 x249</v>
      </c>
      <c r="H5" s="502"/>
      <c r="I5" s="478"/>
      <c r="J5" s="478"/>
      <c r="K5" s="478"/>
      <c r="L5" s="478"/>
      <c r="M5" s="478"/>
      <c r="N5" s="478"/>
    </row>
    <row r="6" spans="1:14" x14ac:dyDescent="0.2">
      <c r="A6" s="6"/>
      <c r="B6" s="813" t="e">
        <f>SUM(InputsResults!$H$22:$H$25)</f>
        <v>#N/A</v>
      </c>
      <c r="C6" s="47" t="s">
        <v>1439</v>
      </c>
      <c r="D6" s="47" t="s">
        <v>1413</v>
      </c>
      <c r="E6" s="509" t="str">
        <f>CONCATENATE("Audited Change in Oct ",DoM!B5-2," Certified Enrollment")</f>
        <v>Audited Change in Oct 2015 Certified Enrollment</v>
      </c>
      <c r="F6" s="115"/>
      <c r="G6" s="776" t="s">
        <v>1797</v>
      </c>
      <c r="H6" s="502"/>
      <c r="I6" s="478"/>
      <c r="J6" s="478"/>
      <c r="K6" s="478"/>
      <c r="L6" s="478"/>
      <c r="M6" s="478"/>
      <c r="N6" s="478"/>
    </row>
    <row r="7" spans="1:14" x14ac:dyDescent="0.2">
      <c r="A7" s="47" t="s">
        <v>1414</v>
      </c>
      <c r="B7" s="563" t="e">
        <f>INDEX(SNAME!$A$3:$AS$335,MATCH($D$2,SNAME!$B$3:$B$335,0),MATCH($G7,SNAME!$A$2:$AS$2,0))</f>
        <v>#N/A</v>
      </c>
      <c r="C7" s="6"/>
      <c r="D7" s="47" t="s">
        <v>1415</v>
      </c>
      <c r="E7" s="509" t="str">
        <f>CONCATENATE(DoM!C5," Regular Program District Cost Per Pupil (Line 2.3 - ",DoM!C5," Aid &amp; Levy)")</f>
        <v>FY17 Regular Program District Cost Per Pupil (Line 2.3 - FY17 Aid &amp; Levy)</v>
      </c>
      <c r="F7" s="115"/>
      <c r="G7" s="777" t="str">
        <f>SNAME!E2</f>
        <v>line 1.3 x272</v>
      </c>
      <c r="H7" s="502"/>
      <c r="I7" s="478"/>
      <c r="J7" s="478"/>
      <c r="K7" s="478"/>
      <c r="L7" s="478"/>
      <c r="M7" s="478"/>
      <c r="N7" s="478"/>
    </row>
    <row r="8" spans="1:14" x14ac:dyDescent="0.2">
      <c r="A8" s="47" t="s">
        <v>1416</v>
      </c>
      <c r="B8" s="563" t="e">
        <f>InputsResults!L26</f>
        <v>#N/A</v>
      </c>
      <c r="C8" s="6"/>
      <c r="D8" s="47" t="s">
        <v>1417</v>
      </c>
      <c r="E8" s="509" t="s">
        <v>1418</v>
      </c>
      <c r="F8" s="115"/>
      <c r="H8" s="502"/>
      <c r="I8" s="478"/>
      <c r="J8" s="478"/>
      <c r="K8" s="478"/>
      <c r="L8" s="478"/>
      <c r="M8" s="478"/>
      <c r="N8" s="478"/>
    </row>
    <row r="9" spans="1:14" x14ac:dyDescent="0.2">
      <c r="A9" s="6"/>
      <c r="B9" s="563">
        <f>INDEX(Constants!$A$2:$AR$60,MATCH(DoM!$B$5,Constants!$A$2:$A$60,0),MATCH($G9,Constants!$A$1:$AR$1,0))</f>
        <v>5767</v>
      </c>
      <c r="C9" s="6"/>
      <c r="D9" s="47" t="s">
        <v>1419</v>
      </c>
      <c r="E9" s="509" t="str">
        <f>CONCATENATE(DoM!C5," Regular Program Foundation Cost Per Pupil")</f>
        <v>FY17 Regular Program Foundation Cost Per Pupil</v>
      </c>
      <c r="F9" s="115"/>
      <c r="G9" s="764" t="str">
        <f>Constants!AD1</f>
        <v>RPFL_CPP</v>
      </c>
      <c r="H9" s="502"/>
      <c r="I9" s="478"/>
      <c r="J9" s="478"/>
      <c r="K9" s="478"/>
      <c r="L9" s="478"/>
      <c r="M9" s="478"/>
      <c r="N9" s="478"/>
    </row>
    <row r="10" spans="1:14" x14ac:dyDescent="0.2">
      <c r="A10" s="47" t="s">
        <v>1414</v>
      </c>
      <c r="B10" s="813" t="e">
        <f>B6</f>
        <v>#N/A</v>
      </c>
      <c r="C10" s="47" t="s">
        <v>1439</v>
      </c>
      <c r="D10" s="47" t="s">
        <v>1420</v>
      </c>
      <c r="E10" s="509" t="str">
        <f>CONCATENATE(E6," (Line 1.2)")</f>
        <v>Audited Change in Oct 2015 Certified Enrollment (Line 1.2)</v>
      </c>
      <c r="F10" s="115"/>
      <c r="G10" s="764"/>
      <c r="H10" s="502"/>
      <c r="I10" s="478"/>
      <c r="J10" s="478"/>
      <c r="K10" s="478"/>
      <c r="L10" s="478"/>
      <c r="M10" s="478"/>
      <c r="N10" s="478"/>
    </row>
    <row r="11" spans="1:14" x14ac:dyDescent="0.2">
      <c r="A11" s="47" t="s">
        <v>1416</v>
      </c>
      <c r="B11" s="563" t="e">
        <f>InputsResults!M26</f>
        <v>#N/A</v>
      </c>
      <c r="C11" s="6"/>
      <c r="D11" s="47" t="s">
        <v>1421</v>
      </c>
      <c r="E11" s="509" t="s">
        <v>1422</v>
      </c>
      <c r="F11" s="115"/>
      <c r="G11" s="764"/>
      <c r="H11" s="502"/>
      <c r="I11" s="478"/>
      <c r="J11" s="478"/>
      <c r="K11" s="478"/>
      <c r="L11" s="478"/>
      <c r="M11" s="478"/>
      <c r="N11" s="478"/>
    </row>
    <row r="12" spans="1:14" x14ac:dyDescent="0.2">
      <c r="A12" s="27"/>
      <c r="B12" s="814"/>
      <c r="E12" s="82" t="s">
        <v>1329</v>
      </c>
      <c r="F12" s="82"/>
      <c r="G12" s="775"/>
      <c r="H12" s="502"/>
      <c r="I12" s="478"/>
      <c r="J12" s="478"/>
      <c r="K12" s="478"/>
      <c r="L12" s="478"/>
      <c r="M12" s="478"/>
      <c r="N12" s="478"/>
    </row>
    <row r="13" spans="1:14" x14ac:dyDescent="0.2">
      <c r="A13" s="6"/>
      <c r="B13" s="563" t="e">
        <f>B7</f>
        <v>#N/A</v>
      </c>
      <c r="C13" s="6"/>
      <c r="D13" s="47" t="s">
        <v>1423</v>
      </c>
      <c r="E13" s="509" t="str">
        <f>CONCATENATE(DoM!C5," Regular Program District Cost Per Pupil (Line 1.3)")</f>
        <v>FY17 Regular Program District Cost Per Pupil (Line 1.3)</v>
      </c>
      <c r="F13" s="115"/>
      <c r="H13" s="502"/>
      <c r="I13" s="478"/>
      <c r="J13" s="478"/>
      <c r="K13" s="478"/>
      <c r="L13" s="478"/>
      <c r="M13" s="478"/>
      <c r="N13" s="478"/>
    </row>
    <row r="14" spans="1:14" x14ac:dyDescent="0.2">
      <c r="A14" s="47" t="s">
        <v>1424</v>
      </c>
      <c r="B14" s="563">
        <f>INDEX(Constants!$A$2:$AR$60,MATCH(DoM!$B$6,Constants!$A$2:$A$60,0),MATCH($G14,Constants!$A$1:$AR$1,0))</f>
        <v>0</v>
      </c>
      <c r="C14" s="6"/>
      <c r="D14" s="47" t="s">
        <v>1425</v>
      </c>
      <c r="E14" s="509" t="str">
        <f>CONCATENATE(DoM!$C$6," Regular Program Supplemental State Aid Amount Per Pupil")</f>
        <v>FY18 Regular Program Supplemental State Aid Amount Per Pupil</v>
      </c>
      <c r="F14" s="115"/>
      <c r="G14" s="764" t="str">
        <f>Constants!C1</f>
        <v>CPP</v>
      </c>
      <c r="H14" s="502"/>
      <c r="I14" s="478"/>
      <c r="J14" s="478"/>
      <c r="K14" s="478"/>
      <c r="L14" s="478"/>
      <c r="M14" s="478"/>
      <c r="N14" s="478"/>
    </row>
    <row r="15" spans="1:14" x14ac:dyDescent="0.2">
      <c r="A15" s="47" t="s">
        <v>1416</v>
      </c>
      <c r="B15" s="563" t="e">
        <f>SUM(B13:B14)</f>
        <v>#N/A</v>
      </c>
      <c r="C15" s="6"/>
      <c r="D15" s="47" t="s">
        <v>1426</v>
      </c>
      <c r="E15" s="509" t="str">
        <f>CONCATENATE(DoM!$C$6," Regular Program District Cost Per Pupil")</f>
        <v>FY18 Regular Program District Cost Per Pupil</v>
      </c>
      <c r="F15" s="115"/>
      <c r="G15" s="764"/>
      <c r="H15" s="502"/>
      <c r="I15" s="478"/>
      <c r="J15" s="478"/>
      <c r="K15" s="478"/>
      <c r="L15" s="478"/>
      <c r="M15" s="478"/>
      <c r="N15" s="478"/>
    </row>
    <row r="16" spans="1:14" x14ac:dyDescent="0.2">
      <c r="A16" s="6"/>
      <c r="B16" s="564" t="e">
        <f>INDEX(SNAME[],MATCH($D$2,SNAME[DIST],0),MATCH($G16,SNAME[#Headers],0))</f>
        <v>#N/A</v>
      </c>
      <c r="C16" s="6" t="s">
        <v>1428</v>
      </c>
      <c r="D16" s="47" t="s">
        <v>964</v>
      </c>
      <c r="E16" s="509" t="str">
        <f>CONCATENATE(DoM!$C$5," Teacher Salary Supplement Cost Per Pupil (Line 2.6 - ",DoM!$C$5," Aid &amp; Levy)")</f>
        <v>FY17 Teacher Salary Supplement Cost Per Pupil (Line 2.6 - FY17 Aid &amp; Levy)</v>
      </c>
      <c r="F16" s="115"/>
      <c r="G16" s="764" t="str">
        <f>SNAME[[#Headers],[line 2.4 x531]]</f>
        <v>line 2.4 x531</v>
      </c>
      <c r="H16" s="502"/>
      <c r="I16" s="478"/>
      <c r="J16" s="478"/>
      <c r="K16" s="478"/>
      <c r="L16" s="478"/>
      <c r="M16" s="478"/>
      <c r="N16" s="478"/>
    </row>
    <row r="17" spans="1:14" x14ac:dyDescent="0.2">
      <c r="A17" s="47" t="s">
        <v>1424</v>
      </c>
      <c r="B17" s="564">
        <f>INDEX(Constants!$A$2:$AR$60,MATCH(DoM!$B$6,Constants!$A$2:$A$60,0),MATCH($G17,Constants!$A$1:$AR$1,0))</f>
        <v>0</v>
      </c>
      <c r="C17" s="6" t="s">
        <v>1428</v>
      </c>
      <c r="D17" s="47" t="s">
        <v>965</v>
      </c>
      <c r="E17" s="509" t="str">
        <f>CONCATENATE(DoM!$C$6," Teacher Salary Supplement Supplemental State Aid Amount Per Pupil")</f>
        <v>FY18 Teacher Salary Supplement Supplemental State Aid Amount Per Pupil</v>
      </c>
      <c r="F17" s="115"/>
      <c r="G17" s="764" t="str">
        <f>Constants!H1</f>
        <v>TS_CPP</v>
      </c>
      <c r="H17" s="502"/>
      <c r="I17" s="478"/>
      <c r="J17" s="478"/>
      <c r="K17" s="478"/>
      <c r="L17" s="478"/>
      <c r="M17" s="478"/>
      <c r="N17" s="478"/>
    </row>
    <row r="18" spans="1:14" x14ac:dyDescent="0.2">
      <c r="A18" s="47" t="s">
        <v>1416</v>
      </c>
      <c r="B18" s="565" t="e">
        <f>SUM(B16:B17)</f>
        <v>#N/A</v>
      </c>
      <c r="C18" s="6" t="s">
        <v>1428</v>
      </c>
      <c r="D18" s="47" t="s">
        <v>966</v>
      </c>
      <c r="E18" s="509" t="str">
        <f>CONCATENATE(DoM!$C$6," Teacher Salary Supplement Cost Per Pupil")</f>
        <v>FY18 Teacher Salary Supplement Cost Per Pupil</v>
      </c>
      <c r="F18" s="115"/>
      <c r="G18" s="764"/>
      <c r="H18" s="502"/>
      <c r="I18" s="478"/>
      <c r="J18" s="478"/>
      <c r="K18" s="478"/>
      <c r="L18" s="478"/>
      <c r="M18" s="478"/>
      <c r="N18" s="478"/>
    </row>
    <row r="19" spans="1:14" x14ac:dyDescent="0.2">
      <c r="A19" s="6"/>
      <c r="B19" s="564" t="e">
        <f>INDEX(SNAME[],MATCH($D$2,SNAME[DIST],0),MATCH($G19,SNAME[#Headers],0))</f>
        <v>#N/A</v>
      </c>
      <c r="C19" s="6" t="s">
        <v>1428</v>
      </c>
      <c r="D19" s="47" t="s">
        <v>967</v>
      </c>
      <c r="E19" s="509" t="str">
        <f>CONCATENATE(DoM!$C$5," Professional Dev Suppl Cost Per Pupil (Line 2.9 - ",DoM!$C$5," Aid &amp; Levy)")</f>
        <v>FY17 Professional Dev Suppl Cost Per Pupil (Line 2.9 - FY17 Aid &amp; Levy)</v>
      </c>
      <c r="F19" s="115"/>
      <c r="G19" s="764" t="str">
        <f>SNAME[[#Headers],[line 2.7 x535]]</f>
        <v>line 2.7 x535</v>
      </c>
      <c r="H19" s="502"/>
      <c r="I19" s="478"/>
      <c r="J19" s="478"/>
      <c r="K19" s="478"/>
      <c r="L19" s="478"/>
      <c r="M19" s="478"/>
      <c r="N19" s="478"/>
    </row>
    <row r="20" spans="1:14" x14ac:dyDescent="0.2">
      <c r="A20" s="47" t="s">
        <v>1424</v>
      </c>
      <c r="B20" s="564">
        <f>INDEX(Constants!$A$2:$AR$60,MATCH(DoM!$B$6,Constants!$A$2:$A$60,0),MATCH($G20,Constants!$A$1:$AR$1,0))</f>
        <v>0</v>
      </c>
      <c r="C20" s="6" t="s">
        <v>1428</v>
      </c>
      <c r="D20" s="47" t="s">
        <v>968</v>
      </c>
      <c r="E20" s="509" t="str">
        <f>CONCATENATE(DoM!$C$6," Professional Development Supplement Supplemental State Aid Amt Per Pupil")</f>
        <v>FY18 Professional Development Supplement Supplemental State Aid Amt Per Pupil</v>
      </c>
      <c r="F20" s="115"/>
      <c r="G20" s="764" t="str">
        <f>Constants!K1</f>
        <v>PD_CPP</v>
      </c>
      <c r="H20" s="502"/>
    </row>
    <row r="21" spans="1:14" x14ac:dyDescent="0.2">
      <c r="A21" s="47" t="s">
        <v>1416</v>
      </c>
      <c r="B21" s="565" t="e">
        <f>SUM(B19:B20)</f>
        <v>#N/A</v>
      </c>
      <c r="C21" s="6" t="s">
        <v>1428</v>
      </c>
      <c r="D21" s="47" t="s">
        <v>969</v>
      </c>
      <c r="E21" s="509" t="str">
        <f>CONCATENATE(DoM!$C$6," Professional Development Supplement Cost Per Pupil")</f>
        <v>FY18 Professional Development Supplement Cost Per Pupil</v>
      </c>
      <c r="F21" s="115"/>
      <c r="G21" s="764"/>
      <c r="H21" s="502"/>
    </row>
    <row r="22" spans="1:14" x14ac:dyDescent="0.2">
      <c r="A22" s="6"/>
      <c r="B22" s="564" t="e">
        <f>INDEX(SNAME[],MATCH($D$2,SNAME[DIST],0),MATCH($G22,SNAME[#Headers],0))</f>
        <v>#N/A</v>
      </c>
      <c r="C22" s="6" t="s">
        <v>1428</v>
      </c>
      <c r="D22" s="47" t="s">
        <v>970</v>
      </c>
      <c r="E22" s="509" t="str">
        <f>CONCATENATE(DoM!$C$5," Early Intervention Suppl Cost Per Pupil (Line 2.12 - ",DoM!$C$5," Aid &amp; Levy)")</f>
        <v>FY17 Early Intervention Suppl Cost Per Pupil (Line 2.12 - FY17 Aid &amp; Levy)</v>
      </c>
      <c r="F22" s="115"/>
      <c r="G22" s="764" t="str">
        <f>SNAME[[#Headers],[line 2.10 x539]]</f>
        <v>line 2.10 x539</v>
      </c>
      <c r="H22" s="502"/>
    </row>
    <row r="23" spans="1:14" x14ac:dyDescent="0.2">
      <c r="A23" s="47" t="s">
        <v>1424</v>
      </c>
      <c r="B23" s="564">
        <f>INDEX(Constants!$A$2:$AR$60,MATCH(DoM!$B$6,Constants!$A$2:$A$60,0),MATCH($G23,Constants!$A$1:$AR$1,0))</f>
        <v>0</v>
      </c>
      <c r="C23" s="6" t="s">
        <v>1428</v>
      </c>
      <c r="D23" s="47" t="s">
        <v>971</v>
      </c>
      <c r="E23" s="509" t="str">
        <f>CONCATENATE(DoM!$C$6," Early Intervention Supplement Supplemental State Aid Amount Per Pupil")</f>
        <v>FY18 Early Intervention Supplement Supplemental State Aid Amount Per Pupil</v>
      </c>
      <c r="F23" s="115"/>
      <c r="G23" s="764" t="str">
        <f>Constants!N1</f>
        <v>EI_CPP</v>
      </c>
      <c r="H23" s="502"/>
    </row>
    <row r="24" spans="1:14" x14ac:dyDescent="0.2">
      <c r="A24" s="47" t="s">
        <v>1416</v>
      </c>
      <c r="B24" s="565" t="e">
        <f>SUM(B22:B23)</f>
        <v>#N/A</v>
      </c>
      <c r="C24" s="6" t="s">
        <v>1428</v>
      </c>
      <c r="D24" s="47" t="s">
        <v>972</v>
      </c>
      <c r="E24" s="509" t="str">
        <f>CONCATENATE(DoM!$C$6," Early Intervention Supplement Cost Per Pupil")</f>
        <v>FY18 Early Intervention Supplement Cost Per Pupil</v>
      </c>
      <c r="F24" s="115"/>
      <c r="G24" s="764"/>
      <c r="H24" s="502"/>
    </row>
    <row r="25" spans="1:14" x14ac:dyDescent="0.2">
      <c r="A25" s="6"/>
      <c r="B25" s="564" t="e">
        <f>INDEX(SNAME[],MATCH($D$2,SNAME[DIST],0),MATCH($G25,SNAME[#Headers],0))</f>
        <v>#N/A</v>
      </c>
      <c r="C25" s="6" t="s">
        <v>1428</v>
      </c>
      <c r="D25" s="47" t="s">
        <v>1658</v>
      </c>
      <c r="E25" s="509" t="str">
        <f>CONCATENATE(DoM!$C$5," Teacher Leadership Suppl Cost Per Pupil (Line 2.15 - ",DoM!$C$5," Aid &amp; Levy)")</f>
        <v>FY17 Teacher Leadership Suppl Cost Per Pupil (Line 2.15 - FY17 Aid &amp; Levy)</v>
      </c>
      <c r="F25" s="115"/>
      <c r="G25" s="764" t="str">
        <f>SNAME[[#Headers],[line 2.13 x552]]</f>
        <v>line 2.13 x552</v>
      </c>
      <c r="H25" s="502"/>
    </row>
    <row r="26" spans="1:14" x14ac:dyDescent="0.2">
      <c r="A26" s="47" t="s">
        <v>1424</v>
      </c>
      <c r="B26" s="564">
        <f>INDEX(Constants!$A$2:$AR$60,MATCH(DoM!$B$6,Constants!$A$2:$A$60,0),MATCH($G26,Constants!$A$1:$AR$1,0))</f>
        <v>0</v>
      </c>
      <c r="C26" s="6" t="s">
        <v>1428</v>
      </c>
      <c r="D26" s="47" t="s">
        <v>1659</v>
      </c>
      <c r="E26" s="509" t="str">
        <f>CONCATENATE(DoM!$C$6," Teacher Leadership Supplement Supplemental State Aid Amount Per Pupil")</f>
        <v>FY18 Teacher Leadership Supplement Supplemental State Aid Amount Per Pupil</v>
      </c>
      <c r="F26" s="115"/>
      <c r="G26" s="764" t="str">
        <f>Constants!Q1</f>
        <v>TL_CPP</v>
      </c>
      <c r="H26" s="502"/>
    </row>
    <row r="27" spans="1:14" x14ac:dyDescent="0.2">
      <c r="A27" s="47" t="s">
        <v>1416</v>
      </c>
      <c r="B27" s="565" t="e">
        <f>SUM(B25:B26)</f>
        <v>#N/A</v>
      </c>
      <c r="C27" s="6" t="s">
        <v>1428</v>
      </c>
      <c r="D27" s="47" t="s">
        <v>1660</v>
      </c>
      <c r="E27" s="509" t="str">
        <f>CONCATENATE(DoM!$C$6," Teacher Leadership Supplement Cost Per Pupil")</f>
        <v>FY18 Teacher Leadership Supplement Cost Per Pupil</v>
      </c>
      <c r="F27" s="115"/>
      <c r="G27" s="764"/>
      <c r="H27" s="502"/>
    </row>
    <row r="28" spans="1:14" x14ac:dyDescent="0.2">
      <c r="A28" s="27"/>
      <c r="B28" s="814"/>
      <c r="E28" s="82" t="s">
        <v>1427</v>
      </c>
      <c r="F28" s="82"/>
      <c r="G28" s="775"/>
      <c r="H28" s="502"/>
    </row>
    <row r="29" spans="1:14" x14ac:dyDescent="0.2">
      <c r="A29" s="6"/>
      <c r="B29" s="815" t="e">
        <f>INDEX(SNAME[],MATCH($D$2,SNAME[DIST],0),MATCH($G29,SNAME[#Headers],0))</f>
        <v>#N/A</v>
      </c>
      <c r="C29" s="47" t="s">
        <v>1428</v>
      </c>
      <c r="D29" s="47" t="s">
        <v>1429</v>
      </c>
      <c r="E29" s="47" t="s">
        <v>850</v>
      </c>
      <c r="F29" s="115"/>
      <c r="G29" s="764" t="str">
        <f>SNAME[[#Headers],[line 3.1 x266]]</f>
        <v>line 3.1 x266</v>
      </c>
      <c r="H29" s="502"/>
    </row>
    <row r="30" spans="1:14" x14ac:dyDescent="0.2">
      <c r="A30" s="47" t="s">
        <v>1424</v>
      </c>
      <c r="B30" s="815" t="e">
        <f>INDEX(SNAME[],MATCH($D$2,SNAME[DIST],0),MATCH($G30,SNAME[#Headers],0))</f>
        <v>#N/A</v>
      </c>
      <c r="C30" s="47" t="s">
        <v>1428</v>
      </c>
      <c r="D30" s="47" t="s">
        <v>1430</v>
      </c>
      <c r="E30" s="47" t="s">
        <v>851</v>
      </c>
      <c r="F30" s="115"/>
      <c r="G30" s="764" t="str">
        <f>SNAME[[#Headers],[line 3.2 x265]]</f>
        <v>line 3.2 x265</v>
      </c>
      <c r="H30" s="502"/>
    </row>
    <row r="31" spans="1:14" x14ac:dyDescent="0.2">
      <c r="A31" s="47" t="s">
        <v>1424</v>
      </c>
      <c r="B31" s="815" t="e">
        <f>INDEX(SNAME[],MATCH($D$2,SNAME[DIST],0),MATCH($G31,SNAME[#Headers],0))</f>
        <v>#N/A</v>
      </c>
      <c r="C31" s="47" t="s">
        <v>1428</v>
      </c>
      <c r="D31" s="47" t="s">
        <v>1431</v>
      </c>
      <c r="E31" s="47" t="s">
        <v>1433</v>
      </c>
      <c r="F31" s="115"/>
      <c r="G31" s="764" t="str">
        <f>SNAME[[#Headers],[line 3.3 x264]]</f>
        <v>line 3.3 x264</v>
      </c>
      <c r="H31" s="502"/>
    </row>
    <row r="32" spans="1:14" x14ac:dyDescent="0.2">
      <c r="A32" s="47" t="s">
        <v>1416</v>
      </c>
      <c r="B32" s="565" t="e">
        <f>SUM(B29:B31)</f>
        <v>#N/A</v>
      </c>
      <c r="C32" s="47" t="s">
        <v>1428</v>
      </c>
      <c r="D32" s="47" t="s">
        <v>1434</v>
      </c>
      <c r="E32" s="47" t="s">
        <v>1435</v>
      </c>
      <c r="F32" s="115"/>
      <c r="G32" s="764"/>
    </row>
    <row r="33" spans="1:7" x14ac:dyDescent="0.2">
      <c r="A33" s="47" t="s">
        <v>1424</v>
      </c>
      <c r="B33" s="816" t="e">
        <f>B5</f>
        <v>#N/A</v>
      </c>
      <c r="C33" s="47" t="s">
        <v>1411</v>
      </c>
      <c r="D33" s="47" t="s">
        <v>1436</v>
      </c>
      <c r="E33" s="47" t="s">
        <v>1437</v>
      </c>
      <c r="F33" s="115"/>
      <c r="G33" s="764"/>
    </row>
    <row r="34" spans="1:7" x14ac:dyDescent="0.2">
      <c r="A34" s="47" t="s">
        <v>1416</v>
      </c>
      <c r="B34" s="565" t="e">
        <f>SUM(B32:B33)</f>
        <v>#N/A</v>
      </c>
      <c r="C34" s="47" t="s">
        <v>1428</v>
      </c>
      <c r="D34" s="47" t="s">
        <v>1438</v>
      </c>
      <c r="E34" s="47" t="s">
        <v>962</v>
      </c>
      <c r="F34" s="115"/>
      <c r="G34" s="764"/>
    </row>
    <row r="35" spans="1:7" x14ac:dyDescent="0.2">
      <c r="A35" s="47" t="s">
        <v>1424</v>
      </c>
      <c r="B35" s="568" t="e">
        <f>INDEX(SNAME[],MATCH($D$2,SNAME[DIST],0),MATCH($G35,SNAME[#Headers],0))</f>
        <v>#N/A</v>
      </c>
      <c r="C35" s="47" t="s">
        <v>1428</v>
      </c>
      <c r="D35" s="47" t="s">
        <v>1440</v>
      </c>
      <c r="E35" s="47" t="s">
        <v>1363</v>
      </c>
      <c r="F35" s="115"/>
      <c r="G35" s="764" t="str">
        <f>SNAME[[#Headers],[line 3.7 x259]]</f>
        <v>line 3.7 x259</v>
      </c>
    </row>
    <row r="36" spans="1:7" ht="12.75" customHeight="1" x14ac:dyDescent="0.2">
      <c r="A36" s="47" t="s">
        <v>1416</v>
      </c>
      <c r="B36" s="565" t="e">
        <f>SUM(B34:B35)</f>
        <v>#N/A</v>
      </c>
      <c r="C36" s="47" t="s">
        <v>1428</v>
      </c>
      <c r="D36" s="47" t="s">
        <v>1441</v>
      </c>
      <c r="E36" s="47" t="s">
        <v>760</v>
      </c>
      <c r="F36" s="115"/>
      <c r="G36" s="764"/>
    </row>
    <row r="37" spans="1:7" x14ac:dyDescent="0.2">
      <c r="A37" s="47" t="s">
        <v>1424</v>
      </c>
      <c r="B37" s="817" t="e">
        <f>INDEX(SNAME[],MATCH($D$2,SNAME[DIST],0),MATCH($G37,SNAME[#Headers],0))</f>
        <v>#N/A</v>
      </c>
      <c r="C37" s="47" t="s">
        <v>1439</v>
      </c>
      <c r="D37" s="47" t="s">
        <v>1443</v>
      </c>
      <c r="E37" s="47" t="s">
        <v>621</v>
      </c>
      <c r="F37" s="115"/>
      <c r="G37" s="764" t="str">
        <f>SNAME[[#Headers],[line 3.9 x268]]</f>
        <v>line 3.9 x268</v>
      </c>
    </row>
    <row r="38" spans="1:7" x14ac:dyDescent="0.2">
      <c r="A38" s="47" t="s">
        <v>1424</v>
      </c>
      <c r="B38" s="817" t="e">
        <f>INDEX(SNAME[],MATCH($D$2,SNAME[DIST],0),MATCH($G38,SNAME[#Headers],0))</f>
        <v>#N/A</v>
      </c>
      <c r="C38" s="47" t="s">
        <v>1439</v>
      </c>
      <c r="D38" s="47" t="s">
        <v>1444</v>
      </c>
      <c r="E38" s="47" t="s">
        <v>1442</v>
      </c>
      <c r="F38" s="115"/>
      <c r="G38" s="764" t="str">
        <f>SNAME[[#Headers],[line 3.10 x273]]</f>
        <v>line 3.10 x273</v>
      </c>
    </row>
    <row r="39" spans="1:7" x14ac:dyDescent="0.2">
      <c r="A39" s="47" t="s">
        <v>1424</v>
      </c>
      <c r="B39" s="815" t="e">
        <f>INDEX(SNAME[],MATCH($D$2,SNAME[DIST],0),MATCH($G39,SNAME[#Headers],0))</f>
        <v>#N/A</v>
      </c>
      <c r="C39" s="47" t="s">
        <v>1428</v>
      </c>
      <c r="D39" s="47" t="s">
        <v>1446</v>
      </c>
      <c r="E39" s="47" t="s">
        <v>1740</v>
      </c>
      <c r="F39" s="115"/>
      <c r="G39" s="764" t="str">
        <f>SNAME[[#Headers],[line 3.11 x269]]</f>
        <v>line 3.11 x269</v>
      </c>
    </row>
    <row r="40" spans="1:7" x14ac:dyDescent="0.2">
      <c r="A40" s="47" t="s">
        <v>1424</v>
      </c>
      <c r="B40" s="818" t="e">
        <f>INDEX(SNAME[],MATCH($D$2,SNAME[DIST],0),MATCH($G40,SNAME[#Headers],0))</f>
        <v>#N/A</v>
      </c>
      <c r="C40" s="47" t="s">
        <v>1439</v>
      </c>
      <c r="D40" s="47" t="s">
        <v>1448</v>
      </c>
      <c r="E40" s="47" t="s">
        <v>1445</v>
      </c>
      <c r="F40" s="115"/>
      <c r="G40" s="764" t="str">
        <f>SNAME[[#Headers],[line 3.12 x446]]</f>
        <v>line 3.12 x446</v>
      </c>
    </row>
    <row r="41" spans="1:7" x14ac:dyDescent="0.2">
      <c r="A41" s="47" t="s">
        <v>1416</v>
      </c>
      <c r="B41" s="819" t="e">
        <f>SUM(B37:B40)</f>
        <v>#N/A</v>
      </c>
      <c r="C41" s="47" t="s">
        <v>1439</v>
      </c>
      <c r="D41" s="47" t="s">
        <v>1449</v>
      </c>
      <c r="E41" s="47" t="s">
        <v>1447</v>
      </c>
      <c r="F41" s="115"/>
      <c r="G41" s="764"/>
    </row>
    <row r="42" spans="1:7" x14ac:dyDescent="0.2">
      <c r="A42" s="47" t="s">
        <v>1424</v>
      </c>
      <c r="B42" s="565" t="e">
        <f>B34</f>
        <v>#N/A</v>
      </c>
      <c r="C42" s="47" t="s">
        <v>1428</v>
      </c>
      <c r="D42" s="47" t="s">
        <v>1452</v>
      </c>
      <c r="E42" s="47" t="s">
        <v>963</v>
      </c>
      <c r="F42" s="115"/>
      <c r="G42" s="764"/>
    </row>
    <row r="43" spans="1:7" x14ac:dyDescent="0.2">
      <c r="A43" s="47" t="s">
        <v>1416</v>
      </c>
      <c r="B43" s="819" t="e">
        <f>SUM(B41:B42)</f>
        <v>#N/A</v>
      </c>
      <c r="C43" s="47" t="s">
        <v>1439</v>
      </c>
      <c r="D43" s="47" t="s">
        <v>1454</v>
      </c>
      <c r="E43" s="47" t="s">
        <v>1450</v>
      </c>
      <c r="F43" s="115"/>
      <c r="G43" s="764"/>
    </row>
    <row r="44" spans="1:7" x14ac:dyDescent="0.2">
      <c r="A44" s="47" t="s">
        <v>1451</v>
      </c>
      <c r="B44" s="565" t="e">
        <f>B32</f>
        <v>#N/A</v>
      </c>
      <c r="C44" s="47" t="s">
        <v>1428</v>
      </c>
      <c r="D44" s="47" t="s">
        <v>1361</v>
      </c>
      <c r="E44" s="47" t="s">
        <v>1453</v>
      </c>
      <c r="F44" s="115"/>
      <c r="G44" s="764"/>
    </row>
    <row r="45" spans="1:7" x14ac:dyDescent="0.2">
      <c r="A45" s="47" t="s">
        <v>1416</v>
      </c>
      <c r="B45" s="819" t="e">
        <f>B43-B44</f>
        <v>#N/A</v>
      </c>
      <c r="C45" s="47" t="s">
        <v>1439</v>
      </c>
      <c r="D45" s="47" t="s">
        <v>1362</v>
      </c>
      <c r="E45" s="47" t="s">
        <v>1457</v>
      </c>
      <c r="F45" s="115"/>
      <c r="G45" s="764"/>
    </row>
    <row r="46" spans="1:7" x14ac:dyDescent="0.2">
      <c r="A46" s="27"/>
      <c r="B46" s="814"/>
      <c r="E46" s="82" t="s">
        <v>1326</v>
      </c>
      <c r="F46" s="82"/>
      <c r="G46" s="775"/>
    </row>
    <row r="47" spans="1:7" x14ac:dyDescent="0.2">
      <c r="A47" s="6"/>
      <c r="B47" s="563" t="e">
        <f>B15</f>
        <v>#N/A</v>
      </c>
      <c r="C47" s="6"/>
      <c r="D47" s="47" t="s">
        <v>1458</v>
      </c>
      <c r="E47" s="569" t="str">
        <f>CONCATENATE(DoM!$C$6," Regular Program District Cost Per Pupil (Line 2.3)")</f>
        <v>FY18 Regular Program District Cost Per Pupil (Line 2.3)</v>
      </c>
      <c r="F47" s="115"/>
      <c r="G47" s="764"/>
    </row>
    <row r="48" spans="1:7" x14ac:dyDescent="0.2">
      <c r="A48" s="47" t="s">
        <v>1414</v>
      </c>
      <c r="B48" s="816" t="e">
        <f>B5</f>
        <v>#N/A</v>
      </c>
      <c r="C48" s="47" t="s">
        <v>1411</v>
      </c>
      <c r="D48" s="47" t="s">
        <v>1459</v>
      </c>
      <c r="E48" s="569" t="s">
        <v>1437</v>
      </c>
      <c r="F48" s="115"/>
      <c r="G48" s="764"/>
    </row>
    <row r="49" spans="1:7" ht="13.15" customHeight="1" x14ac:dyDescent="0.2">
      <c r="A49" s="47" t="s">
        <v>1416</v>
      </c>
      <c r="B49" s="563" t="e">
        <f>ROUND(B47*B48,0)</f>
        <v>#N/A</v>
      </c>
      <c r="C49" s="6"/>
      <c r="D49" s="47" t="s">
        <v>1460</v>
      </c>
      <c r="E49" s="569" t="str">
        <f>CONCATENATE(DoM!$C$6," Regular Program District Cost without Adjustment")</f>
        <v>FY18 Regular Program District Cost without Adjustment</v>
      </c>
      <c r="F49" s="115"/>
      <c r="G49" s="764"/>
    </row>
    <row r="50" spans="1:7" x14ac:dyDescent="0.2">
      <c r="A50" s="47"/>
      <c r="B50" s="563" t="e">
        <f>INDEX(SNAME[],MATCH($D$2,SNAME[DIST],0),MATCH($G50,SNAME[#Headers],0))</f>
        <v>#N/A</v>
      </c>
      <c r="C50" s="6"/>
      <c r="D50" s="47" t="s">
        <v>1461</v>
      </c>
      <c r="E50" s="569" t="str">
        <f>CONCATENATE(DoM!$C$5," Regular Program District Cost (Line 4.3 - ",DoM!$C$5," Aid &amp; Levy)")</f>
        <v>FY17 Regular Program District Cost (Line 4.3 - FY17 Aid &amp; Levy)</v>
      </c>
      <c r="F50" s="115"/>
      <c r="G50" s="764" t="str">
        <f>SNAME[[#Headers],[line 4.4 x214]]</f>
        <v>line 4.4 x214</v>
      </c>
    </row>
    <row r="51" spans="1:7" x14ac:dyDescent="0.2">
      <c r="A51" s="47" t="s">
        <v>1414</v>
      </c>
      <c r="B51" s="820">
        <v>1.01</v>
      </c>
      <c r="C51" s="47" t="s">
        <v>1428</v>
      </c>
      <c r="D51" s="47" t="s">
        <v>1462</v>
      </c>
      <c r="E51" s="569" t="s">
        <v>492</v>
      </c>
      <c r="F51" s="115"/>
      <c r="G51" s="764"/>
    </row>
    <row r="52" spans="1:7" x14ac:dyDescent="0.2">
      <c r="A52" s="47" t="s">
        <v>1416</v>
      </c>
      <c r="B52" s="563" t="e">
        <f>ROUND(B50*B51,0)</f>
        <v>#N/A</v>
      </c>
      <c r="C52" s="6"/>
      <c r="D52" s="47" t="s">
        <v>1463</v>
      </c>
      <c r="E52" s="569" t="s">
        <v>1750</v>
      </c>
      <c r="F52" s="115"/>
      <c r="G52" s="764"/>
    </row>
    <row r="53" spans="1:7" x14ac:dyDescent="0.2">
      <c r="A53" s="47" t="s">
        <v>1451</v>
      </c>
      <c r="B53" s="563" t="e">
        <f>B49</f>
        <v>#N/A</v>
      </c>
      <c r="C53" s="6"/>
      <c r="D53" s="47" t="s">
        <v>1464</v>
      </c>
      <c r="E53" s="569" t="str">
        <f>CONCATENATE(DoM!$C$6," Regular Program District Cost without Adjustment (Line 4.3)")</f>
        <v>FY18 Regular Program District Cost without Adjustment (Line 4.3)</v>
      </c>
      <c r="F53" s="115"/>
      <c r="G53" s="764"/>
    </row>
    <row r="54" spans="1:7" x14ac:dyDescent="0.2">
      <c r="A54" s="47" t="s">
        <v>1416</v>
      </c>
      <c r="B54" s="821" t="e">
        <f>MAX(B52-B53,0)</f>
        <v>#N/A</v>
      </c>
      <c r="C54" s="6"/>
      <c r="D54" s="47" t="s">
        <v>1465</v>
      </c>
      <c r="E54" s="569" t="str">
        <f>CONCATENATE(DoM!$C$6," Regular Program Budget Adjustment (if negative, enter zero)")</f>
        <v>FY18 Regular Program Budget Adjustment (if negative, enter zero)</v>
      </c>
      <c r="F54" s="115"/>
      <c r="G54" s="764"/>
    </row>
    <row r="55" spans="1:7" x14ac:dyDescent="0.2">
      <c r="A55" s="27"/>
      <c r="B55" s="814"/>
      <c r="E55" s="82" t="s">
        <v>1327</v>
      </c>
      <c r="F55" s="82"/>
      <c r="G55" s="775"/>
    </row>
    <row r="56" spans="1:7" x14ac:dyDescent="0.2">
      <c r="A56" s="6"/>
      <c r="B56" s="563" t="e">
        <f>B15</f>
        <v>#N/A</v>
      </c>
      <c r="C56" s="6"/>
      <c r="D56" s="47" t="s">
        <v>1529</v>
      </c>
      <c r="E56" s="569" t="str">
        <f>CONCATENATE(DoM!$C$6," Regular Program District Cost Per Pupil (Line 2.3)")</f>
        <v>FY18 Regular Program District Cost Per Pupil (Line 2.3)</v>
      </c>
      <c r="F56" s="115"/>
      <c r="G56" s="764"/>
    </row>
    <row r="57" spans="1:7" x14ac:dyDescent="0.2">
      <c r="A57" s="47" t="s">
        <v>1414</v>
      </c>
      <c r="B57" s="819" t="e">
        <f>B41</f>
        <v>#N/A</v>
      </c>
      <c r="C57" s="47" t="s">
        <v>1439</v>
      </c>
      <c r="D57" s="47" t="s">
        <v>1530</v>
      </c>
      <c r="E57" s="569" t="s">
        <v>1240</v>
      </c>
      <c r="F57" s="115"/>
      <c r="G57" s="764"/>
    </row>
    <row r="58" spans="1:7" x14ac:dyDescent="0.2">
      <c r="A58" s="47" t="s">
        <v>1416</v>
      </c>
      <c r="B58" s="563" t="e">
        <f>ROUND(B56*B57,0)</f>
        <v>#N/A</v>
      </c>
      <c r="C58" s="6"/>
      <c r="D58" s="47" t="s">
        <v>1531</v>
      </c>
      <c r="E58" s="569" t="s">
        <v>0</v>
      </c>
      <c r="F58" s="115"/>
      <c r="G58" s="764"/>
    </row>
    <row r="59" spans="1:7" x14ac:dyDescent="0.2">
      <c r="A59" s="6"/>
      <c r="B59" s="563" t="e">
        <f>B15</f>
        <v>#N/A</v>
      </c>
      <c r="C59" s="6"/>
      <c r="D59" s="47" t="s">
        <v>1532</v>
      </c>
      <c r="E59" s="569" t="str">
        <f>CONCATENATE(DoM!$C$6," Regular Program District Cost Per Pupil (Line 2.3)")</f>
        <v>FY18 Regular Program District Cost Per Pupil (Line 2.3)</v>
      </c>
      <c r="F59" s="115"/>
      <c r="G59" s="764"/>
    </row>
    <row r="60" spans="1:7" x14ac:dyDescent="0.2">
      <c r="A60" s="47" t="s">
        <v>1414</v>
      </c>
      <c r="B60" s="565" t="e">
        <f>B32</f>
        <v>#N/A</v>
      </c>
      <c r="C60" s="47" t="s">
        <v>1428</v>
      </c>
      <c r="D60" s="47" t="s">
        <v>1533</v>
      </c>
      <c r="E60" s="569" t="s">
        <v>1453</v>
      </c>
      <c r="F60" s="115"/>
      <c r="G60" s="764"/>
    </row>
    <row r="61" spans="1:7" x14ac:dyDescent="0.2">
      <c r="A61" s="47" t="s">
        <v>1416</v>
      </c>
      <c r="B61" s="563" t="e">
        <f>ROUND(B59*B60,0)</f>
        <v>#N/A</v>
      </c>
      <c r="C61" s="6"/>
      <c r="D61" s="47" t="s">
        <v>1534</v>
      </c>
      <c r="E61" s="569" t="s">
        <v>1</v>
      </c>
      <c r="F61" s="115"/>
      <c r="G61" s="764"/>
    </row>
    <row r="62" spans="1:7" x14ac:dyDescent="0.2">
      <c r="A62" s="6"/>
      <c r="B62" s="565" t="e">
        <f>B18</f>
        <v>#N/A</v>
      </c>
      <c r="C62" s="6" t="s">
        <v>1428</v>
      </c>
      <c r="D62" s="47" t="s">
        <v>1535</v>
      </c>
      <c r="E62" s="569" t="str">
        <f>CONCATENATE(DoM!$C$6," Teacher Salary Supplement District Cost Per Pupil (Line 2.6)")</f>
        <v>FY18 Teacher Salary Supplement District Cost Per Pupil (Line 2.6)</v>
      </c>
      <c r="F62" s="115"/>
      <c r="G62" s="764"/>
    </row>
    <row r="63" spans="1:7" x14ac:dyDescent="0.2">
      <c r="A63" s="47" t="s">
        <v>1414</v>
      </c>
      <c r="B63" s="816" t="e">
        <f>B5</f>
        <v>#N/A</v>
      </c>
      <c r="C63" s="47" t="s">
        <v>1411</v>
      </c>
      <c r="D63" s="47" t="s">
        <v>1536</v>
      </c>
      <c r="E63" s="569" t="s">
        <v>1437</v>
      </c>
      <c r="F63" s="115"/>
      <c r="G63" s="764"/>
    </row>
    <row r="64" spans="1:7" x14ac:dyDescent="0.2">
      <c r="A64" s="47" t="s">
        <v>1416</v>
      </c>
      <c r="B64" s="563" t="e">
        <f>ROUND(B62*B63,0)</f>
        <v>#N/A</v>
      </c>
      <c r="C64" s="6"/>
      <c r="D64" s="47" t="s">
        <v>3</v>
      </c>
      <c r="E64" s="569" t="s">
        <v>1202</v>
      </c>
      <c r="F64" s="115"/>
      <c r="G64" s="764"/>
    </row>
    <row r="65" spans="1:7" x14ac:dyDescent="0.2">
      <c r="A65" s="6"/>
      <c r="B65" s="563" t="e">
        <f>INDEX(SNAME[],MATCH($D$2,SNAME[DIST],0),MATCH($G65,SNAME[#Headers],0))</f>
        <v>#N/A</v>
      </c>
      <c r="C65" s="6"/>
      <c r="D65" s="47" t="s">
        <v>16</v>
      </c>
      <c r="E65" s="569" t="str">
        <f>CONCATENATE(DoM!$C$5," Unadj Teacher Salary Suppl District Cost (Line 4.17 - ",DoM!$C$5," Aid &amp; Levy)")</f>
        <v>FY17 Unadj Teacher Salary Suppl District Cost (Line 4.17 - FY17 Aid &amp; Levy)</v>
      </c>
      <c r="F65" s="115"/>
      <c r="G65" s="764" t="str">
        <f>SNAME[[#Headers],[line 4.18 x532]]</f>
        <v>line 4.18 x532</v>
      </c>
    </row>
    <row r="66" spans="1:7" x14ac:dyDescent="0.2">
      <c r="A66" s="6" t="s">
        <v>1451</v>
      </c>
      <c r="B66" s="563" t="e">
        <f>B64</f>
        <v>#N/A</v>
      </c>
      <c r="C66" s="6"/>
      <c r="D66" s="47" t="s">
        <v>17</v>
      </c>
      <c r="E66" s="569" t="s">
        <v>1540</v>
      </c>
      <c r="F66" s="115"/>
      <c r="G66" s="764"/>
    </row>
    <row r="67" spans="1:7" x14ac:dyDescent="0.2">
      <c r="A67" s="47" t="s">
        <v>1416</v>
      </c>
      <c r="B67" s="563" t="e">
        <f>MAX(B65-B66,0)</f>
        <v>#N/A</v>
      </c>
      <c r="C67" s="6"/>
      <c r="D67" s="47" t="s">
        <v>18</v>
      </c>
      <c r="E67" s="569" t="s">
        <v>1205</v>
      </c>
      <c r="F67" s="115"/>
      <c r="G67" s="764"/>
    </row>
    <row r="68" spans="1:7" x14ac:dyDescent="0.2">
      <c r="A68" s="6" t="s">
        <v>1424</v>
      </c>
      <c r="B68" s="563" t="e">
        <f>B64</f>
        <v>#N/A</v>
      </c>
      <c r="C68" s="6"/>
      <c r="D68" s="47" t="s">
        <v>19</v>
      </c>
      <c r="E68" s="569" t="s">
        <v>1540</v>
      </c>
      <c r="F68" s="115"/>
      <c r="G68" s="764"/>
    </row>
    <row r="69" spans="1:7" x14ac:dyDescent="0.2">
      <c r="A69" s="6" t="s">
        <v>1416</v>
      </c>
      <c r="B69" s="563" t="e">
        <f>SUM(B67:B68)</f>
        <v>#N/A</v>
      </c>
      <c r="C69" s="6"/>
      <c r="D69" s="47" t="s">
        <v>20</v>
      </c>
      <c r="E69" s="569" t="s">
        <v>1217</v>
      </c>
      <c r="F69" s="115"/>
      <c r="G69" s="764"/>
    </row>
    <row r="70" spans="1:7" x14ac:dyDescent="0.2">
      <c r="A70" s="6"/>
      <c r="B70" s="565" t="e">
        <f>B21</f>
        <v>#N/A</v>
      </c>
      <c r="C70" s="6" t="s">
        <v>1428</v>
      </c>
      <c r="D70" s="47" t="s">
        <v>22</v>
      </c>
      <c r="E70" s="569" t="str">
        <f>CONCATENATE(DoM!$C$6,"  Professional Development Supplement District Cost Per Pupil (Line 2.9)")</f>
        <v>FY18  Professional Development Supplement District Cost Per Pupil (Line 2.9)</v>
      </c>
      <c r="F70" s="115"/>
      <c r="G70" s="764"/>
    </row>
    <row r="71" spans="1:7" x14ac:dyDescent="0.2">
      <c r="A71" s="47" t="s">
        <v>1414</v>
      </c>
      <c r="B71" s="816" t="e">
        <f>B5</f>
        <v>#N/A</v>
      </c>
      <c r="C71" s="47" t="s">
        <v>1411</v>
      </c>
      <c r="D71" s="47" t="s">
        <v>23</v>
      </c>
      <c r="E71" s="569" t="s">
        <v>1437</v>
      </c>
      <c r="F71" s="115"/>
      <c r="G71" s="764"/>
    </row>
    <row r="72" spans="1:7" x14ac:dyDescent="0.2">
      <c r="A72" s="47" t="s">
        <v>1416</v>
      </c>
      <c r="B72" s="563" t="e">
        <f>ROUND(B70*B71,0)</f>
        <v>#N/A</v>
      </c>
      <c r="C72" s="6"/>
      <c r="D72" s="47" t="s">
        <v>25</v>
      </c>
      <c r="E72" s="569" t="s">
        <v>1203</v>
      </c>
      <c r="F72" s="115"/>
      <c r="G72" s="764"/>
    </row>
    <row r="73" spans="1:7" x14ac:dyDescent="0.2">
      <c r="A73" s="6"/>
      <c r="B73" s="563" t="e">
        <f>INDEX(SNAME[],MATCH($D$2,SNAME[DIST],0),MATCH($G73,SNAME[#Headers],0))</f>
        <v>#N/A</v>
      </c>
      <c r="C73" s="6"/>
      <c r="D73" s="47" t="s">
        <v>27</v>
      </c>
      <c r="E73" s="571" t="str">
        <f>CONCATENATE(DoM!$C$5," Unadjusted Prof Dev Suppl District Cost (Line 4.25 - ",DoM!$C$5," Aid &amp; Levy)")</f>
        <v>FY17 Unadjusted Prof Dev Suppl District Cost (Line 4.25 - FY17 Aid &amp; Levy)</v>
      </c>
      <c r="F73" s="115"/>
      <c r="G73" s="764" t="str">
        <f>SNAME[[#Headers],[line 4.26 x536]]</f>
        <v>line 4.26 x536</v>
      </c>
    </row>
    <row r="74" spans="1:7" x14ac:dyDescent="0.2">
      <c r="A74" s="6" t="s">
        <v>1451</v>
      </c>
      <c r="B74" s="563" t="e">
        <f>B72</f>
        <v>#N/A</v>
      </c>
      <c r="C74" s="6"/>
      <c r="D74" s="47" t="s">
        <v>29</v>
      </c>
      <c r="E74" s="569" t="s">
        <v>1542</v>
      </c>
      <c r="F74" s="115"/>
      <c r="G74" s="764"/>
    </row>
    <row r="75" spans="1:7" x14ac:dyDescent="0.2">
      <c r="A75" s="47" t="s">
        <v>1416</v>
      </c>
      <c r="B75" s="563" t="e">
        <f>MAX(B73-B74,0)</f>
        <v>#N/A</v>
      </c>
      <c r="C75" s="6"/>
      <c r="D75" s="47" t="s">
        <v>30</v>
      </c>
      <c r="E75" s="569" t="s">
        <v>1206</v>
      </c>
      <c r="F75" s="115"/>
      <c r="G75" s="764"/>
    </row>
    <row r="76" spans="1:7" x14ac:dyDescent="0.2">
      <c r="A76" s="6" t="s">
        <v>1424</v>
      </c>
      <c r="B76" s="563" t="e">
        <f>B72</f>
        <v>#N/A</v>
      </c>
      <c r="C76" s="6"/>
      <c r="D76" s="47" t="s">
        <v>32</v>
      </c>
      <c r="E76" s="569" t="s">
        <v>1542</v>
      </c>
      <c r="F76" s="115"/>
      <c r="G76" s="764"/>
    </row>
    <row r="77" spans="1:7" x14ac:dyDescent="0.2">
      <c r="A77" s="6" t="s">
        <v>1416</v>
      </c>
      <c r="B77" s="563" t="e">
        <f>SUM(B75:B76)</f>
        <v>#N/A</v>
      </c>
      <c r="C77" s="6"/>
      <c r="D77" s="47" t="s">
        <v>33</v>
      </c>
      <c r="E77" s="569" t="s">
        <v>1218</v>
      </c>
      <c r="F77" s="115"/>
      <c r="G77" s="764"/>
    </row>
    <row r="78" spans="1:7" x14ac:dyDescent="0.2">
      <c r="A78" s="6"/>
      <c r="B78" s="565" t="e">
        <f>B24</f>
        <v>#N/A</v>
      </c>
      <c r="C78" s="6" t="s">
        <v>1428</v>
      </c>
      <c r="D78" s="47" t="s">
        <v>34</v>
      </c>
      <c r="E78" s="569" t="str">
        <f>CONCATENATE(DoM!$C$6,"  Early Intervention Supplement District Cost Per Pupil (Line 2.12)")</f>
        <v>FY18  Early Intervention Supplement District Cost Per Pupil (Line 2.12)</v>
      </c>
      <c r="F78" s="115"/>
      <c r="G78" s="764"/>
    </row>
    <row r="79" spans="1:7" x14ac:dyDescent="0.2">
      <c r="A79" s="47" t="s">
        <v>1414</v>
      </c>
      <c r="B79" s="816" t="e">
        <f>B5</f>
        <v>#N/A</v>
      </c>
      <c r="C79" s="47" t="s">
        <v>1411</v>
      </c>
      <c r="D79" s="47" t="s">
        <v>484</v>
      </c>
      <c r="E79" s="569" t="s">
        <v>1437</v>
      </c>
      <c r="F79" s="115"/>
      <c r="G79" s="764"/>
    </row>
    <row r="80" spans="1:7" x14ac:dyDescent="0.2">
      <c r="A80" s="47" t="s">
        <v>1416</v>
      </c>
      <c r="B80" s="563" t="e">
        <f>ROUND(B78*B79,0)</f>
        <v>#N/A</v>
      </c>
      <c r="C80" s="6"/>
      <c r="D80" s="47" t="s">
        <v>485</v>
      </c>
      <c r="E80" s="569" t="s">
        <v>1204</v>
      </c>
      <c r="F80" s="115"/>
      <c r="G80" s="764"/>
    </row>
    <row r="81" spans="1:7" x14ac:dyDescent="0.2">
      <c r="A81" s="6"/>
      <c r="B81" s="563" t="e">
        <f>INDEX(SNAME[],MATCH($D$2,SNAME[DIST],0),MATCH($G81,SNAME[#Headers],0))</f>
        <v>#N/A</v>
      </c>
      <c r="C81" s="6"/>
      <c r="D81" s="47" t="s">
        <v>486</v>
      </c>
      <c r="E81" s="571" t="str">
        <f>CONCATENATE(DoM!$C$5," Unadj Early Intervention Suppl District Cost (Line 4.33 - ",DoM!$C$5," Aid &amp; Levy)")</f>
        <v>FY17 Unadj Early Intervention Suppl District Cost (Line 4.33 - FY17 Aid &amp; Levy)</v>
      </c>
      <c r="F81" s="115"/>
      <c r="G81" s="764" t="str">
        <f>SNAME[[#Headers],[line 4.34 x540]]</f>
        <v>line 4.34 x540</v>
      </c>
    </row>
    <row r="82" spans="1:7" x14ac:dyDescent="0.2">
      <c r="A82" s="6" t="s">
        <v>1451</v>
      </c>
      <c r="B82" s="563" t="e">
        <f>B80</f>
        <v>#N/A</v>
      </c>
      <c r="C82" s="47"/>
      <c r="D82" s="47" t="s">
        <v>487</v>
      </c>
      <c r="E82" s="569" t="s">
        <v>1544</v>
      </c>
      <c r="F82" s="115"/>
      <c r="G82" s="764"/>
    </row>
    <row r="83" spans="1:7" x14ac:dyDescent="0.2">
      <c r="A83" s="47" t="s">
        <v>1416</v>
      </c>
      <c r="B83" s="563" t="e">
        <f>MAX(B81-B82,0)</f>
        <v>#N/A</v>
      </c>
      <c r="C83" s="6"/>
      <c r="D83" s="47" t="s">
        <v>488</v>
      </c>
      <c r="E83" s="569" t="s">
        <v>1207</v>
      </c>
      <c r="F83" s="115"/>
      <c r="G83" s="764"/>
    </row>
    <row r="84" spans="1:7" x14ac:dyDescent="0.2">
      <c r="A84" s="6" t="s">
        <v>1424</v>
      </c>
      <c r="B84" s="563" t="e">
        <f>B80</f>
        <v>#N/A</v>
      </c>
      <c r="C84" s="6"/>
      <c r="D84" s="47" t="s">
        <v>489</v>
      </c>
      <c r="E84" s="569" t="s">
        <v>1544</v>
      </c>
      <c r="F84" s="115"/>
      <c r="G84" s="764"/>
    </row>
    <row r="85" spans="1:7" x14ac:dyDescent="0.2">
      <c r="A85" s="6" t="s">
        <v>1416</v>
      </c>
      <c r="B85" s="563" t="e">
        <f>SUM(B83:B84)</f>
        <v>#N/A</v>
      </c>
      <c r="C85" s="6"/>
      <c r="D85" s="47" t="s">
        <v>490</v>
      </c>
      <c r="E85" s="569" t="s">
        <v>1432</v>
      </c>
      <c r="F85" s="115"/>
      <c r="G85" s="764"/>
    </row>
    <row r="86" spans="1:7" x14ac:dyDescent="0.2">
      <c r="A86" s="6"/>
      <c r="B86" s="565" t="e">
        <f>B27</f>
        <v>#N/A</v>
      </c>
      <c r="C86" s="6" t="s">
        <v>1428</v>
      </c>
      <c r="D86" s="47" t="s">
        <v>491</v>
      </c>
      <c r="E86" s="569" t="str">
        <f>CONCATENATE(DoM!$C$6," Teacher Leadership Supplement District Cost Per Pupil (Line 2.16)")</f>
        <v>FY18 Teacher Leadership Supplement District Cost Per Pupil (Line 2.16)</v>
      </c>
      <c r="F86" s="115"/>
      <c r="G86" s="764"/>
    </row>
    <row r="87" spans="1:7" x14ac:dyDescent="0.2">
      <c r="A87" s="47" t="s">
        <v>1414</v>
      </c>
      <c r="B87" s="816" t="e">
        <f>$B$5</f>
        <v>#N/A</v>
      </c>
      <c r="C87" s="47" t="s">
        <v>1411</v>
      </c>
      <c r="D87" s="47" t="s">
        <v>1364</v>
      </c>
      <c r="E87" s="569" t="s">
        <v>1437</v>
      </c>
      <c r="F87" s="115"/>
      <c r="G87" s="764"/>
    </row>
    <row r="88" spans="1:7" x14ac:dyDescent="0.2">
      <c r="A88" s="47" t="s">
        <v>1416</v>
      </c>
      <c r="B88" s="563" t="e">
        <f>ROUND(B86*B87,0)</f>
        <v>#N/A</v>
      </c>
      <c r="C88" s="6"/>
      <c r="D88" s="47" t="s">
        <v>1365</v>
      </c>
      <c r="E88" s="569" t="s">
        <v>1661</v>
      </c>
      <c r="F88" s="115"/>
      <c r="G88" s="764"/>
    </row>
    <row r="89" spans="1:7" x14ac:dyDescent="0.2">
      <c r="A89" s="6"/>
      <c r="B89" s="563" t="e">
        <f>INDEX(SNAME[],MATCH($D$2,SNAME[DIST],0),MATCH($G89,SNAME[#Headers],0))</f>
        <v>#N/A</v>
      </c>
      <c r="C89" s="6"/>
      <c r="D89" s="47" t="s">
        <v>1366</v>
      </c>
      <c r="E89" s="569" t="str">
        <f>CONCATENATE(DoM!$C$5," Unadj Teacher Leadership Suppl District Cost (Line 4.41 - ",DoM!$C$5," Aid &amp; Levy)")</f>
        <v>FY17 Unadj Teacher Leadership Suppl District Cost (Line 4.41 - FY17 Aid &amp; Levy)</v>
      </c>
      <c r="F89" s="115"/>
      <c r="G89" s="764" t="str">
        <f>SNAME[[#Headers],[line 4.42 x553]]</f>
        <v>line 4.42 x553</v>
      </c>
    </row>
    <row r="90" spans="1:7" x14ac:dyDescent="0.2">
      <c r="A90" s="6" t="s">
        <v>1451</v>
      </c>
      <c r="B90" s="563" t="e">
        <f>B88</f>
        <v>#N/A</v>
      </c>
      <c r="C90" s="47"/>
      <c r="D90" s="47" t="s">
        <v>422</v>
      </c>
      <c r="E90" s="569" t="s">
        <v>1662</v>
      </c>
      <c r="F90" s="115"/>
      <c r="G90" s="764"/>
    </row>
    <row r="91" spans="1:7" x14ac:dyDescent="0.2">
      <c r="A91" s="47" t="s">
        <v>1416</v>
      </c>
      <c r="B91" s="563" t="e">
        <f>MAX(B89-B90,0)</f>
        <v>#N/A</v>
      </c>
      <c r="C91" s="6"/>
      <c r="D91" s="47" t="s">
        <v>423</v>
      </c>
      <c r="E91" s="569" t="s">
        <v>1663</v>
      </c>
      <c r="F91" s="115"/>
      <c r="G91" s="764"/>
    </row>
    <row r="92" spans="1:7" x14ac:dyDescent="0.2">
      <c r="A92" s="6" t="s">
        <v>1424</v>
      </c>
      <c r="B92" s="563" t="e">
        <f>B88</f>
        <v>#N/A</v>
      </c>
      <c r="C92" s="6"/>
      <c r="D92" s="47" t="s">
        <v>424</v>
      </c>
      <c r="E92" s="569" t="s">
        <v>1662</v>
      </c>
      <c r="F92" s="115"/>
      <c r="G92" s="764"/>
    </row>
    <row r="93" spans="1:7" x14ac:dyDescent="0.2">
      <c r="A93" s="6" t="s">
        <v>1416</v>
      </c>
      <c r="B93" s="563" t="e">
        <f>SUM(B91:B92)</f>
        <v>#N/A</v>
      </c>
      <c r="C93" s="6"/>
      <c r="D93" s="47" t="s">
        <v>425</v>
      </c>
      <c r="E93" s="569" t="s">
        <v>1664</v>
      </c>
      <c r="F93" s="115"/>
      <c r="G93" s="764"/>
    </row>
    <row r="94" spans="1:7" x14ac:dyDescent="0.2">
      <c r="A94" s="27"/>
      <c r="B94" s="814"/>
      <c r="D94" s="177"/>
      <c r="E94" s="82" t="s">
        <v>1328</v>
      </c>
      <c r="F94" s="82"/>
      <c r="G94" s="775"/>
    </row>
    <row r="95" spans="1:7" x14ac:dyDescent="0.2">
      <c r="A95" s="6"/>
      <c r="B95" s="822" t="e">
        <f t="array" ref="B95">INDEX(AEA_CPP!$A$2:$H$300,MATCH(1,(AidLevy!$C$2=AEA_CPP!$B$2:$B$300)*(DoM!$B$6=AEA_CPP!$A$2:$A$300),0),MATCH($G95,AEA_CPP!$A$1:$H$1,0))</f>
        <v>#N/A</v>
      </c>
      <c r="C95" s="47" t="s">
        <v>1428</v>
      </c>
      <c r="D95" s="348" t="s">
        <v>426</v>
      </c>
      <c r="E95" s="348" t="s">
        <v>2</v>
      </c>
      <c r="F95" s="505"/>
      <c r="G95" s="764" t="str">
        <f>AEA_CPP!$D$1</f>
        <v>AEASPE</v>
      </c>
    </row>
    <row r="96" spans="1:7" x14ac:dyDescent="0.2">
      <c r="A96" s="47" t="s">
        <v>1414</v>
      </c>
      <c r="B96" s="565" t="e">
        <f>B34</f>
        <v>#N/A</v>
      </c>
      <c r="C96" s="47" t="s">
        <v>1428</v>
      </c>
      <c r="D96" s="348" t="s">
        <v>427</v>
      </c>
      <c r="E96" s="348" t="s">
        <v>963</v>
      </c>
      <c r="F96" s="505"/>
      <c r="G96" s="764"/>
    </row>
    <row r="97" spans="1:7" x14ac:dyDescent="0.2">
      <c r="A97" s="47" t="s">
        <v>1416</v>
      </c>
      <c r="B97" s="563" t="e">
        <f>ROUND(B95*B96,0)</f>
        <v>#N/A</v>
      </c>
      <c r="C97" s="6"/>
      <c r="D97" s="348" t="s">
        <v>428</v>
      </c>
      <c r="E97" s="348" t="s">
        <v>990</v>
      </c>
      <c r="F97" s="505"/>
      <c r="G97" s="764"/>
    </row>
    <row r="98" spans="1:7" x14ac:dyDescent="0.2">
      <c r="A98" s="6"/>
      <c r="B98" s="563" t="e">
        <f>INDEX(SNAME[],MATCH($D$2,SNAME[DIST],0),MATCH($G98,SNAME[#Headers],0))</f>
        <v>#N/A</v>
      </c>
      <c r="C98" s="6"/>
      <c r="D98" s="348" t="s">
        <v>429</v>
      </c>
      <c r="E98" s="573" t="str">
        <f>CONCATENATE(DoM!$C$5," AEA Special Ed Support Dist Cost (Line 4.49 - ",DoM!$C$5," Aid &amp; Levy)")</f>
        <v>FY17 AEA Special Ed Support Dist Cost (Line 4.49 - FY17 Aid &amp; Levy)</v>
      </c>
      <c r="F98" s="505"/>
      <c r="G98" s="764" t="str">
        <f>SNAME[[#Headers],[line 4.50 x218]]</f>
        <v>line 4.50 x218</v>
      </c>
    </row>
    <row r="99" spans="1:7" x14ac:dyDescent="0.2">
      <c r="A99" s="47" t="s">
        <v>1424</v>
      </c>
      <c r="B99" s="563" t="e">
        <f>INDEX(SNAME[],MATCH($D$2,SNAME[DIST],0),MATCH($G99,SNAME[#Headers],0))</f>
        <v>#N/A</v>
      </c>
      <c r="C99" s="6"/>
      <c r="D99" s="348" t="s">
        <v>430</v>
      </c>
      <c r="E99" s="573" t="str">
        <f>CONCATENATE(DoM!$C$5," AEA Special Ed Support Adjustment (Line 4.54 - ",DoM!$C$5," Aid &amp; Levy)")</f>
        <v>FY17 AEA Special Ed Support Adjustment (Line 4.54 - FY17 Aid &amp; Levy)</v>
      </c>
      <c r="F99" s="505"/>
      <c r="G99" s="764" t="str">
        <f>SNAME[[#Headers],[line 4.51 x219]]</f>
        <v>line 4.51 x219</v>
      </c>
    </row>
    <row r="100" spans="1:7" x14ac:dyDescent="0.2">
      <c r="A100" s="47" t="s">
        <v>1416</v>
      </c>
      <c r="B100" s="563" t="e">
        <f>SUM(B98:B99)</f>
        <v>#N/A</v>
      </c>
      <c r="C100" s="6"/>
      <c r="D100" s="348" t="s">
        <v>431</v>
      </c>
      <c r="E100" s="572" t="str">
        <f>CONCATENATE(DoM!$C$5," Total AEA Special Ed Support District Cost")</f>
        <v>FY17 Total AEA Special Ed Support District Cost</v>
      </c>
      <c r="F100" s="505"/>
      <c r="G100" s="764"/>
    </row>
    <row r="101" spans="1:7" x14ac:dyDescent="0.2">
      <c r="A101" s="47" t="s">
        <v>1451</v>
      </c>
      <c r="B101" s="563" t="e">
        <f>B97</f>
        <v>#N/A</v>
      </c>
      <c r="C101" s="6"/>
      <c r="D101" s="348" t="s">
        <v>432</v>
      </c>
      <c r="E101" s="572" t="s">
        <v>1666</v>
      </c>
      <c r="F101" s="505"/>
      <c r="G101" s="764"/>
    </row>
    <row r="102" spans="1:7" x14ac:dyDescent="0.2">
      <c r="A102" s="47" t="s">
        <v>1416</v>
      </c>
      <c r="B102" s="563" t="e">
        <f>IF(B97&gt;0,MAX(B100-B101,0),0)</f>
        <v>#N/A</v>
      </c>
      <c r="C102" s="6"/>
      <c r="D102" s="348" t="s">
        <v>433</v>
      </c>
      <c r="E102" s="572" t="s">
        <v>21</v>
      </c>
      <c r="F102" s="505"/>
      <c r="G102" s="764"/>
    </row>
    <row r="103" spans="1:7" x14ac:dyDescent="0.2">
      <c r="A103" s="6"/>
      <c r="B103" s="816" t="e">
        <f>B5</f>
        <v>#N/A</v>
      </c>
      <c r="C103" s="47" t="s">
        <v>1411</v>
      </c>
      <c r="D103" s="348" t="s">
        <v>434</v>
      </c>
      <c r="E103" s="572" t="s">
        <v>1437</v>
      </c>
      <c r="F103" s="505"/>
      <c r="G103" s="764"/>
    </row>
    <row r="104" spans="1:7" x14ac:dyDescent="0.2">
      <c r="A104" s="47" t="s">
        <v>1424</v>
      </c>
      <c r="B104" s="823" t="e">
        <f>INDEX(SNAME[],MATCH($D$2,SNAME[DIST],0),MATCH($G104,SNAME[#Headers],0))</f>
        <v>#N/A</v>
      </c>
      <c r="C104" s="6"/>
      <c r="D104" s="348" t="s">
        <v>435</v>
      </c>
      <c r="E104" s="572" t="s">
        <v>24</v>
      </c>
      <c r="F104" s="505"/>
      <c r="G104" s="764" t="str">
        <f>SNAME[[#Headers],[line 4.56 x270]]</f>
        <v>line 4.56 x270</v>
      </c>
    </row>
    <row r="105" spans="1:7" x14ac:dyDescent="0.2">
      <c r="A105" s="47" t="s">
        <v>1451</v>
      </c>
      <c r="B105" s="824" t="e">
        <f>INDEX(SNAME[],MATCH($D$2,SNAME[DIST],0),MATCH($G105,SNAME[#Headers],0))</f>
        <v>#N/A</v>
      </c>
      <c r="C105" s="47" t="s">
        <v>1411</v>
      </c>
      <c r="D105" s="348" t="s">
        <v>436</v>
      </c>
      <c r="E105" s="572" t="s">
        <v>26</v>
      </c>
      <c r="F105" s="505"/>
      <c r="G105" s="764" t="str">
        <f>SNAME[[#Headers],[line 4.57 x271]]</f>
        <v>line 4.57 x271</v>
      </c>
    </row>
    <row r="106" spans="1:7" x14ac:dyDescent="0.2">
      <c r="A106" s="47" t="s">
        <v>1416</v>
      </c>
      <c r="B106" s="563" t="e">
        <f>ROUND(SUM(B103:B104)-B105,0)</f>
        <v>#N/A</v>
      </c>
      <c r="C106" s="6"/>
      <c r="D106" s="348" t="s">
        <v>437</v>
      </c>
      <c r="E106" s="572" t="s">
        <v>28</v>
      </c>
      <c r="F106" s="505"/>
      <c r="G106" s="764"/>
    </row>
    <row r="107" spans="1:7" x14ac:dyDescent="0.2">
      <c r="A107" s="47" t="s">
        <v>1414</v>
      </c>
      <c r="B107" s="822" t="e">
        <f t="array" ref="B107">INDEX(AEA_CPP!$A$2:$H$300,MATCH(1,(AidLevy!$C$2=AEA_CPP!$B$2:$B$300)*(DoM!$B$6=AEA_CPP!$A$2:$A$300),0),MATCH($G107,AEA_CPP!$A$1:$H$1,0))</f>
        <v>#N/A</v>
      </c>
      <c r="C107" s="47" t="s">
        <v>1428</v>
      </c>
      <c r="D107" s="348" t="s">
        <v>438</v>
      </c>
      <c r="E107" s="572" t="str">
        <f>CONCATENATE(DoM!$C$6," AEA Media Cost Per Pupil")</f>
        <v>FY18 AEA Media Cost Per Pupil</v>
      </c>
      <c r="F107" s="505"/>
      <c r="G107" s="764" t="str">
        <f>AEA_CPP!$E$1</f>
        <v>AEAMED</v>
      </c>
    </row>
    <row r="108" spans="1:7" x14ac:dyDescent="0.2">
      <c r="A108" s="47" t="s">
        <v>1416</v>
      </c>
      <c r="B108" s="563" t="e">
        <f>ROUND(B106*B107,0)</f>
        <v>#N/A</v>
      </c>
      <c r="C108" s="6"/>
      <c r="D108" s="348" t="s">
        <v>439</v>
      </c>
      <c r="E108" s="572" t="s">
        <v>31</v>
      </c>
      <c r="F108" s="505"/>
      <c r="G108" s="764"/>
    </row>
    <row r="109" spans="1:7" x14ac:dyDescent="0.2">
      <c r="A109" s="6"/>
      <c r="B109" s="563" t="e">
        <f>B106</f>
        <v>#N/A</v>
      </c>
      <c r="C109" s="6"/>
      <c r="D109" s="348" t="s">
        <v>440</v>
      </c>
      <c r="E109" s="572" t="s">
        <v>1667</v>
      </c>
      <c r="F109" s="505"/>
      <c r="G109" s="764"/>
    </row>
    <row r="110" spans="1:7" x14ac:dyDescent="0.2">
      <c r="A110" s="47" t="s">
        <v>1414</v>
      </c>
      <c r="B110" s="822" t="e">
        <f t="array" ref="B110">INDEX(AEA_CPP!$A$2:$H$300,MATCH(1,(AidLevy!$C$2=AEA_CPP!$B$2:$B$300)*(DoM!$B$6=AEA_CPP!$A$2:$A$300),0),MATCH($G110,AEA_CPP!$A$1:$H$1,0))</f>
        <v>#N/A</v>
      </c>
      <c r="C110" s="47" t="s">
        <v>1428</v>
      </c>
      <c r="D110" s="348" t="s">
        <v>441</v>
      </c>
      <c r="E110" s="572" t="str">
        <f>CONCATENATE(DoM!$C$6," AEA Ed Services Cost Per Pupil")</f>
        <v>FY18 AEA Ed Services Cost Per Pupil</v>
      </c>
      <c r="F110" s="505"/>
      <c r="G110" s="764" t="str">
        <f>AEA_CPP!$F$1</f>
        <v>AEAED</v>
      </c>
    </row>
    <row r="111" spans="1:7" x14ac:dyDescent="0.2">
      <c r="A111" s="47" t="s">
        <v>1416</v>
      </c>
      <c r="B111" s="563" t="e">
        <f>ROUND(B109*B110,0)</f>
        <v>#N/A</v>
      </c>
      <c r="C111" s="6"/>
      <c r="D111" s="348" t="s">
        <v>442</v>
      </c>
      <c r="E111" s="572" t="s">
        <v>35</v>
      </c>
      <c r="F111" s="505"/>
      <c r="G111" s="764"/>
    </row>
    <row r="112" spans="1:7" x14ac:dyDescent="0.2">
      <c r="A112" s="47"/>
      <c r="B112" s="825" t="e">
        <f>B35</f>
        <v>#N/A</v>
      </c>
      <c r="C112" s="6" t="s">
        <v>1428</v>
      </c>
      <c r="D112" s="348" t="s">
        <v>443</v>
      </c>
      <c r="E112" s="572" t="s">
        <v>729</v>
      </c>
      <c r="F112" s="505"/>
      <c r="G112" s="764"/>
    </row>
    <row r="113" spans="1:7" x14ac:dyDescent="0.2">
      <c r="A113" s="47" t="s">
        <v>1414</v>
      </c>
      <c r="B113" s="565" t="e">
        <f>B95</f>
        <v>#N/A</v>
      </c>
      <c r="C113" s="6" t="s">
        <v>1428</v>
      </c>
      <c r="D113" s="348" t="s">
        <v>444</v>
      </c>
      <c r="E113" s="572" t="s">
        <v>1668</v>
      </c>
      <c r="F113" s="505"/>
      <c r="G113" s="764"/>
    </row>
    <row r="114" spans="1:7" x14ac:dyDescent="0.2">
      <c r="A114" s="47" t="s">
        <v>1416</v>
      </c>
      <c r="B114" s="563" t="e">
        <f>ROUND(B112*B113,0)</f>
        <v>#N/A</v>
      </c>
      <c r="C114" s="6"/>
      <c r="D114" s="348" t="s">
        <v>445</v>
      </c>
      <c r="E114" s="572" t="s">
        <v>1367</v>
      </c>
      <c r="F114" s="505"/>
      <c r="G114" s="764"/>
    </row>
    <row r="115" spans="1:7" x14ac:dyDescent="0.2">
      <c r="A115" s="6"/>
      <c r="B115" s="822" t="e">
        <f t="array" ref="B115">INDEX(AEA_CPP!$A$2:$H$300,MATCH(1,(AidLevy!$C$2=AEA_CPP!$B$2:$B$300)*(DoM!$B$6=AEA_CPP!$A$2:$A$300),0),MATCH($G115,AEA_CPP!$A$1:$H$1,0))</f>
        <v>#N/A</v>
      </c>
      <c r="C115" s="6" t="s">
        <v>1428</v>
      </c>
      <c r="D115" s="348" t="s">
        <v>446</v>
      </c>
      <c r="E115" s="572" t="str">
        <f>CONCATENATE(DoM!$C$6," AEA Teacher Salary Supplement District Cost Per Pupil")</f>
        <v>FY18 AEA Teacher Salary Supplement District Cost Per Pupil</v>
      </c>
      <c r="F115" s="505"/>
      <c r="G115" s="764" t="str">
        <f>AEA_CPP!$G$1</f>
        <v>AEA_TS</v>
      </c>
    </row>
    <row r="116" spans="1:7" x14ac:dyDescent="0.2">
      <c r="A116" s="47" t="s">
        <v>1414</v>
      </c>
      <c r="B116" s="565" t="e">
        <f>B34</f>
        <v>#N/A</v>
      </c>
      <c r="C116" s="47" t="s">
        <v>1428</v>
      </c>
      <c r="D116" s="348" t="s">
        <v>447</v>
      </c>
      <c r="E116" s="572" t="s">
        <v>963</v>
      </c>
      <c r="F116" s="505"/>
      <c r="G116" s="764"/>
    </row>
    <row r="117" spans="1:7" x14ac:dyDescent="0.2">
      <c r="A117" s="47" t="s">
        <v>1416</v>
      </c>
      <c r="B117" s="563" t="e">
        <f>ROUND(B115*B116,0)</f>
        <v>#N/A</v>
      </c>
      <c r="C117" s="6"/>
      <c r="D117" s="348" t="s">
        <v>448</v>
      </c>
      <c r="E117" s="572" t="s">
        <v>1315</v>
      </c>
      <c r="F117" s="505"/>
      <c r="G117" s="764"/>
    </row>
    <row r="118" spans="1:7" x14ac:dyDescent="0.2">
      <c r="A118" s="6"/>
      <c r="B118" s="563" t="e">
        <f>INDEX(SNAME[],MATCH($D$2,SNAME[DIST],0),MATCH($G118,SNAME[#Headers],0))</f>
        <v>#N/A</v>
      </c>
      <c r="C118" s="6"/>
      <c r="D118" s="348" t="s">
        <v>449</v>
      </c>
      <c r="E118" s="572" t="str">
        <f>CONCATENATE(DoM!$C$5," Unadj AEA Teacher Salary Suppl District Cost (Line 4.69 - ",DoM!$C$5," Aid &amp; Levy)")</f>
        <v>FY17 Unadj AEA Teacher Salary Suppl District Cost (Line 4.69 - FY17 Aid &amp; Levy)</v>
      </c>
      <c r="F118" s="505"/>
      <c r="G118" s="764" t="str">
        <f>SNAME[[#Headers],[line 4.70 x544]]</f>
        <v>line 4.70 x544</v>
      </c>
    </row>
    <row r="119" spans="1:7" x14ac:dyDescent="0.2">
      <c r="A119" s="6" t="s">
        <v>1451</v>
      </c>
      <c r="B119" s="563" t="e">
        <f>B117</f>
        <v>#N/A</v>
      </c>
      <c r="C119" s="47"/>
      <c r="D119" s="348" t="s">
        <v>450</v>
      </c>
      <c r="E119" s="572" t="s">
        <v>1669</v>
      </c>
      <c r="F119" s="505"/>
      <c r="G119" s="764"/>
    </row>
    <row r="120" spans="1:7" x14ac:dyDescent="0.2">
      <c r="A120" s="47" t="s">
        <v>1416</v>
      </c>
      <c r="B120" s="563" t="e">
        <f>MAX(B118-B119,0)</f>
        <v>#N/A</v>
      </c>
      <c r="C120" s="6"/>
      <c r="D120" s="348" t="s">
        <v>451</v>
      </c>
      <c r="E120" s="572" t="s">
        <v>1208</v>
      </c>
      <c r="F120" s="505"/>
      <c r="G120" s="764"/>
    </row>
    <row r="121" spans="1:7" x14ac:dyDescent="0.2">
      <c r="A121" s="6" t="s">
        <v>1424</v>
      </c>
      <c r="B121" s="563" t="e">
        <f>B117</f>
        <v>#N/A</v>
      </c>
      <c r="C121" s="6"/>
      <c r="D121" s="348" t="s">
        <v>452</v>
      </c>
      <c r="E121" s="572" t="s">
        <v>1669</v>
      </c>
      <c r="F121" s="505"/>
      <c r="G121" s="764"/>
    </row>
    <row r="122" spans="1:7" x14ac:dyDescent="0.2">
      <c r="A122" s="6" t="s">
        <v>1416</v>
      </c>
      <c r="B122" s="563" t="e">
        <f>SUM(B120:B121)</f>
        <v>#N/A</v>
      </c>
      <c r="C122" s="6"/>
      <c r="D122" s="348" t="s">
        <v>453</v>
      </c>
      <c r="E122" s="572" t="s">
        <v>1219</v>
      </c>
      <c r="F122" s="505"/>
      <c r="G122" s="764"/>
    </row>
    <row r="123" spans="1:7" x14ac:dyDescent="0.2">
      <c r="A123" s="6"/>
      <c r="B123" s="822" t="e">
        <f t="array" ref="B123">INDEX(AEA_CPP!$A$2:$H$300,MATCH(1,(AidLevy!$C$2=AEA_CPP!$B$2:$B$300)*(DoM!$B$6=AEA_CPP!$A$2:$A$300),0),MATCH($G123,AEA_CPP!$A$1:$H$1,0))</f>
        <v>#N/A</v>
      </c>
      <c r="C123" s="6" t="s">
        <v>1428</v>
      </c>
      <c r="D123" s="348" t="s">
        <v>1670</v>
      </c>
      <c r="E123" s="572" t="str">
        <f>CONCATENATE(DoM!$C$6," Professional Development Supplement District Cost Per Pupil")</f>
        <v>FY18 Professional Development Supplement District Cost Per Pupil</v>
      </c>
      <c r="F123" s="505"/>
      <c r="G123" s="764" t="str">
        <f>AEA_CPP!H1</f>
        <v>AEA_PD</v>
      </c>
    </row>
    <row r="124" spans="1:7" x14ac:dyDescent="0.2">
      <c r="A124" s="47" t="s">
        <v>1414</v>
      </c>
      <c r="B124" s="565" t="e">
        <f>B34</f>
        <v>#N/A</v>
      </c>
      <c r="C124" s="47" t="s">
        <v>1428</v>
      </c>
      <c r="D124" s="348" t="s">
        <v>1671</v>
      </c>
      <c r="E124" s="572" t="s">
        <v>963</v>
      </c>
      <c r="F124" s="505"/>
      <c r="G124" s="764"/>
    </row>
    <row r="125" spans="1:7" x14ac:dyDescent="0.2">
      <c r="A125" s="47" t="s">
        <v>1416</v>
      </c>
      <c r="B125" s="563" t="e">
        <f>ROUND(B123*B124,0)</f>
        <v>#N/A</v>
      </c>
      <c r="C125" s="6"/>
      <c r="D125" s="348" t="s">
        <v>1672</v>
      </c>
      <c r="E125" s="572" t="s">
        <v>1316</v>
      </c>
      <c r="F125" s="505"/>
      <c r="G125" s="764"/>
    </row>
    <row r="126" spans="1:7" x14ac:dyDescent="0.2">
      <c r="A126" s="6"/>
      <c r="B126" s="563" t="e">
        <f>INDEX(SNAME[],MATCH($D$2,SNAME[DIST],0),MATCH($G126,SNAME[#Headers],0))</f>
        <v>#N/A</v>
      </c>
      <c r="C126" s="6"/>
      <c r="D126" s="348" t="s">
        <v>1673</v>
      </c>
      <c r="E126" s="572" t="str">
        <f>CONCATENATE(DoM!$C$5," Unadj AEA Prof Dev Suppl District Cost (Line 4.77 - ",DoM!$C$5," Aid &amp; Levy)")</f>
        <v>FY17 Unadj AEA Prof Dev Suppl District Cost (Line 4.77 - FY17 Aid &amp; Levy)</v>
      </c>
      <c r="F126" s="505"/>
      <c r="G126" s="764" t="str">
        <f>SNAME[[#Headers],[line 4.78 x548]]</f>
        <v>line 4.78 x548</v>
      </c>
    </row>
    <row r="127" spans="1:7" x14ac:dyDescent="0.2">
      <c r="A127" s="6" t="s">
        <v>1451</v>
      </c>
      <c r="B127" s="563" t="e">
        <f>B125</f>
        <v>#N/A</v>
      </c>
      <c r="C127" s="47"/>
      <c r="D127" s="348" t="s">
        <v>1674</v>
      </c>
      <c r="E127" s="348" t="s">
        <v>1675</v>
      </c>
      <c r="F127" s="505"/>
      <c r="G127" s="764"/>
    </row>
    <row r="128" spans="1:7" x14ac:dyDescent="0.2">
      <c r="A128" s="47" t="s">
        <v>1416</v>
      </c>
      <c r="B128" s="563" t="e">
        <f>MAX(B126-B127,0)</f>
        <v>#N/A</v>
      </c>
      <c r="C128" s="6"/>
      <c r="D128" s="348" t="s">
        <v>1676</v>
      </c>
      <c r="E128" s="348" t="s">
        <v>73</v>
      </c>
      <c r="F128" s="505"/>
      <c r="G128" s="764"/>
    </row>
    <row r="129" spans="1:7" x14ac:dyDescent="0.2">
      <c r="A129" s="6" t="s">
        <v>1424</v>
      </c>
      <c r="B129" s="563" t="e">
        <f>B125</f>
        <v>#N/A</v>
      </c>
      <c r="C129" s="6"/>
      <c r="D129" s="348" t="s">
        <v>1677</v>
      </c>
      <c r="E129" s="348" t="s">
        <v>1675</v>
      </c>
      <c r="F129" s="505"/>
      <c r="G129" s="764"/>
    </row>
    <row r="130" spans="1:7" x14ac:dyDescent="0.2">
      <c r="A130" s="6" t="s">
        <v>1416</v>
      </c>
      <c r="B130" s="563" t="e">
        <f>SUM(B128:B129)</f>
        <v>#N/A</v>
      </c>
      <c r="C130" s="6"/>
      <c r="D130" s="348" t="s">
        <v>1678</v>
      </c>
      <c r="E130" s="348" t="s">
        <v>1220</v>
      </c>
      <c r="F130" s="505"/>
      <c r="G130" s="764"/>
    </row>
    <row r="131" spans="1:7" x14ac:dyDescent="0.2">
      <c r="A131" s="27"/>
      <c r="B131" s="814"/>
      <c r="E131" s="83" t="s">
        <v>36</v>
      </c>
      <c r="F131" s="83"/>
      <c r="G131" s="778"/>
    </row>
    <row r="132" spans="1:7" x14ac:dyDescent="0.2">
      <c r="A132" s="6"/>
      <c r="B132" s="563" t="e">
        <f>B49</f>
        <v>#N/A</v>
      </c>
      <c r="C132" s="6"/>
      <c r="D132" s="47" t="s">
        <v>37</v>
      </c>
      <c r="E132" s="348" t="s">
        <v>991</v>
      </c>
      <c r="F132" s="505"/>
      <c r="G132" s="764"/>
    </row>
    <row r="133" spans="1:7" x14ac:dyDescent="0.2">
      <c r="A133" s="47" t="s">
        <v>1424</v>
      </c>
      <c r="B133" s="563" t="e">
        <f>B54</f>
        <v>#N/A</v>
      </c>
      <c r="C133" s="6"/>
      <c r="D133" s="47" t="s">
        <v>38</v>
      </c>
      <c r="E133" s="348" t="s">
        <v>1537</v>
      </c>
      <c r="F133" s="505"/>
      <c r="G133" s="764"/>
    </row>
    <row r="134" spans="1:7" x14ac:dyDescent="0.2">
      <c r="A134" s="47" t="s">
        <v>1424</v>
      </c>
      <c r="B134" s="563" t="e">
        <f>B58</f>
        <v>#N/A</v>
      </c>
      <c r="C134" s="6"/>
      <c r="D134" s="47" t="s">
        <v>39</v>
      </c>
      <c r="E134" s="348" t="s">
        <v>1538</v>
      </c>
      <c r="F134" s="505"/>
      <c r="G134" s="764"/>
    </row>
    <row r="135" spans="1:7" x14ac:dyDescent="0.2">
      <c r="A135" s="47" t="s">
        <v>1424</v>
      </c>
      <c r="B135" s="563" t="e">
        <f>B61</f>
        <v>#N/A</v>
      </c>
      <c r="C135" s="6"/>
      <c r="D135" s="47" t="s">
        <v>40</v>
      </c>
      <c r="E135" s="348" t="s">
        <v>1539</v>
      </c>
      <c r="F135" s="505"/>
      <c r="G135" s="764"/>
    </row>
    <row r="136" spans="1:7" x14ac:dyDescent="0.2">
      <c r="A136" s="47" t="s">
        <v>1424</v>
      </c>
      <c r="B136" s="563" t="e">
        <f>B69</f>
        <v>#N/A</v>
      </c>
      <c r="C136" s="6"/>
      <c r="D136" s="47" t="s">
        <v>41</v>
      </c>
      <c r="E136" s="348" t="s">
        <v>1541</v>
      </c>
      <c r="F136" s="505"/>
      <c r="G136" s="764"/>
    </row>
    <row r="137" spans="1:7" x14ac:dyDescent="0.2">
      <c r="A137" s="47" t="s">
        <v>1424</v>
      </c>
      <c r="B137" s="563" t="e">
        <f>B77</f>
        <v>#N/A</v>
      </c>
      <c r="C137" s="6"/>
      <c r="D137" s="47" t="s">
        <v>42</v>
      </c>
      <c r="E137" s="348" t="s">
        <v>1543</v>
      </c>
      <c r="F137" s="505"/>
      <c r="G137" s="764"/>
    </row>
    <row r="138" spans="1:7" x14ac:dyDescent="0.2">
      <c r="A138" s="47" t="s">
        <v>1424</v>
      </c>
      <c r="B138" s="563" t="e">
        <f>B85</f>
        <v>#N/A</v>
      </c>
      <c r="C138" s="6"/>
      <c r="D138" s="47" t="s">
        <v>43</v>
      </c>
      <c r="E138" s="348" t="s">
        <v>1545</v>
      </c>
      <c r="F138" s="505"/>
      <c r="G138" s="764"/>
    </row>
    <row r="139" spans="1:7" x14ac:dyDescent="0.2">
      <c r="A139" s="47" t="s">
        <v>1424</v>
      </c>
      <c r="B139" s="563" t="e">
        <f>B93</f>
        <v>#N/A</v>
      </c>
      <c r="C139" s="6"/>
      <c r="D139" s="47" t="s">
        <v>44</v>
      </c>
      <c r="E139" s="348" t="s">
        <v>1680</v>
      </c>
      <c r="F139" s="505"/>
      <c r="G139" s="764"/>
    </row>
    <row r="140" spans="1:7" x14ac:dyDescent="0.2">
      <c r="A140" s="47" t="s">
        <v>1424</v>
      </c>
      <c r="B140" s="563" t="e">
        <f>B97</f>
        <v>#N/A</v>
      </c>
      <c r="C140" s="6"/>
      <c r="D140" s="47" t="s">
        <v>45</v>
      </c>
      <c r="E140" s="348" t="s">
        <v>1681</v>
      </c>
      <c r="F140" s="505"/>
      <c r="G140" s="764"/>
    </row>
    <row r="141" spans="1:7" x14ac:dyDescent="0.2">
      <c r="A141" s="47" t="s">
        <v>1424</v>
      </c>
      <c r="B141" s="563" t="e">
        <f>B102</f>
        <v>#N/A</v>
      </c>
      <c r="C141" s="6"/>
      <c r="D141" s="47" t="s">
        <v>47</v>
      </c>
      <c r="E141" s="348" t="s">
        <v>1682</v>
      </c>
      <c r="F141" s="505"/>
      <c r="G141" s="764"/>
    </row>
    <row r="142" spans="1:7" x14ac:dyDescent="0.2">
      <c r="A142" s="47" t="s">
        <v>1424</v>
      </c>
      <c r="B142" s="563" t="e">
        <f>B108</f>
        <v>#N/A</v>
      </c>
      <c r="C142" s="6"/>
      <c r="D142" s="47" t="s">
        <v>48</v>
      </c>
      <c r="E142" s="348" t="s">
        <v>1683</v>
      </c>
      <c r="F142" s="505"/>
      <c r="G142" s="764"/>
    </row>
    <row r="143" spans="1:7" x14ac:dyDescent="0.2">
      <c r="A143" s="47" t="s">
        <v>1424</v>
      </c>
      <c r="B143" s="563" t="e">
        <f>B111</f>
        <v>#N/A</v>
      </c>
      <c r="C143" s="6"/>
      <c r="D143" s="47" t="s">
        <v>49</v>
      </c>
      <c r="E143" s="348" t="s">
        <v>1684</v>
      </c>
      <c r="F143" s="505"/>
      <c r="G143" s="764"/>
    </row>
    <row r="144" spans="1:7" x14ac:dyDescent="0.2">
      <c r="A144" s="47" t="s">
        <v>1424</v>
      </c>
      <c r="B144" s="563" t="e">
        <f>B114</f>
        <v>#N/A</v>
      </c>
      <c r="C144" s="6"/>
      <c r="D144" s="47" t="s">
        <v>50</v>
      </c>
      <c r="E144" s="348" t="s">
        <v>1685</v>
      </c>
      <c r="F144" s="505"/>
      <c r="G144" s="764"/>
    </row>
    <row r="145" spans="1:7" x14ac:dyDescent="0.2">
      <c r="A145" s="47" t="s">
        <v>1424</v>
      </c>
      <c r="B145" s="563" t="e">
        <f>B122</f>
        <v>#N/A</v>
      </c>
      <c r="C145" s="6"/>
      <c r="D145" s="47" t="s">
        <v>53</v>
      </c>
      <c r="E145" s="348" t="s">
        <v>1686</v>
      </c>
      <c r="F145" s="505"/>
      <c r="G145" s="764"/>
    </row>
    <row r="146" spans="1:7" x14ac:dyDescent="0.2">
      <c r="A146" s="47" t="s">
        <v>1424</v>
      </c>
      <c r="B146" s="563" t="e">
        <f>B130</f>
        <v>#N/A</v>
      </c>
      <c r="C146" s="6"/>
      <c r="D146" s="47" t="s">
        <v>1369</v>
      </c>
      <c r="E146" s="348" t="s">
        <v>1687</v>
      </c>
      <c r="F146" s="505"/>
      <c r="G146" s="764"/>
    </row>
    <row r="147" spans="1:7" x14ac:dyDescent="0.2">
      <c r="A147" s="47" t="s">
        <v>1451</v>
      </c>
      <c r="B147" s="563" t="e">
        <f>INDEX(SNAME[],MATCH($D$2,SNAME[DIST],0),MATCH($G147,SNAME[#Headers],0))</f>
        <v>#N/A</v>
      </c>
      <c r="C147" s="6"/>
      <c r="D147" s="47" t="s">
        <v>1317</v>
      </c>
      <c r="E147" s="348" t="s">
        <v>1368</v>
      </c>
      <c r="F147" s="505"/>
      <c r="G147" s="764" t="str">
        <f>SNAME[[#Headers],[line 5.16 x300]]</f>
        <v>line 5.16 x300</v>
      </c>
    </row>
    <row r="148" spans="1:7" x14ac:dyDescent="0.2">
      <c r="A148" s="47" t="s">
        <v>1424</v>
      </c>
      <c r="B148" s="826">
        <f>InputsResults!B41</f>
        <v>0</v>
      </c>
      <c r="C148" s="6"/>
      <c r="D148" s="47" t="s">
        <v>1318</v>
      </c>
      <c r="E148" s="572" t="str">
        <f>CONCATENATE(DoM!$C$6," SBRC Modified Supplemental Amount - Dropout")</f>
        <v>FY18 SBRC Modified Supplemental Amount - Dropout</v>
      </c>
      <c r="F148" s="505"/>
      <c r="G148" s="764"/>
    </row>
    <row r="149" spans="1:7" x14ac:dyDescent="0.2">
      <c r="A149" s="47" t="s">
        <v>1424</v>
      </c>
      <c r="B149" s="563" t="e">
        <f>B8</f>
        <v>#N/A</v>
      </c>
      <c r="C149" s="6"/>
      <c r="D149" s="47" t="s">
        <v>1319</v>
      </c>
      <c r="E149" s="348" t="s">
        <v>51</v>
      </c>
      <c r="F149" s="505"/>
      <c r="G149" s="764"/>
    </row>
    <row r="150" spans="1:7" x14ac:dyDescent="0.2">
      <c r="A150" s="47" t="s">
        <v>1416</v>
      </c>
      <c r="B150" s="563" t="e">
        <f>SUM(B132:B146)+SUM(B148:B149)-B147</f>
        <v>#N/A</v>
      </c>
      <c r="C150" s="6"/>
      <c r="D150" s="47" t="s">
        <v>1679</v>
      </c>
      <c r="E150" s="348" t="s">
        <v>54</v>
      </c>
      <c r="F150" s="505"/>
      <c r="G150" s="764"/>
    </row>
    <row r="151" spans="1:7" x14ac:dyDescent="0.2">
      <c r="A151" s="27"/>
      <c r="B151" s="814"/>
      <c r="E151" s="82" t="s">
        <v>55</v>
      </c>
      <c r="F151" s="82"/>
      <c r="G151" s="775"/>
    </row>
    <row r="152" spans="1:7" x14ac:dyDescent="0.2">
      <c r="A152" s="6"/>
      <c r="B152" s="827">
        <f>TaxCert!C52</f>
        <v>0</v>
      </c>
      <c r="C152" s="6"/>
      <c r="D152" s="47" t="s">
        <v>56</v>
      </c>
      <c r="E152" s="569" t="str">
        <f>CONCATENATE(DoM!$B$6-2," Taxable Valuation with Gas &amp; Electric Utilities (Enter on InputsResults tab)")</f>
        <v>2016 Taxable Valuation with Gas &amp; Electric Utilities (Enter on InputsResults tab)</v>
      </c>
      <c r="F152" s="115"/>
      <c r="G152" s="764"/>
    </row>
    <row r="153" spans="1:7" x14ac:dyDescent="0.2">
      <c r="A153" s="47" t="s">
        <v>1414</v>
      </c>
      <c r="B153" s="570" t="e">
        <f>INDEX(SNAME[],MATCH($D$2,SNAME[DIST],0),MATCH($G153,SNAME[#Headers],0))</f>
        <v>#N/A</v>
      </c>
      <c r="C153" s="6"/>
      <c r="D153" s="47" t="s">
        <v>57</v>
      </c>
      <c r="E153" s="47" t="s">
        <v>58</v>
      </c>
      <c r="F153" s="115"/>
      <c r="G153" s="764" t="str">
        <f>SNAME[[#Headers],[line 6.2]]</f>
        <v>line 6.2</v>
      </c>
    </row>
    <row r="154" spans="1:7" x14ac:dyDescent="0.2">
      <c r="A154" s="47" t="s">
        <v>1416</v>
      </c>
      <c r="B154" s="563" t="e">
        <f>ROUND((B152/1000)*B153,0)</f>
        <v>#N/A</v>
      </c>
      <c r="C154" s="6"/>
      <c r="D154" s="47" t="s">
        <v>59</v>
      </c>
      <c r="E154" s="47" t="s">
        <v>1624</v>
      </c>
      <c r="F154" s="115"/>
      <c r="G154" s="764"/>
    </row>
    <row r="155" spans="1:7" x14ac:dyDescent="0.2">
      <c r="A155" s="115"/>
      <c r="B155" s="828"/>
      <c r="C155" s="13"/>
      <c r="D155" s="115"/>
      <c r="E155" s="82" t="s">
        <v>1754</v>
      </c>
      <c r="F155" s="82"/>
      <c r="G155" s="775"/>
    </row>
    <row r="156" spans="1:7" x14ac:dyDescent="0.2">
      <c r="A156" s="47"/>
      <c r="B156" s="563" t="e">
        <f>INDEX(SNAME[],MATCH($D$2,SNAME[DIST],0),MATCH($G156,SNAME[#Headers],0))</f>
        <v>#N/A</v>
      </c>
      <c r="C156" s="6"/>
      <c r="D156" s="47" t="s">
        <v>60</v>
      </c>
      <c r="E156" s="569" t="str">
        <f>CONCATENATE("Uniform Levy Utility Replacement Paid ",DoM!$C$5)</f>
        <v>Uniform Levy Utility Replacement Paid FY17</v>
      </c>
      <c r="F156" s="115"/>
      <c r="G156" s="764" t="str">
        <f>SNAME[[#Headers],[line 6.4 x386]]</f>
        <v>line 6.4 x386</v>
      </c>
    </row>
    <row r="157" spans="1:7" x14ac:dyDescent="0.2">
      <c r="A157" s="47" t="s">
        <v>1451</v>
      </c>
      <c r="B157" s="563" t="e">
        <f>INDEX(SNAME[],MATCH($D$2,SNAME[DIST],0),MATCH($G157,SNAME[#Headers],0))</f>
        <v>#N/A</v>
      </c>
      <c r="C157" s="6"/>
      <c r="D157" s="47" t="s">
        <v>61</v>
      </c>
      <c r="E157" s="569" t="str">
        <f>CONCATENATE("UniformLevyUtilityReplacementBudgeted ",DoM!$C$5)</f>
        <v>UniformLevyUtilityReplacementBudgeted FY17</v>
      </c>
      <c r="F157" s="115"/>
      <c r="G157" s="764" t="str">
        <f>SNAME[[#Headers],[line 6.5 x387]]</f>
        <v>line 6.5 x387</v>
      </c>
    </row>
    <row r="158" spans="1:7" x14ac:dyDescent="0.2">
      <c r="A158" s="47" t="s">
        <v>1416</v>
      </c>
      <c r="B158" s="563" t="e">
        <f>B156-B157</f>
        <v>#N/A</v>
      </c>
      <c r="C158" s="6"/>
      <c r="D158" s="47" t="s">
        <v>62</v>
      </c>
      <c r="E158" s="569" t="s">
        <v>65</v>
      </c>
      <c r="F158" s="115"/>
      <c r="G158" s="764"/>
    </row>
    <row r="159" spans="1:7" x14ac:dyDescent="0.2">
      <c r="A159" s="47" t="s">
        <v>1424</v>
      </c>
      <c r="B159" s="563" t="e">
        <f>B154</f>
        <v>#N/A</v>
      </c>
      <c r="C159" s="6"/>
      <c r="D159" s="47" t="s">
        <v>63</v>
      </c>
      <c r="E159" s="47" t="s">
        <v>1688</v>
      </c>
      <c r="F159" s="115"/>
      <c r="G159" s="764"/>
    </row>
    <row r="160" spans="1:7" x14ac:dyDescent="0.2">
      <c r="A160" s="47" t="s">
        <v>1416</v>
      </c>
      <c r="B160" s="563" t="e">
        <f>SUM(B158:B159)</f>
        <v>#N/A</v>
      </c>
      <c r="C160" s="6"/>
      <c r="D160" s="47" t="s">
        <v>64</v>
      </c>
      <c r="E160" s="47" t="s">
        <v>917</v>
      </c>
      <c r="F160" s="115"/>
      <c r="G160" s="764"/>
    </row>
    <row r="161" spans="1:15" x14ac:dyDescent="0.2">
      <c r="A161" s="27"/>
      <c r="B161" s="814"/>
      <c r="E161" s="82" t="s">
        <v>1755</v>
      </c>
      <c r="F161" s="82"/>
      <c r="G161" s="775"/>
    </row>
    <row r="162" spans="1:15" s="447" customFormat="1" x14ac:dyDescent="0.2">
      <c r="A162" s="348"/>
      <c r="B162" s="821">
        <f>InputsResults!$E$23</f>
        <v>0</v>
      </c>
      <c r="C162" s="348"/>
      <c r="D162" s="348" t="s">
        <v>1546</v>
      </c>
      <c r="E162" s="572" t="str">
        <f>CONCATENATE(DoM!$B$6-2," Commercial &amp; Industrial 100% Valuation")</f>
        <v>2016 Commercial &amp; Industrial 100% Valuation</v>
      </c>
      <c r="F162" s="505"/>
      <c r="G162" s="764"/>
      <c r="H162" s="446"/>
      <c r="I162" s="446"/>
      <c r="J162" s="446"/>
      <c r="K162" s="446"/>
      <c r="L162" s="446"/>
      <c r="M162" s="446"/>
      <c r="N162" s="446"/>
      <c r="O162" s="446"/>
    </row>
    <row r="163" spans="1:15" s="447" customFormat="1" x14ac:dyDescent="0.2">
      <c r="A163" s="448" t="s">
        <v>1451</v>
      </c>
      <c r="B163" s="821">
        <f>InputsResults!$E$15</f>
        <v>0</v>
      </c>
      <c r="C163" s="448"/>
      <c r="D163" s="348" t="s">
        <v>1547</v>
      </c>
      <c r="E163" s="572" t="str">
        <f>CONCATENATE(DoM!$B$6-2," Commercial &amp; Industrial Taxable Valuation (90% Rollback)")</f>
        <v>2016 Commercial &amp; Industrial Taxable Valuation (90% Rollback)</v>
      </c>
      <c r="F163" s="505"/>
      <c r="G163" s="764"/>
      <c r="H163" s="446"/>
      <c r="I163" s="446"/>
      <c r="J163" s="446"/>
      <c r="K163" s="446"/>
      <c r="L163" s="446"/>
      <c r="M163" s="446"/>
      <c r="N163" s="446"/>
      <c r="O163" s="446"/>
    </row>
    <row r="164" spans="1:15" s="447" customFormat="1" x14ac:dyDescent="0.2">
      <c r="A164" s="348" t="s">
        <v>1416</v>
      </c>
      <c r="B164" s="821">
        <f>B162-B163</f>
        <v>0</v>
      </c>
      <c r="C164" s="448"/>
      <c r="D164" s="348" t="s">
        <v>1548</v>
      </c>
      <c r="E164" s="572" t="str">
        <f>CONCATENATE(DoM!$B$6-2," Commercial &amp; Industrial Valuation Reduction")</f>
        <v>2016 Commercial &amp; Industrial Valuation Reduction</v>
      </c>
      <c r="F164" s="505"/>
      <c r="G164" s="764"/>
      <c r="H164" s="446"/>
      <c r="I164" s="446"/>
      <c r="J164" s="446"/>
      <c r="K164" s="446"/>
      <c r="L164" s="446"/>
      <c r="M164" s="446"/>
      <c r="N164" s="446"/>
      <c r="O164" s="446"/>
    </row>
    <row r="165" spans="1:15" s="447" customFormat="1" x14ac:dyDescent="0.2">
      <c r="A165" s="348" t="s">
        <v>1414</v>
      </c>
      <c r="B165" s="829" t="e">
        <f>B153</f>
        <v>#N/A</v>
      </c>
      <c r="C165" s="448"/>
      <c r="D165" s="348" t="s">
        <v>1549</v>
      </c>
      <c r="E165" s="348" t="s">
        <v>1550</v>
      </c>
      <c r="F165" s="505"/>
      <c r="G165" s="764"/>
      <c r="H165" s="446"/>
      <c r="I165" s="446"/>
      <c r="J165" s="446"/>
      <c r="K165" s="446"/>
      <c r="L165" s="446"/>
      <c r="M165" s="446"/>
      <c r="N165" s="446"/>
      <c r="O165" s="446"/>
    </row>
    <row r="166" spans="1:15" s="447" customFormat="1" x14ac:dyDescent="0.2">
      <c r="A166" s="348" t="s">
        <v>1416</v>
      </c>
      <c r="B166" s="821" t="e">
        <f>ROUND((B164/1000)*B165,0)</f>
        <v>#N/A</v>
      </c>
      <c r="C166" s="348"/>
      <c r="D166" s="348" t="s">
        <v>1551</v>
      </c>
      <c r="E166" s="348" t="s">
        <v>1741</v>
      </c>
      <c r="F166" s="505"/>
      <c r="G166" s="764"/>
      <c r="H166" s="446"/>
      <c r="I166" s="446"/>
      <c r="J166" s="446"/>
      <c r="K166" s="446"/>
      <c r="L166" s="446"/>
      <c r="M166" s="446"/>
      <c r="N166" s="446"/>
      <c r="O166" s="446"/>
    </row>
    <row r="167" spans="1:15" s="447" customFormat="1" x14ac:dyDescent="0.2">
      <c r="A167" s="448"/>
      <c r="B167" s="563" t="e">
        <f>INDEX(SNAME[],MATCH($D$2,SNAME[DIST],0),MATCH($G167,SNAME[#Headers],0))</f>
        <v>#N/A</v>
      </c>
      <c r="C167" s="448"/>
      <c r="D167" s="348" t="s">
        <v>1552</v>
      </c>
      <c r="E167" s="348" t="s">
        <v>1689</v>
      </c>
      <c r="F167" s="505"/>
      <c r="G167" s="764" t="str">
        <f>SNAME[[#Headers],[line 6.14 x600]]</f>
        <v>line 6.14 x600</v>
      </c>
      <c r="H167" s="446"/>
      <c r="I167" s="446"/>
      <c r="J167" s="446"/>
      <c r="K167" s="446"/>
      <c r="L167" s="446"/>
      <c r="M167" s="446"/>
      <c r="N167" s="446"/>
      <c r="O167" s="446"/>
    </row>
    <row r="168" spans="1:15" s="447" customFormat="1" x14ac:dyDescent="0.2">
      <c r="A168" s="448" t="s">
        <v>1451</v>
      </c>
      <c r="B168" s="563" t="e">
        <f>INDEX(SNAME[],MATCH($D$2,SNAME[DIST],0),MATCH($G168,SNAME[#Headers],0))</f>
        <v>#N/A</v>
      </c>
      <c r="C168" s="448"/>
      <c r="D168" s="348" t="s">
        <v>1553</v>
      </c>
      <c r="E168" s="572" t="str">
        <f>CONCATENATE("Previous Year Uniform Levy C&amp;I State Replacement Budgeted (Line 6.13 - ",DoM!$C$5," Aid &amp; Levy)")</f>
        <v>Previous Year Uniform Levy C&amp;I State Replacement Budgeted (Line 6.13 - FY17 Aid &amp; Levy)</v>
      </c>
      <c r="F168" s="505"/>
      <c r="G168" s="764" t="str">
        <f>SNAME[[#Headers],[line 6.15 x601]]</f>
        <v>line 6.15 x601</v>
      </c>
      <c r="H168" s="446"/>
      <c r="I168" s="446"/>
      <c r="J168" s="446"/>
      <c r="K168" s="446"/>
      <c r="L168" s="446"/>
      <c r="M168" s="446"/>
      <c r="N168" s="446"/>
      <c r="O168" s="446"/>
    </row>
    <row r="169" spans="1:15" s="447" customFormat="1" x14ac:dyDescent="0.2">
      <c r="A169" s="348" t="s">
        <v>1416</v>
      </c>
      <c r="B169" s="821" t="e">
        <f>B167-B168</f>
        <v>#N/A</v>
      </c>
      <c r="C169" s="348"/>
      <c r="D169" s="348" t="s">
        <v>1554</v>
      </c>
      <c r="E169" s="348" t="s">
        <v>1690</v>
      </c>
      <c r="F169" s="505"/>
      <c r="G169" s="764"/>
      <c r="H169" s="446"/>
      <c r="I169" s="446"/>
      <c r="J169" s="446"/>
      <c r="K169" s="446"/>
      <c r="L169" s="446"/>
      <c r="M169" s="446"/>
      <c r="N169" s="446"/>
      <c r="O169" s="446"/>
    </row>
    <row r="170" spans="1:15" s="447" customFormat="1" x14ac:dyDescent="0.2">
      <c r="A170" s="348" t="s">
        <v>1424</v>
      </c>
      <c r="B170" s="821" t="e">
        <f>B166</f>
        <v>#N/A</v>
      </c>
      <c r="C170" s="348"/>
      <c r="D170" s="348" t="s">
        <v>1555</v>
      </c>
      <c r="E170" s="348" t="s">
        <v>1742</v>
      </c>
      <c r="F170" s="505"/>
      <c r="G170" s="764"/>
      <c r="H170" s="446"/>
      <c r="I170" s="446"/>
      <c r="J170" s="446"/>
      <c r="K170" s="446"/>
      <c r="L170" s="446"/>
      <c r="M170" s="446"/>
      <c r="N170" s="446"/>
      <c r="O170" s="446"/>
    </row>
    <row r="171" spans="1:15" s="447" customFormat="1" x14ac:dyDescent="0.2">
      <c r="A171" s="348" t="s">
        <v>1416</v>
      </c>
      <c r="B171" s="821" t="e">
        <f>B169+B170</f>
        <v>#N/A</v>
      </c>
      <c r="C171" s="348"/>
      <c r="D171" s="348" t="s">
        <v>1556</v>
      </c>
      <c r="E171" s="348" t="s">
        <v>1691</v>
      </c>
      <c r="F171" s="505"/>
      <c r="G171" s="764"/>
      <c r="H171" s="446"/>
      <c r="I171" s="446"/>
      <c r="J171" s="446"/>
      <c r="K171" s="446"/>
      <c r="L171" s="446"/>
      <c r="M171" s="446"/>
      <c r="N171" s="446"/>
      <c r="O171" s="446"/>
    </row>
    <row r="172" spans="1:15" s="447" customFormat="1" x14ac:dyDescent="0.2">
      <c r="A172" s="348" t="s">
        <v>1424</v>
      </c>
      <c r="B172" s="821" t="e">
        <f>B160</f>
        <v>#N/A</v>
      </c>
      <c r="C172" s="348"/>
      <c r="D172" s="348" t="s">
        <v>1557</v>
      </c>
      <c r="E172" s="348" t="s">
        <v>1558</v>
      </c>
      <c r="F172" s="505"/>
      <c r="G172" s="764"/>
      <c r="H172" s="446"/>
      <c r="I172" s="446"/>
      <c r="J172" s="446"/>
      <c r="K172" s="446"/>
      <c r="L172" s="446"/>
      <c r="M172" s="446"/>
      <c r="N172" s="446"/>
      <c r="O172" s="446"/>
    </row>
    <row r="173" spans="1:15" s="447" customFormat="1" x14ac:dyDescent="0.2">
      <c r="A173" s="348" t="s">
        <v>1416</v>
      </c>
      <c r="B173" s="821" t="e">
        <f>B171+B172</f>
        <v>#N/A</v>
      </c>
      <c r="C173" s="348"/>
      <c r="D173" s="348" t="s">
        <v>1559</v>
      </c>
      <c r="E173" s="348" t="s">
        <v>1692</v>
      </c>
      <c r="F173" s="505"/>
      <c r="G173" s="764"/>
      <c r="H173" s="446"/>
      <c r="I173" s="446"/>
      <c r="J173" s="446"/>
      <c r="K173" s="446"/>
      <c r="L173" s="446"/>
      <c r="M173" s="446"/>
      <c r="N173" s="446"/>
      <c r="O173" s="446"/>
    </row>
    <row r="174" spans="1:15" x14ac:dyDescent="0.2">
      <c r="A174" s="27"/>
      <c r="B174" s="814"/>
      <c r="E174" s="82" t="s">
        <v>66</v>
      </c>
      <c r="F174" s="82"/>
      <c r="G174" s="775"/>
    </row>
    <row r="175" spans="1:15" x14ac:dyDescent="0.2">
      <c r="A175" s="6"/>
      <c r="B175" s="563">
        <f>INDEX(Constants!$A$2:$AR$60,MATCH(DoM!$B$6,Constants!$A$2:$A$60,0),MATCH($G175,Constants!$A$1:$AR$1,0))</f>
        <v>5767</v>
      </c>
      <c r="C175" s="6"/>
      <c r="D175" s="47" t="s">
        <v>67</v>
      </c>
      <c r="E175" s="348" t="s">
        <v>68</v>
      </c>
      <c r="F175" s="505"/>
      <c r="G175" s="764" t="str">
        <f>Constants!AD1</f>
        <v>RPFL_CPP</v>
      </c>
    </row>
    <row r="176" spans="1:15" x14ac:dyDescent="0.2">
      <c r="A176" s="47" t="s">
        <v>1414</v>
      </c>
      <c r="B176" s="819" t="e">
        <f>B45</f>
        <v>#N/A</v>
      </c>
      <c r="C176" s="47" t="s">
        <v>1439</v>
      </c>
      <c r="D176" s="47" t="s">
        <v>69</v>
      </c>
      <c r="E176" s="348" t="s">
        <v>1241</v>
      </c>
      <c r="F176" s="505"/>
      <c r="G176" s="764"/>
    </row>
    <row r="177" spans="1:7" x14ac:dyDescent="0.2">
      <c r="A177" s="47" t="s">
        <v>1416</v>
      </c>
      <c r="B177" s="563" t="e">
        <f>ROUND(B175*B176,0)</f>
        <v>#N/A</v>
      </c>
      <c r="C177" s="6"/>
      <c r="D177" s="47" t="s">
        <v>70</v>
      </c>
      <c r="E177" s="348" t="s">
        <v>71</v>
      </c>
      <c r="F177" s="505"/>
      <c r="G177" s="764"/>
    </row>
    <row r="178" spans="1:7" x14ac:dyDescent="0.2">
      <c r="A178" s="6"/>
      <c r="B178" s="563">
        <f>INDEX(Constants!$A$2:$AR$60,MATCH(DoM!$B$6,Constants!$A$2:$A$60,0),MATCH($G178,Constants!$A$1:$AR$1,0))</f>
        <v>5767</v>
      </c>
      <c r="C178" s="6"/>
      <c r="D178" s="47" t="s">
        <v>72</v>
      </c>
      <c r="E178" s="348" t="s">
        <v>406</v>
      </c>
      <c r="F178" s="505"/>
      <c r="G178" s="764" t="str">
        <f>Constants!AF1</f>
        <v>RPSPED_CPP</v>
      </c>
    </row>
    <row r="179" spans="1:7" x14ac:dyDescent="0.2">
      <c r="A179" s="47" t="s">
        <v>1414</v>
      </c>
      <c r="B179" s="565" t="e">
        <f>B32</f>
        <v>#N/A</v>
      </c>
      <c r="C179" s="47" t="s">
        <v>1428</v>
      </c>
      <c r="D179" s="47" t="s">
        <v>407</v>
      </c>
      <c r="E179" s="348" t="s">
        <v>1453</v>
      </c>
      <c r="F179" s="505"/>
      <c r="G179" s="764"/>
    </row>
    <row r="180" spans="1:7" x14ac:dyDescent="0.2">
      <c r="A180" s="47" t="s">
        <v>1416</v>
      </c>
      <c r="B180" s="563" t="e">
        <f>ROUND(B178*B179,0)</f>
        <v>#N/A</v>
      </c>
      <c r="C180" s="6"/>
      <c r="D180" s="47" t="s">
        <v>408</v>
      </c>
      <c r="E180" s="348" t="s">
        <v>409</v>
      </c>
      <c r="F180" s="505"/>
      <c r="G180" s="764"/>
    </row>
    <row r="181" spans="1:7" x14ac:dyDescent="0.2">
      <c r="A181" s="6"/>
      <c r="B181" s="563">
        <f>INDEX(Constants!$A$2:$AR$60,MATCH(DoM!$B$6,Constants!$A$2:$A$60,0),MATCH($G181,Constants!$A$1:$AR$1,0))</f>
        <v>229</v>
      </c>
      <c r="C181" s="6"/>
      <c r="D181" s="47" t="s">
        <v>410</v>
      </c>
      <c r="E181" s="348" t="s">
        <v>411</v>
      </c>
      <c r="F181" s="505"/>
      <c r="G181" s="764" t="str">
        <f>Constants!AH1</f>
        <v>AEASPED_CPP</v>
      </c>
    </row>
    <row r="182" spans="1:7" x14ac:dyDescent="0.2">
      <c r="A182" s="47" t="s">
        <v>1414</v>
      </c>
      <c r="B182" s="565" t="e">
        <f>B36</f>
        <v>#N/A</v>
      </c>
      <c r="C182" s="47" t="s">
        <v>1428</v>
      </c>
      <c r="D182" s="47" t="s">
        <v>412</v>
      </c>
      <c r="E182" s="348" t="s">
        <v>761</v>
      </c>
      <c r="F182" s="505"/>
      <c r="G182" s="764"/>
    </row>
    <row r="183" spans="1:7" x14ac:dyDescent="0.2">
      <c r="A183" s="47" t="s">
        <v>1416</v>
      </c>
      <c r="B183" s="563" t="e">
        <f>ROUND(B181*B182,0)</f>
        <v>#N/A</v>
      </c>
      <c r="C183" s="6"/>
      <c r="D183" s="47" t="s">
        <v>413</v>
      </c>
      <c r="E183" s="348" t="s">
        <v>992</v>
      </c>
      <c r="F183" s="505"/>
      <c r="G183" s="764"/>
    </row>
    <row r="184" spans="1:7" x14ac:dyDescent="0.2">
      <c r="A184" s="47" t="s">
        <v>1424</v>
      </c>
      <c r="B184" s="563" t="e">
        <f>B122</f>
        <v>#N/A</v>
      </c>
      <c r="C184" s="6"/>
      <c r="D184" s="47" t="s">
        <v>414</v>
      </c>
      <c r="E184" s="348" t="s">
        <v>1686</v>
      </c>
      <c r="F184" s="505"/>
      <c r="G184" s="764"/>
    </row>
    <row r="185" spans="1:7" x14ac:dyDescent="0.2">
      <c r="A185" s="47" t="s">
        <v>1424</v>
      </c>
      <c r="B185" s="563" t="e">
        <f>B130</f>
        <v>#N/A</v>
      </c>
      <c r="C185" s="6"/>
      <c r="D185" s="47" t="s">
        <v>416</v>
      </c>
      <c r="E185" s="348" t="s">
        <v>1687</v>
      </c>
      <c r="F185" s="505"/>
      <c r="G185" s="764"/>
    </row>
    <row r="186" spans="1:7" x14ac:dyDescent="0.2">
      <c r="A186" s="47" t="s">
        <v>1416</v>
      </c>
      <c r="B186" s="563" t="e">
        <f>+B183+B184+B185</f>
        <v>#N/A</v>
      </c>
      <c r="C186" s="6"/>
      <c r="D186" s="47" t="s">
        <v>418</v>
      </c>
      <c r="E186" s="348" t="s">
        <v>1320</v>
      </c>
      <c r="F186" s="505"/>
      <c r="G186" s="764"/>
    </row>
    <row r="187" spans="1:7" x14ac:dyDescent="0.2">
      <c r="A187" s="47" t="s">
        <v>1424</v>
      </c>
      <c r="B187" s="563" t="e">
        <f>B177</f>
        <v>#N/A</v>
      </c>
      <c r="C187" s="6"/>
      <c r="D187" s="47" t="s">
        <v>421</v>
      </c>
      <c r="E187" s="348" t="s">
        <v>415</v>
      </c>
      <c r="F187" s="505"/>
      <c r="G187" s="764"/>
    </row>
    <row r="188" spans="1:7" x14ac:dyDescent="0.2">
      <c r="A188" s="47" t="s">
        <v>1424</v>
      </c>
      <c r="B188" s="563" t="e">
        <f>B180</f>
        <v>#N/A</v>
      </c>
      <c r="C188" s="6"/>
      <c r="D188" s="47" t="s">
        <v>455</v>
      </c>
      <c r="E188" s="348" t="s">
        <v>417</v>
      </c>
      <c r="F188" s="505"/>
      <c r="G188" s="764"/>
    </row>
    <row r="189" spans="1:7" x14ac:dyDescent="0.2">
      <c r="A189" s="47" t="s">
        <v>1424</v>
      </c>
      <c r="B189" s="563" t="e">
        <f>B11</f>
        <v>#N/A</v>
      </c>
      <c r="C189" s="6"/>
      <c r="D189" s="47" t="s">
        <v>456</v>
      </c>
      <c r="E189" s="348" t="s">
        <v>420</v>
      </c>
      <c r="F189" s="505"/>
      <c r="G189" s="764"/>
    </row>
    <row r="190" spans="1:7" x14ac:dyDescent="0.2">
      <c r="A190" s="47" t="s">
        <v>1424</v>
      </c>
      <c r="B190" s="563" t="e">
        <f>B69</f>
        <v>#N/A</v>
      </c>
      <c r="C190" s="6"/>
      <c r="D190" s="47" t="s">
        <v>458</v>
      </c>
      <c r="E190" s="348" t="s">
        <v>1541</v>
      </c>
      <c r="F190" s="505"/>
      <c r="G190" s="764"/>
    </row>
    <row r="191" spans="1:7" x14ac:dyDescent="0.2">
      <c r="A191" s="47" t="s">
        <v>1424</v>
      </c>
      <c r="B191" s="563" t="e">
        <f>B77</f>
        <v>#N/A</v>
      </c>
      <c r="C191" s="6"/>
      <c r="D191" s="47" t="s">
        <v>459</v>
      </c>
      <c r="E191" s="348" t="s">
        <v>1543</v>
      </c>
      <c r="F191" s="505"/>
      <c r="G191" s="764"/>
    </row>
    <row r="192" spans="1:7" x14ac:dyDescent="0.2">
      <c r="A192" s="47" t="s">
        <v>1424</v>
      </c>
      <c r="B192" s="563" t="e">
        <f>B85</f>
        <v>#N/A</v>
      </c>
      <c r="C192" s="6"/>
      <c r="D192" s="47" t="s">
        <v>461</v>
      </c>
      <c r="E192" s="348" t="s">
        <v>1545</v>
      </c>
      <c r="F192" s="505"/>
      <c r="G192" s="764"/>
    </row>
    <row r="193" spans="1:7" x14ac:dyDescent="0.2">
      <c r="A193" s="47" t="s">
        <v>1424</v>
      </c>
      <c r="B193" s="563" t="e">
        <f>B93</f>
        <v>#N/A</v>
      </c>
      <c r="C193" s="6"/>
      <c r="D193" s="47" t="s">
        <v>463</v>
      </c>
      <c r="E193" s="348" t="s">
        <v>1680</v>
      </c>
      <c r="F193" s="505"/>
      <c r="G193" s="764"/>
    </row>
    <row r="194" spans="1:7" x14ac:dyDescent="0.2">
      <c r="A194" s="47" t="s">
        <v>1416</v>
      </c>
      <c r="B194" s="563" t="e">
        <f>SUM(B186:B193)</f>
        <v>#N/A</v>
      </c>
      <c r="C194" s="6"/>
      <c r="D194" s="47" t="s">
        <v>464</v>
      </c>
      <c r="E194" s="348" t="s">
        <v>454</v>
      </c>
      <c r="F194" s="505"/>
      <c r="G194" s="764"/>
    </row>
    <row r="195" spans="1:7" x14ac:dyDescent="0.2">
      <c r="A195" s="47" t="s">
        <v>1451</v>
      </c>
      <c r="B195" s="563" t="e">
        <f>B173</f>
        <v>#N/A</v>
      </c>
      <c r="C195" s="6"/>
      <c r="D195" s="47" t="s">
        <v>1370</v>
      </c>
      <c r="E195" s="348" t="s">
        <v>1693</v>
      </c>
      <c r="F195" s="505"/>
      <c r="G195" s="764"/>
    </row>
    <row r="196" spans="1:7" x14ac:dyDescent="0.2">
      <c r="A196" s="47" t="s">
        <v>1416</v>
      </c>
      <c r="B196" s="563" t="e">
        <f>B194-B195</f>
        <v>#N/A</v>
      </c>
      <c r="C196" s="6"/>
      <c r="D196" s="47" t="s">
        <v>1371</v>
      </c>
      <c r="E196" s="348" t="s">
        <v>457</v>
      </c>
      <c r="F196" s="505"/>
      <c r="G196" s="764"/>
    </row>
    <row r="197" spans="1:7" x14ac:dyDescent="0.2">
      <c r="A197" s="6"/>
      <c r="B197" s="819" t="e">
        <f>B43</f>
        <v>#N/A</v>
      </c>
      <c r="C197" s="47" t="s">
        <v>1439</v>
      </c>
      <c r="D197" s="47" t="s">
        <v>1372</v>
      </c>
      <c r="E197" s="348" t="s">
        <v>1242</v>
      </c>
      <c r="F197" s="505"/>
      <c r="G197" s="764"/>
    </row>
    <row r="198" spans="1:7" x14ac:dyDescent="0.2">
      <c r="A198" s="47" t="s">
        <v>1414</v>
      </c>
      <c r="B198" s="563">
        <v>300</v>
      </c>
      <c r="C198" s="6"/>
      <c r="D198" s="47" t="s">
        <v>1321</v>
      </c>
      <c r="E198" s="348" t="s">
        <v>460</v>
      </c>
      <c r="F198" s="505"/>
      <c r="G198" s="764"/>
    </row>
    <row r="199" spans="1:7" x14ac:dyDescent="0.2">
      <c r="A199" s="47" t="s">
        <v>1416</v>
      </c>
      <c r="B199" s="563" t="e">
        <f>ROUND(B197*B198,0)</f>
        <v>#N/A</v>
      </c>
      <c r="C199" s="6"/>
      <c r="D199" s="47" t="s">
        <v>1322</v>
      </c>
      <c r="E199" s="348" t="s">
        <v>462</v>
      </c>
      <c r="F199" s="505"/>
      <c r="G199" s="764"/>
    </row>
    <row r="200" spans="1:7" x14ac:dyDescent="0.2">
      <c r="A200" s="47" t="s">
        <v>1451</v>
      </c>
      <c r="B200" s="563" t="e">
        <f>B196</f>
        <v>#N/A</v>
      </c>
      <c r="C200" s="6"/>
      <c r="D200" s="47" t="s">
        <v>1323</v>
      </c>
      <c r="E200" s="348" t="s">
        <v>1694</v>
      </c>
      <c r="F200" s="505"/>
      <c r="G200" s="764"/>
    </row>
    <row r="201" spans="1:7" x14ac:dyDescent="0.2">
      <c r="A201" s="47" t="s">
        <v>1416</v>
      </c>
      <c r="B201" s="563" t="e">
        <f>MAX(B199-B200,0)</f>
        <v>#N/A</v>
      </c>
      <c r="C201" s="6"/>
      <c r="D201" s="47" t="s">
        <v>1330</v>
      </c>
      <c r="E201" s="348" t="s">
        <v>465</v>
      </c>
      <c r="F201" s="505"/>
      <c r="G201" s="764"/>
    </row>
    <row r="202" spans="1:7" x14ac:dyDescent="0.2">
      <c r="A202" s="27"/>
      <c r="B202" s="814"/>
      <c r="E202" s="82" t="s">
        <v>1373</v>
      </c>
      <c r="F202" s="82"/>
      <c r="G202" s="775"/>
    </row>
    <row r="203" spans="1:7" x14ac:dyDescent="0.2">
      <c r="A203" s="47"/>
      <c r="B203" s="830" t="e">
        <f>INDEX(SNAME[],MATCH($D$2,SNAME[DIST],0),MATCH($G203,SNAME[#Headers],0))</f>
        <v>#N/A</v>
      </c>
      <c r="C203" s="47" t="s">
        <v>1411</v>
      </c>
      <c r="D203" s="47" t="s">
        <v>1331</v>
      </c>
      <c r="E203" s="348" t="s">
        <v>1491</v>
      </c>
      <c r="F203" s="505"/>
      <c r="G203" s="764" t="str">
        <f>SNAME[[#Headers],[line 7.28 x251]]</f>
        <v>line 7.28 x251</v>
      </c>
    </row>
    <row r="204" spans="1:7" x14ac:dyDescent="0.2">
      <c r="A204" s="47" t="s">
        <v>1414</v>
      </c>
      <c r="B204" s="563">
        <f>INDEX(Constants!$A$2:$AR$60,MATCH(DoM!$B$6,Constants!$A$2:$A$60,0),MATCH($G204,Constants!$A$1:$AR$1,0))</f>
        <v>6591</v>
      </c>
      <c r="C204" s="6"/>
      <c r="D204" s="47" t="s">
        <v>1332</v>
      </c>
      <c r="E204" s="572" t="str">
        <f>CONCATENATE(DoM!$C$6," Regular Program State Cost Per Pupil")</f>
        <v>FY18 Regular Program State Cost Per Pupil</v>
      </c>
      <c r="F204" s="505"/>
      <c r="G204" s="764" t="str">
        <f>Constants!$E$1</f>
        <v>SCPP</v>
      </c>
    </row>
    <row r="205" spans="1:7" x14ac:dyDescent="0.2">
      <c r="A205" s="47" t="s">
        <v>1416</v>
      </c>
      <c r="B205" s="563" t="e">
        <f>ROUND(B203*B204,0)</f>
        <v>#N/A</v>
      </c>
      <c r="C205" s="6"/>
      <c r="D205" s="47" t="s">
        <v>1209</v>
      </c>
      <c r="E205" s="572" t="s">
        <v>1374</v>
      </c>
      <c r="F205" s="505"/>
      <c r="G205" s="764"/>
    </row>
    <row r="206" spans="1:7" x14ac:dyDescent="0.2">
      <c r="A206" s="47"/>
      <c r="B206" s="831">
        <f>InputsResults!$B$43</f>
        <v>0</v>
      </c>
      <c r="C206" s="6"/>
      <c r="D206" s="47" t="s">
        <v>1210</v>
      </c>
      <c r="E206" s="572" t="s">
        <v>1751</v>
      </c>
      <c r="F206" s="505"/>
      <c r="G206" s="764"/>
    </row>
    <row r="207" spans="1:7" x14ac:dyDescent="0.2">
      <c r="A207" s="47" t="s">
        <v>1414</v>
      </c>
      <c r="B207" s="563">
        <f>INDEX(Constants!$A$2:$AR$60,MATCH(DoM!$B$5,Constants!$A$2:$A$60,0),MATCH($G207,Constants!$A$1:$AR$1,0))</f>
        <v>6591</v>
      </c>
      <c r="C207" s="6"/>
      <c r="D207" s="47" t="s">
        <v>1211</v>
      </c>
      <c r="E207" s="572" t="str">
        <f>CONCATENATE(DoM!$C$5," Regular Program State Cost Per Pupil")</f>
        <v>FY17 Regular Program State Cost Per Pupil</v>
      </c>
      <c r="F207" s="505"/>
      <c r="G207" s="764" t="str">
        <f>Constants!$E$1</f>
        <v>SCPP</v>
      </c>
    </row>
    <row r="208" spans="1:7" x14ac:dyDescent="0.2">
      <c r="A208" s="47" t="s">
        <v>1416</v>
      </c>
      <c r="B208" s="563">
        <f>ROUND(B206*B207,0)</f>
        <v>0</v>
      </c>
      <c r="C208" s="6"/>
      <c r="D208" s="47" t="s">
        <v>1212</v>
      </c>
      <c r="E208" s="572" t="s">
        <v>1214</v>
      </c>
      <c r="F208" s="505"/>
      <c r="G208" s="764"/>
    </row>
    <row r="209" spans="1:7" x14ac:dyDescent="0.2">
      <c r="A209" s="47" t="s">
        <v>1424</v>
      </c>
      <c r="B209" s="563" t="e">
        <f>B205</f>
        <v>#N/A</v>
      </c>
      <c r="C209" s="6"/>
      <c r="D209" s="47" t="s">
        <v>1213</v>
      </c>
      <c r="E209" s="348" t="s">
        <v>1696</v>
      </c>
      <c r="F209" s="505"/>
      <c r="G209" s="764"/>
    </row>
    <row r="210" spans="1:7" x14ac:dyDescent="0.2">
      <c r="A210" s="47" t="s">
        <v>1416</v>
      </c>
      <c r="B210" s="563" t="e">
        <f>SUM(B208:B209)</f>
        <v>#N/A</v>
      </c>
      <c r="C210" s="6"/>
      <c r="D210" s="47" t="s">
        <v>1695</v>
      </c>
      <c r="E210" s="348" t="s">
        <v>1215</v>
      </c>
      <c r="F210" s="505"/>
      <c r="G210" s="764"/>
    </row>
    <row r="211" spans="1:7" x14ac:dyDescent="0.2">
      <c r="A211" s="27"/>
      <c r="B211" s="814"/>
      <c r="E211" s="82" t="s">
        <v>1062</v>
      </c>
      <c r="F211" s="82"/>
      <c r="G211" s="775"/>
    </row>
    <row r="212" spans="1:7" x14ac:dyDescent="0.2">
      <c r="A212" s="6"/>
      <c r="B212" s="563" t="e">
        <f>B150</f>
        <v>#N/A</v>
      </c>
      <c r="C212" s="6"/>
      <c r="D212" s="47" t="s">
        <v>466</v>
      </c>
      <c r="E212" s="348" t="s">
        <v>1697</v>
      </c>
      <c r="F212" s="505"/>
      <c r="G212" s="764"/>
    </row>
    <row r="213" spans="1:7" x14ac:dyDescent="0.2">
      <c r="A213" s="47" t="s">
        <v>1451</v>
      </c>
      <c r="B213" s="563" t="e">
        <f>B194</f>
        <v>#N/A</v>
      </c>
      <c r="C213" s="6"/>
      <c r="D213" s="47" t="s">
        <v>467</v>
      </c>
      <c r="E213" s="348" t="s">
        <v>1698</v>
      </c>
      <c r="F213" s="505"/>
      <c r="G213" s="764"/>
    </row>
    <row r="214" spans="1:7" x14ac:dyDescent="0.2">
      <c r="A214" s="47" t="s">
        <v>1451</v>
      </c>
      <c r="B214" s="563" t="e">
        <f>B201</f>
        <v>#N/A</v>
      </c>
      <c r="C214" s="6"/>
      <c r="D214" s="47" t="s">
        <v>469</v>
      </c>
      <c r="E214" s="348" t="s">
        <v>1699</v>
      </c>
      <c r="F214" s="505"/>
      <c r="G214" s="764"/>
    </row>
    <row r="215" spans="1:7" x14ac:dyDescent="0.2">
      <c r="A215" s="47" t="s">
        <v>1416</v>
      </c>
      <c r="B215" s="563" t="e">
        <f>B212-B213-B214</f>
        <v>#N/A</v>
      </c>
      <c r="C215" s="6"/>
      <c r="D215" s="47" t="s">
        <v>470</v>
      </c>
      <c r="E215" s="348" t="s">
        <v>471</v>
      </c>
      <c r="F215" s="505"/>
      <c r="G215" s="764"/>
    </row>
    <row r="216" spans="1:7" x14ac:dyDescent="0.2">
      <c r="A216" s="27"/>
      <c r="B216" s="814"/>
      <c r="E216" s="82" t="s">
        <v>1063</v>
      </c>
      <c r="F216" s="82"/>
      <c r="G216" s="775"/>
    </row>
    <row r="217" spans="1:7" x14ac:dyDescent="0.2">
      <c r="A217" s="6"/>
      <c r="B217" s="563">
        <f>B152</f>
        <v>0</v>
      </c>
      <c r="C217" s="6"/>
      <c r="D217" s="47" t="s">
        <v>472</v>
      </c>
      <c r="E217" s="569" t="str">
        <f>CONCATENATE(DoM!$B$6-2," Taxable Valuation with Gas &amp; Electric Utilities (Line 6.1)")</f>
        <v>2016 Taxable Valuation with Gas &amp; Electric Utilities (Line 6.1)</v>
      </c>
      <c r="F217" s="115"/>
      <c r="G217" s="764"/>
    </row>
    <row r="218" spans="1:7" x14ac:dyDescent="0.2">
      <c r="A218" s="47" t="s">
        <v>1451</v>
      </c>
      <c r="B218" s="563" t="e">
        <f>INDEX(SNAME[],MATCH($D$2,SNAME[DIST],0),MATCH($G218,SNAME[#Headers],0))</f>
        <v>#N/A</v>
      </c>
      <c r="C218" s="6"/>
      <c r="D218" s="47" t="s">
        <v>473</v>
      </c>
      <c r="E218" s="569" t="str">
        <f>CONCATENATE(DoM!$B$5-2," Taxable Valuation with Gas &amp; Electric Utilities (Line 6.1 - ",DoM!$C$5," Aid &amp; Levy)")</f>
        <v>2015 Taxable Valuation with Gas &amp; Electric Utilities (Line 6.1 - FY17 Aid &amp; Levy)</v>
      </c>
      <c r="F218" s="115"/>
      <c r="G218" s="764" t="str">
        <f>SNAME[[#Headers],[line 8.6 x335/336]]</f>
        <v>line 8.6 x335/336</v>
      </c>
    </row>
    <row r="219" spans="1:7" x14ac:dyDescent="0.2">
      <c r="A219" s="47" t="s">
        <v>1416</v>
      </c>
      <c r="B219" s="563" t="e">
        <f>MAX(B217-B218,0)</f>
        <v>#N/A</v>
      </c>
      <c r="C219" s="6"/>
      <c r="D219" s="47" t="s">
        <v>474</v>
      </c>
      <c r="E219" s="569" t="s">
        <v>475</v>
      </c>
      <c r="F219" s="115"/>
      <c r="G219" s="764"/>
    </row>
    <row r="220" spans="1:7" x14ac:dyDescent="0.2">
      <c r="A220" s="47" t="s">
        <v>476</v>
      </c>
      <c r="B220" s="563" t="e">
        <f>B218</f>
        <v>#N/A</v>
      </c>
      <c r="C220" s="6"/>
      <c r="D220" s="47" t="s">
        <v>477</v>
      </c>
      <c r="E220" s="569" t="str">
        <f>CONCATENATE(DoM!$B$5-2," Taxable Valuation with Gas &amp; Electric Utilities (Line 8.6)")</f>
        <v>2015 Taxable Valuation with Gas &amp; Electric Utilities (Line 8.6)</v>
      </c>
      <c r="F220" s="115"/>
      <c r="G220" s="764"/>
    </row>
    <row r="221" spans="1:7" x14ac:dyDescent="0.2">
      <c r="A221" s="47" t="s">
        <v>1416</v>
      </c>
      <c r="B221" s="832" t="e">
        <f>IF(B220&gt;0,ROUND(B219/B220,4),0)</f>
        <v>#N/A</v>
      </c>
      <c r="C221" s="6"/>
      <c r="D221" s="47" t="s">
        <v>478</v>
      </c>
      <c r="E221" s="569" t="s">
        <v>479</v>
      </c>
      <c r="F221" s="115"/>
      <c r="G221" s="764"/>
    </row>
    <row r="222" spans="1:7" x14ac:dyDescent="0.2">
      <c r="A222" s="47" t="s">
        <v>1414</v>
      </c>
      <c r="B222" s="563" t="e">
        <f>INDEX(SNAME[],MATCH($D$2,SNAME[DIST],0),MATCH($G222,SNAME[#Headers],0))</f>
        <v>#N/A</v>
      </c>
      <c r="C222" s="6"/>
      <c r="D222" s="47" t="s">
        <v>480</v>
      </c>
      <c r="E222" s="569" t="str">
        <f>CONCATENATE(DoM!$C$5," Property Tax Adjustment Aid (Line 8.14 - ",DoM!$C$5," Aid &amp; Levy)")</f>
        <v>FY17 Property Tax Adjustment Aid (Line 8.14 - FY17 Aid &amp; Levy)</v>
      </c>
      <c r="F222" s="115"/>
      <c r="G222" s="764" t="str">
        <f>SNAME[[#Headers],[line 8.10 x274]]</f>
        <v>line 8.10 x274</v>
      </c>
    </row>
    <row r="223" spans="1:7" x14ac:dyDescent="0.2">
      <c r="A223" s="47" t="s">
        <v>1416</v>
      </c>
      <c r="B223" s="563" t="e">
        <f>ROUND(B221*B222,0)</f>
        <v>#N/A</v>
      </c>
      <c r="C223" s="6"/>
      <c r="D223" s="47" t="s">
        <v>481</v>
      </c>
      <c r="E223" s="569" t="s">
        <v>482</v>
      </c>
      <c r="F223" s="115"/>
      <c r="G223" s="764"/>
    </row>
    <row r="224" spans="1:7" x14ac:dyDescent="0.2">
      <c r="A224" s="6"/>
      <c r="B224" s="563" t="e">
        <f>B222</f>
        <v>#N/A</v>
      </c>
      <c r="C224" s="6"/>
      <c r="D224" s="47" t="s">
        <v>483</v>
      </c>
      <c r="E224" s="569" t="str">
        <f>CONCATENATE(DoM!$C$5," Property Tax Adjustment Aid (Line 8.10)")</f>
        <v>FY17 Property Tax Adjustment Aid (Line 8.10)</v>
      </c>
      <c r="F224" s="115"/>
      <c r="G224" s="764"/>
    </row>
    <row r="225" spans="1:15" x14ac:dyDescent="0.2">
      <c r="A225" s="47" t="s">
        <v>1451</v>
      </c>
      <c r="B225" s="563" t="e">
        <f>B223</f>
        <v>#N/A</v>
      </c>
      <c r="C225" s="6"/>
      <c r="D225" s="47" t="s">
        <v>496</v>
      </c>
      <c r="E225" s="569" t="s">
        <v>497</v>
      </c>
      <c r="F225" s="115"/>
      <c r="G225" s="764"/>
    </row>
    <row r="226" spans="1:15" x14ac:dyDescent="0.2">
      <c r="A226" s="47" t="s">
        <v>1416</v>
      </c>
      <c r="B226" s="563">
        <f>IF(B217&gt;0,IF(B224-B225&lt;0,0,B224-B225),0)</f>
        <v>0</v>
      </c>
      <c r="C226" s="6"/>
      <c r="D226" s="47" t="s">
        <v>498</v>
      </c>
      <c r="E226" s="569" t="str">
        <f>CONCATENATE(DoM!$C$6," Property Tax Adjustment Aid")</f>
        <v>FY18 Property Tax Adjustment Aid</v>
      </c>
      <c r="F226" s="115"/>
      <c r="G226" s="764"/>
    </row>
    <row r="227" spans="1:15" s="447" customFormat="1" x14ac:dyDescent="0.2">
      <c r="A227" s="450"/>
      <c r="B227" s="833"/>
      <c r="C227" s="449"/>
      <c r="D227" s="450"/>
      <c r="E227" s="451" t="s">
        <v>1560</v>
      </c>
      <c r="F227" s="451"/>
      <c r="G227" s="775"/>
      <c r="H227" s="446"/>
      <c r="I227" s="446"/>
      <c r="J227" s="446"/>
      <c r="K227" s="446"/>
      <c r="L227" s="446"/>
      <c r="M227" s="446"/>
      <c r="N227" s="446"/>
      <c r="O227" s="446"/>
    </row>
    <row r="228" spans="1:15" s="447" customFormat="1" x14ac:dyDescent="0.2">
      <c r="A228" s="452"/>
      <c r="B228" s="563">
        <v>824</v>
      </c>
      <c r="C228" s="453"/>
      <c r="D228" s="452" t="s">
        <v>499</v>
      </c>
      <c r="E228" s="576" t="s">
        <v>1749</v>
      </c>
      <c r="F228" s="506"/>
      <c r="G228" s="779"/>
      <c r="H228" s="446"/>
      <c r="I228" s="446"/>
      <c r="J228" s="446"/>
      <c r="K228" s="446"/>
      <c r="L228" s="446"/>
      <c r="M228" s="446"/>
      <c r="N228" s="446"/>
      <c r="O228" s="446"/>
    </row>
    <row r="229" spans="1:15" s="447" customFormat="1" x14ac:dyDescent="0.2">
      <c r="A229" s="452" t="s">
        <v>1451</v>
      </c>
      <c r="B229" s="821">
        <v>750</v>
      </c>
      <c r="C229" s="453"/>
      <c r="D229" s="452" t="s">
        <v>501</v>
      </c>
      <c r="E229" s="348" t="s">
        <v>1753</v>
      </c>
      <c r="F229" s="505"/>
      <c r="G229" s="764"/>
      <c r="H229" s="446"/>
      <c r="I229" s="446"/>
      <c r="J229" s="446"/>
      <c r="K229" s="446"/>
      <c r="L229" s="446"/>
      <c r="M229" s="446"/>
      <c r="N229" s="446"/>
      <c r="O229" s="446"/>
    </row>
    <row r="230" spans="1:15" s="447" customFormat="1" x14ac:dyDescent="0.2">
      <c r="A230" s="452" t="s">
        <v>1416</v>
      </c>
      <c r="B230" s="821">
        <f>B228-B229</f>
        <v>74</v>
      </c>
      <c r="C230" s="453"/>
      <c r="D230" s="452" t="s">
        <v>502</v>
      </c>
      <c r="E230" s="335" t="s">
        <v>1561</v>
      </c>
      <c r="F230" s="506"/>
      <c r="G230" s="779"/>
      <c r="H230" s="446"/>
      <c r="I230" s="446"/>
      <c r="J230" s="446"/>
      <c r="K230" s="446"/>
      <c r="L230" s="446"/>
      <c r="M230" s="446"/>
      <c r="N230" s="446"/>
      <c r="O230" s="446"/>
    </row>
    <row r="231" spans="1:15" s="447" customFormat="1" x14ac:dyDescent="0.2">
      <c r="A231" s="452" t="s">
        <v>1414</v>
      </c>
      <c r="B231" s="834" t="e">
        <f>B43</f>
        <v>#N/A</v>
      </c>
      <c r="C231" s="453" t="s">
        <v>1439</v>
      </c>
      <c r="D231" s="452" t="s">
        <v>503</v>
      </c>
      <c r="E231" s="335" t="s">
        <v>1242</v>
      </c>
      <c r="F231" s="506"/>
      <c r="G231" s="779"/>
      <c r="H231" s="446"/>
      <c r="I231" s="446"/>
      <c r="J231" s="446"/>
      <c r="K231" s="446"/>
      <c r="L231" s="446"/>
      <c r="M231" s="446"/>
      <c r="N231" s="446"/>
      <c r="O231" s="446"/>
    </row>
    <row r="232" spans="1:15" s="447" customFormat="1" x14ac:dyDescent="0.2">
      <c r="A232" s="452" t="s">
        <v>1416</v>
      </c>
      <c r="B232" s="821" t="e">
        <f>ROUND(B230*B231,0)</f>
        <v>#N/A</v>
      </c>
      <c r="C232" s="453"/>
      <c r="D232" s="452" t="s">
        <v>504</v>
      </c>
      <c r="E232" s="335" t="s">
        <v>1562</v>
      </c>
      <c r="F232" s="506"/>
      <c r="G232" s="779"/>
      <c r="H232" s="446"/>
      <c r="I232" s="446"/>
      <c r="J232" s="446"/>
      <c r="K232" s="446"/>
      <c r="L232" s="446"/>
      <c r="M232" s="446"/>
      <c r="N232" s="446"/>
      <c r="O232" s="446"/>
    </row>
    <row r="233" spans="1:15" x14ac:dyDescent="0.2">
      <c r="A233" s="27"/>
      <c r="B233" s="814"/>
      <c r="E233" s="82" t="s">
        <v>1064</v>
      </c>
      <c r="F233" s="82"/>
      <c r="G233" s="775"/>
    </row>
    <row r="234" spans="1:15" x14ac:dyDescent="0.2">
      <c r="A234" s="335"/>
      <c r="B234" s="835" t="e">
        <f>B43</f>
        <v>#N/A</v>
      </c>
      <c r="C234" s="339" t="s">
        <v>1439</v>
      </c>
      <c r="D234" s="339" t="s">
        <v>505</v>
      </c>
      <c r="E234" s="576" t="s">
        <v>1242</v>
      </c>
      <c r="F234" s="506"/>
      <c r="G234" s="779"/>
    </row>
    <row r="235" spans="1:15" x14ac:dyDescent="0.2">
      <c r="A235" s="335" t="s">
        <v>1414</v>
      </c>
      <c r="B235" s="563">
        <f>INDEX(Constants!$A$2:$AR$60,MATCH(DoM!$B$6,Constants!$A$2:$A$60,0),MATCH($G235,Constants!$A$1:$AR$1,0))</f>
        <v>6591</v>
      </c>
      <c r="C235" s="339"/>
      <c r="D235" s="339" t="s">
        <v>506</v>
      </c>
      <c r="E235" s="572" t="str">
        <f>CONCATENATE(DoM!$C$6," Regular Program State Cost Per Pupil")</f>
        <v>FY18 Regular Program State Cost Per Pupil</v>
      </c>
      <c r="F235" s="505"/>
      <c r="G235" s="764" t="str">
        <f>Constants!$E$1</f>
        <v>SCPP</v>
      </c>
    </row>
    <row r="236" spans="1:15" x14ac:dyDescent="0.2">
      <c r="A236" s="335" t="s">
        <v>1414</v>
      </c>
      <c r="B236" s="836">
        <v>0.125</v>
      </c>
      <c r="C236" s="339" t="s">
        <v>1428</v>
      </c>
      <c r="D236" s="339" t="s">
        <v>574</v>
      </c>
      <c r="E236" s="576" t="s">
        <v>566</v>
      </c>
      <c r="F236" s="506"/>
      <c r="G236" s="779"/>
    </row>
    <row r="237" spans="1:15" x14ac:dyDescent="0.2">
      <c r="A237" s="335" t="s">
        <v>1416</v>
      </c>
      <c r="B237" s="821" t="e">
        <f>ROUND(B234*(ROUND(B235*B236,0)),0)</f>
        <v>#N/A</v>
      </c>
      <c r="C237" s="339"/>
      <c r="D237" s="339" t="s">
        <v>576</v>
      </c>
      <c r="E237" s="576" t="s">
        <v>567</v>
      </c>
      <c r="F237" s="506"/>
      <c r="G237" s="779"/>
    </row>
    <row r="238" spans="1:15" s="447" customFormat="1" x14ac:dyDescent="0.2">
      <c r="A238" s="452" t="s">
        <v>1451</v>
      </c>
      <c r="B238" s="821" t="e">
        <f>B232</f>
        <v>#N/A</v>
      </c>
      <c r="C238" s="453"/>
      <c r="D238" s="452" t="s">
        <v>577</v>
      </c>
      <c r="E238" s="576" t="s">
        <v>1563</v>
      </c>
      <c r="F238" s="506"/>
      <c r="G238" s="779"/>
      <c r="H238" s="446"/>
      <c r="I238" s="446"/>
      <c r="J238" s="446"/>
      <c r="K238" s="446"/>
      <c r="L238" s="446"/>
      <c r="M238" s="446"/>
      <c r="N238" s="446"/>
      <c r="O238" s="446"/>
    </row>
    <row r="239" spans="1:15" s="447" customFormat="1" x14ac:dyDescent="0.2">
      <c r="A239" s="452" t="s">
        <v>1416</v>
      </c>
      <c r="B239" s="821" t="e">
        <f>B237-B238</f>
        <v>#N/A</v>
      </c>
      <c r="C239" s="453"/>
      <c r="D239" s="454" t="s">
        <v>578</v>
      </c>
      <c r="E239" s="576" t="s">
        <v>1564</v>
      </c>
      <c r="F239" s="506"/>
      <c r="G239" s="779"/>
      <c r="H239" s="446"/>
      <c r="I239" s="446"/>
      <c r="J239" s="446"/>
      <c r="K239" s="446"/>
      <c r="L239" s="446"/>
      <c r="M239" s="446"/>
      <c r="N239" s="446"/>
      <c r="O239" s="446"/>
    </row>
    <row r="240" spans="1:15" x14ac:dyDescent="0.2">
      <c r="A240" s="338" t="s">
        <v>476</v>
      </c>
      <c r="B240" s="821">
        <f>B152</f>
        <v>0</v>
      </c>
      <c r="C240" s="339"/>
      <c r="D240" s="454" t="s">
        <v>579</v>
      </c>
      <c r="E240" s="569" t="str">
        <f>CONCATENATE(DoM!$B$6-2," Taxable Valuation with Gas &amp; Electric Utilities (Line 6.1)")</f>
        <v>2016 Taxable Valuation with Gas &amp; Electric Utilities (Line 6.1)</v>
      </c>
      <c r="F240" s="506"/>
      <c r="G240" s="779"/>
    </row>
    <row r="241" spans="1:7" x14ac:dyDescent="0.2">
      <c r="A241" s="338" t="s">
        <v>1416</v>
      </c>
      <c r="B241" s="829">
        <f>IF(B240&gt;0,ROUND(B239/(B240/1000),5),0)</f>
        <v>0</v>
      </c>
      <c r="C241" s="339"/>
      <c r="D241" s="454" t="s">
        <v>580</v>
      </c>
      <c r="E241" s="576" t="s">
        <v>568</v>
      </c>
      <c r="F241" s="506"/>
      <c r="G241" s="779"/>
    </row>
    <row r="242" spans="1:7" x14ac:dyDescent="0.2">
      <c r="A242" s="338" t="s">
        <v>1451</v>
      </c>
      <c r="B242" s="829">
        <v>3.1</v>
      </c>
      <c r="C242" s="339"/>
      <c r="D242" s="454" t="s">
        <v>581</v>
      </c>
      <c r="E242" s="576" t="s">
        <v>573</v>
      </c>
      <c r="F242" s="506"/>
      <c r="G242" s="779"/>
    </row>
    <row r="243" spans="1:7" x14ac:dyDescent="0.2">
      <c r="A243" s="335" t="s">
        <v>1416</v>
      </c>
      <c r="B243" s="829">
        <f>IF(B241&gt;B242,B241-B242,0)</f>
        <v>0</v>
      </c>
      <c r="C243" s="339"/>
      <c r="D243" s="454" t="s">
        <v>582</v>
      </c>
      <c r="E243" s="576" t="s">
        <v>575</v>
      </c>
      <c r="F243" s="506"/>
      <c r="G243" s="779"/>
    </row>
    <row r="244" spans="1:7" x14ac:dyDescent="0.2">
      <c r="A244" s="335" t="s">
        <v>1414</v>
      </c>
      <c r="B244" s="821">
        <f>B152</f>
        <v>0</v>
      </c>
      <c r="C244" s="339"/>
      <c r="D244" s="454" t="s">
        <v>584</v>
      </c>
      <c r="E244" s="569" t="str">
        <f>CONCATENATE(DoM!$B$6-2," Taxable Valuation with Gas &amp; Electric Utilities (Line 6.1)")</f>
        <v>2016 Taxable Valuation with Gas &amp; Electric Utilities (Line 6.1)</v>
      </c>
      <c r="F244" s="506"/>
      <c r="G244" s="779"/>
    </row>
    <row r="245" spans="1:7" x14ac:dyDescent="0.2">
      <c r="A245" s="338" t="s">
        <v>1416</v>
      </c>
      <c r="B245" s="821">
        <f>ROUND(B243*(B244/1000),0)</f>
        <v>0</v>
      </c>
      <c r="C245" s="339"/>
      <c r="D245" s="454" t="s">
        <v>583</v>
      </c>
      <c r="E245" s="576" t="str">
        <f>CONCATENATE(DoM!$C$6," Adjusted Additional Property Tax Levy Aid")</f>
        <v>FY18 Adjusted Additional Property Tax Levy Aid</v>
      </c>
      <c r="F245" s="506"/>
      <c r="G245" s="779"/>
    </row>
    <row r="246" spans="1:7" x14ac:dyDescent="0.2">
      <c r="A246" s="344"/>
      <c r="B246" s="837"/>
      <c r="C246" s="346"/>
      <c r="D246" s="346"/>
      <c r="E246" s="82" t="s">
        <v>74</v>
      </c>
      <c r="F246" s="82"/>
      <c r="G246" s="775"/>
    </row>
    <row r="247" spans="1:7" x14ac:dyDescent="0.2">
      <c r="A247" s="338"/>
      <c r="B247" s="563">
        <f>INDEX(Constants!$A$2:$AR$60,MATCH(DoM!$B$6,Constants!$A$2:$A$60,0),MATCH($G247,Constants!$A$1:$AR$1,0))</f>
        <v>6591</v>
      </c>
      <c r="C247" s="339"/>
      <c r="D247" s="47" t="s">
        <v>607</v>
      </c>
      <c r="E247" s="572" t="str">
        <f>CONCATENATE(DoM!$C$6," Regular Program State Cost Per Pupil")</f>
        <v>FY18 Regular Program State Cost Per Pupil</v>
      </c>
      <c r="F247" s="505"/>
      <c r="G247" s="764" t="str">
        <f>Constants!$E$1</f>
        <v>SCPP</v>
      </c>
    </row>
    <row r="248" spans="1:7" x14ac:dyDescent="0.2">
      <c r="A248" s="335" t="s">
        <v>1414</v>
      </c>
      <c r="B248" s="836">
        <v>0</v>
      </c>
      <c r="C248" s="339" t="s">
        <v>1428</v>
      </c>
      <c r="D248" s="47" t="s">
        <v>608</v>
      </c>
      <c r="E248" s="335" t="s">
        <v>605</v>
      </c>
      <c r="F248" s="506"/>
      <c r="G248" s="779"/>
    </row>
    <row r="249" spans="1:7" x14ac:dyDescent="0.2">
      <c r="A249" s="338" t="s">
        <v>1416</v>
      </c>
      <c r="B249" s="821">
        <f>ROUND(B247*B248,0)</f>
        <v>0</v>
      </c>
      <c r="C249" s="339"/>
      <c r="D249" s="47" t="s">
        <v>609</v>
      </c>
      <c r="E249" s="335" t="s">
        <v>606</v>
      </c>
      <c r="F249" s="506"/>
      <c r="G249" s="779"/>
    </row>
    <row r="250" spans="1:7" x14ac:dyDescent="0.2">
      <c r="A250" s="335" t="s">
        <v>1414</v>
      </c>
      <c r="B250" s="834" t="e">
        <f>B43</f>
        <v>#N/A</v>
      </c>
      <c r="C250" s="339" t="s">
        <v>1439</v>
      </c>
      <c r="D250" s="47" t="s">
        <v>610</v>
      </c>
      <c r="E250" s="335" t="s">
        <v>1242</v>
      </c>
      <c r="F250" s="506"/>
      <c r="G250" s="779"/>
    </row>
    <row r="251" spans="1:7" x14ac:dyDescent="0.2">
      <c r="A251" s="338" t="s">
        <v>1416</v>
      </c>
      <c r="B251" s="821" t="e">
        <f>ROUND(B249*B250,0)</f>
        <v>#N/A</v>
      </c>
      <c r="C251" s="339"/>
      <c r="D251" s="47" t="s">
        <v>611</v>
      </c>
      <c r="E251" s="335" t="s">
        <v>1216</v>
      </c>
      <c r="F251" s="506"/>
      <c r="G251" s="779"/>
    </row>
    <row r="252" spans="1:7" x14ac:dyDescent="0.2">
      <c r="A252" s="27"/>
      <c r="B252" s="814"/>
      <c r="E252" s="82" t="s">
        <v>1065</v>
      </c>
      <c r="F252" s="82"/>
      <c r="G252" s="775"/>
    </row>
    <row r="253" spans="1:7" x14ac:dyDescent="0.2">
      <c r="A253" s="336"/>
      <c r="B253" s="563" t="e">
        <f>B215</f>
        <v>#N/A</v>
      </c>
      <c r="C253" s="336"/>
      <c r="D253" s="47" t="s">
        <v>612</v>
      </c>
      <c r="E253" s="335" t="s">
        <v>500</v>
      </c>
      <c r="F253" s="506"/>
      <c r="G253" s="779"/>
    </row>
    <row r="254" spans="1:7" x14ac:dyDescent="0.2">
      <c r="A254" s="337" t="s">
        <v>1451</v>
      </c>
      <c r="B254" s="563">
        <f>B226</f>
        <v>0</v>
      </c>
      <c r="C254" s="336"/>
      <c r="D254" s="47" t="s">
        <v>1565</v>
      </c>
      <c r="E254" s="335" t="s">
        <v>994</v>
      </c>
      <c r="F254" s="506"/>
      <c r="G254" s="779"/>
    </row>
    <row r="255" spans="1:7" x14ac:dyDescent="0.2">
      <c r="A255" s="47" t="s">
        <v>1451</v>
      </c>
      <c r="B255" s="563" t="e">
        <f>INDEX(SNAME[],MATCH($D$2,SNAME[DIST],0),MATCH($G255,SNAME[#Headers],0))</f>
        <v>#N/A</v>
      </c>
      <c r="C255" s="6"/>
      <c r="D255" s="47" t="s">
        <v>1566</v>
      </c>
      <c r="E255" s="572" t="str">
        <f>CONCATENATE("FY",RIGHT(DoM!$C$5,2)-1," District Special Ed Positive Balance, Property &amp; Utility Repl Tax Portion")</f>
        <v>FY16 District Special Ed Positive Balance, Property &amp; Utility Repl Tax Portion</v>
      </c>
      <c r="F255" s="505"/>
      <c r="G255" s="764" t="str">
        <f>SNAME[[#Headers],[line 8.39 x365]]</f>
        <v>line 8.39 x365</v>
      </c>
    </row>
    <row r="256" spans="1:7" x14ac:dyDescent="0.2">
      <c r="A256" s="47" t="s">
        <v>1451</v>
      </c>
      <c r="B256" s="563">
        <v>0</v>
      </c>
      <c r="C256" s="6"/>
      <c r="D256" s="47" t="s">
        <v>1567</v>
      </c>
      <c r="E256" s="572" t="str">
        <f>CONCATENATE("FY",RIGHT(DoM!$C$5,2)-1," AEA Special Ed Reduction, Property &amp; Utility Replacement Tax Portion")</f>
        <v>FY16 AEA Special Ed Reduction, Property &amp; Utility Replacement Tax Portion</v>
      </c>
      <c r="F256" s="505"/>
      <c r="G256" s="764"/>
    </row>
    <row r="257" spans="1:15" x14ac:dyDescent="0.2">
      <c r="A257" s="47" t="s">
        <v>1424</v>
      </c>
      <c r="B257" s="563" t="e">
        <f>B147</f>
        <v>#N/A</v>
      </c>
      <c r="C257" s="6"/>
      <c r="D257" s="47" t="s">
        <v>1568</v>
      </c>
      <c r="E257" s="348" t="s">
        <v>1700</v>
      </c>
      <c r="F257" s="505"/>
      <c r="G257" s="764"/>
    </row>
    <row r="258" spans="1:15" s="447" customFormat="1" x14ac:dyDescent="0.2">
      <c r="A258" s="455" t="s">
        <v>1451</v>
      </c>
      <c r="B258" s="821" t="e">
        <f>B232</f>
        <v>#N/A</v>
      </c>
      <c r="C258" s="456"/>
      <c r="D258" s="457" t="s">
        <v>1569</v>
      </c>
      <c r="E258" s="335" t="s">
        <v>1563</v>
      </c>
      <c r="F258" s="506"/>
      <c r="G258" s="779"/>
      <c r="H258" s="446"/>
      <c r="I258" s="446"/>
      <c r="J258" s="446"/>
      <c r="K258" s="446"/>
      <c r="L258" s="446"/>
      <c r="M258" s="446"/>
      <c r="N258" s="446"/>
      <c r="O258" s="446"/>
    </row>
    <row r="259" spans="1:15" x14ac:dyDescent="0.2">
      <c r="A259" s="338" t="s">
        <v>1451</v>
      </c>
      <c r="B259" s="821">
        <f>B245</f>
        <v>0</v>
      </c>
      <c r="C259" s="339"/>
      <c r="D259" s="457" t="s">
        <v>1570</v>
      </c>
      <c r="E259" s="335" t="s">
        <v>1573</v>
      </c>
      <c r="F259" s="506"/>
      <c r="G259" s="779"/>
    </row>
    <row r="260" spans="1:15" x14ac:dyDescent="0.2">
      <c r="A260" s="338" t="s">
        <v>1451</v>
      </c>
      <c r="B260" s="821" t="e">
        <f>B251</f>
        <v>#N/A</v>
      </c>
      <c r="C260" s="339"/>
      <c r="D260" s="457" t="s">
        <v>1571</v>
      </c>
      <c r="E260" s="335" t="s">
        <v>1643</v>
      </c>
      <c r="F260" s="506"/>
      <c r="G260" s="779"/>
    </row>
    <row r="261" spans="1:15" x14ac:dyDescent="0.2">
      <c r="A261" s="47" t="s">
        <v>1416</v>
      </c>
      <c r="B261" s="563" t="e">
        <f>B253-B254-B255-B256+B257-B258-B259-B260</f>
        <v>#N/A</v>
      </c>
      <c r="C261" s="6"/>
      <c r="D261" s="457" t="s">
        <v>1572</v>
      </c>
      <c r="E261" s="348" t="s">
        <v>918</v>
      </c>
      <c r="F261" s="505"/>
      <c r="G261" s="764"/>
    </row>
    <row r="262" spans="1:15" x14ac:dyDescent="0.2">
      <c r="A262" s="27"/>
      <c r="B262" s="814"/>
      <c r="E262" s="82" t="s">
        <v>507</v>
      </c>
      <c r="F262" s="82"/>
      <c r="G262" s="775"/>
    </row>
    <row r="263" spans="1:15" x14ac:dyDescent="0.2">
      <c r="A263" s="6"/>
      <c r="B263" s="563" t="e">
        <f>B196</f>
        <v>#N/A</v>
      </c>
      <c r="C263" s="6"/>
      <c r="D263" s="47" t="s">
        <v>508</v>
      </c>
      <c r="E263" s="348" t="s">
        <v>1701</v>
      </c>
      <c r="F263" s="505"/>
      <c r="G263" s="764"/>
    </row>
    <row r="264" spans="1:15" x14ac:dyDescent="0.2">
      <c r="A264" s="47" t="s">
        <v>1424</v>
      </c>
      <c r="B264" s="563" t="e">
        <f>B201</f>
        <v>#N/A</v>
      </c>
      <c r="C264" s="6"/>
      <c r="D264" s="47" t="s">
        <v>509</v>
      </c>
      <c r="E264" s="348" t="s">
        <v>1699</v>
      </c>
      <c r="F264" s="505"/>
      <c r="G264" s="764"/>
    </row>
    <row r="265" spans="1:15" x14ac:dyDescent="0.2">
      <c r="A265" s="47" t="s">
        <v>1424</v>
      </c>
      <c r="B265" s="563">
        <f>B226</f>
        <v>0</v>
      </c>
      <c r="C265" s="6"/>
      <c r="D265" s="47" t="s">
        <v>510</v>
      </c>
      <c r="E265" s="348" t="s">
        <v>994</v>
      </c>
      <c r="F265" s="505"/>
      <c r="G265" s="764"/>
    </row>
    <row r="266" spans="1:15" x14ac:dyDescent="0.2">
      <c r="A266" s="47" t="s">
        <v>1424</v>
      </c>
      <c r="B266" s="563" t="e">
        <f>B255</f>
        <v>#N/A</v>
      </c>
      <c r="C266" s="6"/>
      <c r="D266" s="47" t="s">
        <v>511</v>
      </c>
      <c r="E266" s="576" t="str">
        <f>CONCATENATE("FY",RIGHT(DoM!$C$5,2)-1," District Special Ed Positive Balance, Property &amp; Util Repl Portion (Line 8.39)")</f>
        <v>FY16 District Special Ed Positive Balance, Property &amp; Util Repl Portion (Line 8.39)</v>
      </c>
      <c r="F266" s="506"/>
      <c r="G266" s="779"/>
    </row>
    <row r="267" spans="1:15" x14ac:dyDescent="0.2">
      <c r="A267" s="47" t="s">
        <v>1424</v>
      </c>
      <c r="B267" s="563">
        <f>B256</f>
        <v>0</v>
      </c>
      <c r="C267" s="6"/>
      <c r="D267" s="47" t="s">
        <v>512</v>
      </c>
      <c r="E267" s="576" t="str">
        <f>CONCATENATE("FY",RIGHT(DoM!$C$5,2)-1," Special Ed Reduction, Property &amp; Utility Repl Tax Portion (Line 8.40)")</f>
        <v>FY16 Special Ed Reduction, Property &amp; Utility Repl Tax Portion (Line 8.40)</v>
      </c>
      <c r="F267" s="506"/>
      <c r="G267" s="779"/>
    </row>
    <row r="268" spans="1:15" x14ac:dyDescent="0.2">
      <c r="A268" s="47" t="s">
        <v>1451</v>
      </c>
      <c r="B268" s="563" t="e">
        <f>B147</f>
        <v>#N/A</v>
      </c>
      <c r="C268" s="6"/>
      <c r="D268" s="47" t="s">
        <v>513</v>
      </c>
      <c r="E268" s="348" t="s">
        <v>1700</v>
      </c>
      <c r="F268" s="505"/>
      <c r="G268" s="764"/>
    </row>
    <row r="269" spans="1:15" s="447" customFormat="1" x14ac:dyDescent="0.2">
      <c r="A269" s="455" t="s">
        <v>1424</v>
      </c>
      <c r="B269" s="821" t="e">
        <f>B232</f>
        <v>#N/A</v>
      </c>
      <c r="C269" s="456"/>
      <c r="D269" s="455" t="s">
        <v>514</v>
      </c>
      <c r="E269" s="335" t="s">
        <v>1563</v>
      </c>
      <c r="F269" s="506"/>
      <c r="G269" s="779"/>
      <c r="H269" s="446"/>
      <c r="I269" s="446"/>
      <c r="J269" s="446"/>
      <c r="K269" s="446"/>
      <c r="L269" s="446"/>
      <c r="M269" s="446"/>
      <c r="N269" s="446"/>
      <c r="O269" s="446"/>
    </row>
    <row r="270" spans="1:15" x14ac:dyDescent="0.2">
      <c r="A270" s="47" t="s">
        <v>1424</v>
      </c>
      <c r="B270" s="563">
        <f>B245</f>
        <v>0</v>
      </c>
      <c r="C270" s="6"/>
      <c r="D270" s="455" t="s">
        <v>515</v>
      </c>
      <c r="E270" s="335" t="s">
        <v>1573</v>
      </c>
      <c r="F270" s="506"/>
      <c r="G270" s="779"/>
    </row>
    <row r="271" spans="1:15" x14ac:dyDescent="0.2">
      <c r="A271" s="335" t="s">
        <v>1424</v>
      </c>
      <c r="B271" s="821" t="e">
        <f>B251</f>
        <v>#N/A</v>
      </c>
      <c r="C271" s="339"/>
      <c r="D271" s="455" t="s">
        <v>585</v>
      </c>
      <c r="E271" s="335" t="s">
        <v>1576</v>
      </c>
      <c r="F271" s="506"/>
      <c r="G271" s="779"/>
    </row>
    <row r="272" spans="1:15" x14ac:dyDescent="0.2">
      <c r="A272" s="47" t="s">
        <v>1424</v>
      </c>
      <c r="B272" s="821" t="e">
        <f>INDEX(SNAME[],MATCH($D$2,SNAME[DIST],0),MATCH($G272,SNAME[#Headers],0))</f>
        <v>#N/A</v>
      </c>
      <c r="C272" s="6"/>
      <c r="D272" s="455" t="s">
        <v>1375</v>
      </c>
      <c r="E272" s="335" t="s">
        <v>1188</v>
      </c>
      <c r="F272" s="506"/>
      <c r="G272" s="764" t="str">
        <f>SNAME[[#Headers],[line 9.10 x305]]</f>
        <v>line 9.10 x305</v>
      </c>
    </row>
    <row r="273" spans="1:7" x14ac:dyDescent="0.2">
      <c r="A273" s="47" t="s">
        <v>1424</v>
      </c>
      <c r="B273" s="563" t="e">
        <f>B210</f>
        <v>#N/A</v>
      </c>
      <c r="C273" s="6"/>
      <c r="D273" s="455" t="s">
        <v>1156</v>
      </c>
      <c r="E273" s="348" t="s">
        <v>1702</v>
      </c>
      <c r="F273" s="505"/>
      <c r="G273" s="764"/>
    </row>
    <row r="274" spans="1:7" x14ac:dyDescent="0.2">
      <c r="A274" s="47" t="s">
        <v>1416</v>
      </c>
      <c r="B274" s="563" t="e">
        <f>SUM(B263:B267)-B268+B269+B270+B271+B272+B273</f>
        <v>#N/A</v>
      </c>
      <c r="C274" s="6"/>
      <c r="D274" s="455" t="s">
        <v>1575</v>
      </c>
      <c r="E274" s="348" t="s">
        <v>516</v>
      </c>
      <c r="F274" s="505"/>
      <c r="G274" s="764"/>
    </row>
    <row r="275" spans="1:7" x14ac:dyDescent="0.2">
      <c r="A275" s="27"/>
      <c r="B275" s="814"/>
      <c r="E275" s="82" t="s">
        <v>517</v>
      </c>
      <c r="F275" s="82"/>
      <c r="G275" s="775"/>
    </row>
    <row r="276" spans="1:7" x14ac:dyDescent="0.2">
      <c r="A276" s="6"/>
      <c r="B276" s="563" t="e">
        <f>B49</f>
        <v>#N/A</v>
      </c>
      <c r="C276" s="6"/>
      <c r="D276" s="47" t="s">
        <v>518</v>
      </c>
      <c r="E276" s="572" t="str">
        <f>CONCATENATE(DoM!$C$6," Regular Program District Cost without Adjustment (Line 4.3)")</f>
        <v>FY18 Regular Program District Cost without Adjustment (Line 4.3)</v>
      </c>
      <c r="F276" s="505"/>
      <c r="G276" s="764"/>
    </row>
    <row r="277" spans="1:7" x14ac:dyDescent="0.2">
      <c r="A277" s="47" t="s">
        <v>1424</v>
      </c>
      <c r="B277" s="563" t="e">
        <f>B54</f>
        <v>#N/A</v>
      </c>
      <c r="C277" s="6"/>
      <c r="D277" s="47" t="s">
        <v>519</v>
      </c>
      <c r="E277" s="572" t="s">
        <v>1537</v>
      </c>
      <c r="F277" s="505"/>
      <c r="G277" s="764"/>
    </row>
    <row r="278" spans="1:7" x14ac:dyDescent="0.2">
      <c r="A278" s="47" t="s">
        <v>1416</v>
      </c>
      <c r="B278" s="563" t="e">
        <f>SUM(B276:B277)</f>
        <v>#N/A</v>
      </c>
      <c r="C278" s="6"/>
      <c r="D278" s="47" t="s">
        <v>520</v>
      </c>
      <c r="E278" s="572" t="s">
        <v>521</v>
      </c>
      <c r="F278" s="505"/>
      <c r="G278" s="764"/>
    </row>
    <row r="279" spans="1:7" x14ac:dyDescent="0.2">
      <c r="A279" s="47" t="s">
        <v>1414</v>
      </c>
      <c r="B279" s="838">
        <f>InputsResults!$B$45</f>
        <v>0</v>
      </c>
      <c r="C279" s="6"/>
      <c r="D279" s="47" t="s">
        <v>522</v>
      </c>
      <c r="E279" s="572" t="s">
        <v>523</v>
      </c>
      <c r="F279" s="505"/>
      <c r="G279" s="764"/>
    </row>
    <row r="280" spans="1:7" x14ac:dyDescent="0.2">
      <c r="A280" s="47" t="s">
        <v>1416</v>
      </c>
      <c r="B280" s="563" t="e">
        <f>ROUND(B278*B279,0)</f>
        <v>#N/A</v>
      </c>
      <c r="C280" s="6"/>
      <c r="D280" s="47" t="s">
        <v>524</v>
      </c>
      <c r="E280" s="572" t="s">
        <v>525</v>
      </c>
      <c r="F280" s="505"/>
      <c r="G280" s="764"/>
    </row>
    <row r="281" spans="1:7" x14ac:dyDescent="0.2">
      <c r="A281" s="6"/>
      <c r="B281" s="563">
        <f>B152</f>
        <v>0</v>
      </c>
      <c r="C281" s="6"/>
      <c r="D281" s="47" t="s">
        <v>526</v>
      </c>
      <c r="E281" s="569" t="str">
        <f>CONCATENATE(DoM!$B$6-2," Taxable Valuation with Gas &amp; Electric Utilities (Line 6.1)")</f>
        <v>2016 Taxable Valuation with Gas &amp; Electric Utilities (Line 6.1)</v>
      </c>
      <c r="F281" s="505"/>
      <c r="G281" s="764"/>
    </row>
    <row r="282" spans="1:7" x14ac:dyDescent="0.2">
      <c r="A282" s="47" t="s">
        <v>476</v>
      </c>
      <c r="B282" s="816" t="e">
        <f>B5</f>
        <v>#N/A</v>
      </c>
      <c r="C282" s="47" t="s">
        <v>1411</v>
      </c>
      <c r="D282" s="47" t="s">
        <v>527</v>
      </c>
      <c r="E282" s="572" t="s">
        <v>1437</v>
      </c>
      <c r="F282" s="505"/>
      <c r="G282" s="764"/>
    </row>
    <row r="283" spans="1:7" x14ac:dyDescent="0.2">
      <c r="A283" s="47" t="s">
        <v>1416</v>
      </c>
      <c r="B283" s="563" t="e">
        <f>IF(B282&gt;0,ROUND(B281/B282,0),0)</f>
        <v>#N/A</v>
      </c>
      <c r="C283" s="6"/>
      <c r="D283" s="47" t="s">
        <v>528</v>
      </c>
      <c r="E283" s="572" t="s">
        <v>529</v>
      </c>
      <c r="F283" s="505"/>
      <c r="G283" s="764"/>
    </row>
    <row r="284" spans="1:7" x14ac:dyDescent="0.2">
      <c r="A284" s="6"/>
      <c r="B284" s="563" t="e">
        <f>INDEX(SNAME[],MATCH($D$2,SNAME[DIST],0),MATCH($G284,SNAME[#Headers],0))</f>
        <v>#N/A</v>
      </c>
      <c r="C284" s="6"/>
      <c r="D284" s="47" t="s">
        <v>530</v>
      </c>
      <c r="E284" s="572" t="s">
        <v>531</v>
      </c>
      <c r="F284" s="505"/>
      <c r="G284" s="764" t="str">
        <f>SNAME[[#Headers],[line 10.9]]</f>
        <v>line 10.9</v>
      </c>
    </row>
    <row r="285" spans="1:7" x14ac:dyDescent="0.2">
      <c r="A285" s="47" t="s">
        <v>476</v>
      </c>
      <c r="B285" s="563" t="e">
        <f>B283</f>
        <v>#N/A</v>
      </c>
      <c r="C285" s="6"/>
      <c r="D285" s="47" t="s">
        <v>532</v>
      </c>
      <c r="E285" s="572" t="s">
        <v>533</v>
      </c>
      <c r="F285" s="505"/>
      <c r="G285" s="764"/>
    </row>
    <row r="286" spans="1:7" x14ac:dyDescent="0.2">
      <c r="A286" s="47" t="s">
        <v>1414</v>
      </c>
      <c r="B286" s="839">
        <f>0.25</f>
        <v>0.25</v>
      </c>
      <c r="C286" s="47" t="s">
        <v>1428</v>
      </c>
      <c r="D286" s="47" t="s">
        <v>535</v>
      </c>
      <c r="E286" s="572" t="s">
        <v>536</v>
      </c>
      <c r="F286" s="505"/>
      <c r="G286" s="764"/>
    </row>
    <row r="287" spans="1:7" x14ac:dyDescent="0.2">
      <c r="A287" s="47" t="s">
        <v>1416</v>
      </c>
      <c r="B287" s="840" t="e">
        <f>IF(B285&gt;0,ROUND((B284/B285)*0.25,4),0)</f>
        <v>#N/A</v>
      </c>
      <c r="C287" s="6"/>
      <c r="D287" s="47" t="s">
        <v>537</v>
      </c>
      <c r="E287" s="572" t="s">
        <v>538</v>
      </c>
      <c r="F287" s="505"/>
      <c r="G287" s="764"/>
    </row>
    <row r="288" spans="1:7" x14ac:dyDescent="0.2">
      <c r="A288" s="47" t="s">
        <v>1414</v>
      </c>
      <c r="B288" s="563" t="e">
        <f>B280</f>
        <v>#N/A</v>
      </c>
      <c r="C288" s="6"/>
      <c r="D288" s="47" t="s">
        <v>539</v>
      </c>
      <c r="E288" s="572" t="s">
        <v>540</v>
      </c>
      <c r="F288" s="505"/>
      <c r="G288" s="764"/>
    </row>
    <row r="289" spans="1:7" x14ac:dyDescent="0.2">
      <c r="A289" s="47" t="s">
        <v>1416</v>
      </c>
      <c r="B289" s="563" t="e">
        <f>ROUND(B287*B288,0)</f>
        <v>#N/A</v>
      </c>
      <c r="C289" s="6"/>
      <c r="D289" s="47" t="s">
        <v>541</v>
      </c>
      <c r="E289" s="572" t="s">
        <v>542</v>
      </c>
      <c r="F289" s="505"/>
      <c r="G289" s="764"/>
    </row>
    <row r="290" spans="1:7" x14ac:dyDescent="0.2">
      <c r="A290" s="6"/>
      <c r="B290" s="841">
        <f>InputsResults!$B$46</f>
        <v>0</v>
      </c>
      <c r="C290" s="47" t="s">
        <v>1428</v>
      </c>
      <c r="D290" s="47" t="s">
        <v>543</v>
      </c>
      <c r="E290" s="572" t="s">
        <v>544</v>
      </c>
      <c r="F290" s="505"/>
      <c r="G290" s="764"/>
    </row>
    <row r="291" spans="1:7" x14ac:dyDescent="0.2">
      <c r="A291" s="47" t="s">
        <v>1414</v>
      </c>
      <c r="B291" s="826">
        <f>InputsResults!$B$47</f>
        <v>0</v>
      </c>
      <c r="C291" s="6"/>
      <c r="D291" s="47" t="s">
        <v>545</v>
      </c>
      <c r="E291" s="572" t="str">
        <f>CONCATENATE("District Income Tax Paid in ",DoM!$B$6-3)</f>
        <v>District Income Tax Paid in 2015</v>
      </c>
      <c r="F291" s="505"/>
      <c r="G291" s="764"/>
    </row>
    <row r="292" spans="1:7" x14ac:dyDescent="0.2">
      <c r="A292" s="47" t="s">
        <v>1416</v>
      </c>
      <c r="B292" s="563" t="e">
        <f>IF(B280&gt;0,ROUND(B290*B291,0),0)</f>
        <v>#N/A</v>
      </c>
      <c r="C292" s="6"/>
      <c r="D292" s="47" t="s">
        <v>546</v>
      </c>
      <c r="E292" s="572" t="s">
        <v>547</v>
      </c>
      <c r="F292" s="505"/>
      <c r="G292" s="764"/>
    </row>
    <row r="293" spans="1:7" x14ac:dyDescent="0.2">
      <c r="A293" s="6"/>
      <c r="B293" s="563" t="e">
        <f>B280</f>
        <v>#N/A</v>
      </c>
      <c r="C293" s="6"/>
      <c r="D293" s="47" t="s">
        <v>548</v>
      </c>
      <c r="E293" s="572" t="s">
        <v>540</v>
      </c>
      <c r="F293" s="505"/>
      <c r="G293" s="764"/>
    </row>
    <row r="294" spans="1:7" x14ac:dyDescent="0.2">
      <c r="A294" s="47" t="s">
        <v>1451</v>
      </c>
      <c r="B294" s="563" t="e">
        <f>B289</f>
        <v>#N/A</v>
      </c>
      <c r="C294" s="6"/>
      <c r="D294" s="47" t="s">
        <v>549</v>
      </c>
      <c r="E294" s="572" t="s">
        <v>552</v>
      </c>
      <c r="F294" s="505"/>
      <c r="G294" s="764"/>
    </row>
    <row r="295" spans="1:7" x14ac:dyDescent="0.2">
      <c r="A295" s="47" t="s">
        <v>1451</v>
      </c>
      <c r="B295" s="563" t="e">
        <f>B292</f>
        <v>#N/A</v>
      </c>
      <c r="C295" s="6"/>
      <c r="D295" s="47" t="s">
        <v>553</v>
      </c>
      <c r="E295" s="572" t="s">
        <v>554</v>
      </c>
      <c r="F295" s="505"/>
      <c r="G295" s="764"/>
    </row>
    <row r="296" spans="1:7" x14ac:dyDescent="0.2">
      <c r="A296" s="47" t="s">
        <v>1416</v>
      </c>
      <c r="B296" s="563" t="e">
        <f>B293-B294-B295</f>
        <v>#N/A</v>
      </c>
      <c r="C296" s="6"/>
      <c r="D296" s="47" t="s">
        <v>555</v>
      </c>
      <c r="E296" s="572" t="s">
        <v>556</v>
      </c>
      <c r="F296" s="505"/>
      <c r="G296" s="764"/>
    </row>
    <row r="297" spans="1:7" x14ac:dyDescent="0.2">
      <c r="A297" s="6"/>
      <c r="B297" s="563" t="e">
        <f>B289</f>
        <v>#N/A</v>
      </c>
      <c r="C297" s="6"/>
      <c r="D297" s="47" t="s">
        <v>557</v>
      </c>
      <c r="E297" s="572" t="s">
        <v>552</v>
      </c>
      <c r="F297" s="505"/>
      <c r="G297" s="764"/>
    </row>
    <row r="298" spans="1:7" x14ac:dyDescent="0.2">
      <c r="A298" s="47" t="s">
        <v>1414</v>
      </c>
      <c r="B298" s="699" t="e">
        <f>INDEX(SNAME[],MATCH($D$2,SNAME[DIST],0),MATCH($G298,SNAME[#Headers],0))</f>
        <v>#N/A</v>
      </c>
      <c r="C298" s="6"/>
      <c r="D298" s="47" t="s">
        <v>558</v>
      </c>
      <c r="E298" s="572" t="s">
        <v>1505</v>
      </c>
      <c r="F298" s="505"/>
      <c r="G298" s="764" t="str">
        <f>SNAME[[#Headers],[line 10.23]]</f>
        <v>line 10.23</v>
      </c>
    </row>
    <row r="299" spans="1:7" x14ac:dyDescent="0.2">
      <c r="A299" s="47" t="s">
        <v>1416</v>
      </c>
      <c r="B299" s="563" t="e">
        <f>ROUND(B297*B298,0)</f>
        <v>#N/A</v>
      </c>
      <c r="C299" s="6"/>
      <c r="D299" s="47" t="s">
        <v>559</v>
      </c>
      <c r="E299" s="572" t="s">
        <v>560</v>
      </c>
      <c r="F299" s="505"/>
      <c r="G299" s="764"/>
    </row>
    <row r="300" spans="1:7" x14ac:dyDescent="0.2">
      <c r="A300" s="47" t="s">
        <v>1424</v>
      </c>
      <c r="B300" s="563" t="e">
        <f>B292</f>
        <v>#N/A</v>
      </c>
      <c r="C300" s="6"/>
      <c r="D300" s="47" t="s">
        <v>561</v>
      </c>
      <c r="E300" s="572" t="s">
        <v>554</v>
      </c>
      <c r="F300" s="505"/>
      <c r="G300" s="764"/>
    </row>
    <row r="301" spans="1:7" x14ac:dyDescent="0.2">
      <c r="A301" s="47" t="s">
        <v>1424</v>
      </c>
      <c r="B301" s="563" t="e">
        <f>IF(B296&lt;0,"Lower Rate on 10.15",B296)</f>
        <v>#N/A</v>
      </c>
      <c r="C301" s="6"/>
      <c r="D301" s="47" t="s">
        <v>562</v>
      </c>
      <c r="E301" s="572" t="s">
        <v>563</v>
      </c>
      <c r="F301" s="505"/>
      <c r="G301" s="764"/>
    </row>
    <row r="302" spans="1:7" x14ac:dyDescent="0.2">
      <c r="A302" s="47" t="s">
        <v>1416</v>
      </c>
      <c r="B302" s="563" t="e">
        <f>SUM(B299:B301)</f>
        <v>#N/A</v>
      </c>
      <c r="C302" s="6"/>
      <c r="D302" s="47" t="s">
        <v>564</v>
      </c>
      <c r="E302" s="572" t="s">
        <v>565</v>
      </c>
      <c r="F302" s="505"/>
      <c r="G302" s="764"/>
    </row>
    <row r="303" spans="1:7" x14ac:dyDescent="0.2">
      <c r="A303" s="27"/>
      <c r="B303" s="814"/>
      <c r="E303" s="82" t="s">
        <v>586</v>
      </c>
      <c r="F303" s="82"/>
      <c r="G303" s="775"/>
    </row>
    <row r="304" spans="1:7" x14ac:dyDescent="0.2">
      <c r="A304" s="6"/>
      <c r="B304" s="563" t="e">
        <f>B278</f>
        <v>#N/A</v>
      </c>
      <c r="C304" s="6"/>
      <c r="D304" s="47" t="s">
        <v>587</v>
      </c>
      <c r="E304" s="569" t="str">
        <f>CONCATENATE(DoM!$C$6," Total Regular Program District Cost (Line 10.3)")</f>
        <v>FY18 Total Regular Program District Cost (Line 10.3)</v>
      </c>
      <c r="F304" s="115"/>
      <c r="G304" s="764"/>
    </row>
    <row r="305" spans="1:7" x14ac:dyDescent="0.2">
      <c r="A305" s="47" t="s">
        <v>1414</v>
      </c>
      <c r="B305" s="838">
        <f>InputsResults!$B$49</f>
        <v>0</v>
      </c>
      <c r="C305" s="6"/>
      <c r="D305" s="47" t="s">
        <v>588</v>
      </c>
      <c r="E305" s="47" t="s">
        <v>589</v>
      </c>
      <c r="F305" s="115"/>
      <c r="G305" s="764"/>
    </row>
    <row r="306" spans="1:7" x14ac:dyDescent="0.2">
      <c r="A306" s="47" t="s">
        <v>1416</v>
      </c>
      <c r="B306" s="563" t="e">
        <f>ROUND(B304*B305,0)</f>
        <v>#N/A</v>
      </c>
      <c r="C306" s="6"/>
      <c r="D306" s="47" t="s">
        <v>590</v>
      </c>
      <c r="E306" s="47" t="s">
        <v>591</v>
      </c>
      <c r="F306" s="115"/>
      <c r="G306" s="764"/>
    </row>
    <row r="307" spans="1:7" x14ac:dyDescent="0.2">
      <c r="A307" s="6"/>
      <c r="B307" s="841">
        <f>InputsResults!$B$50</f>
        <v>0</v>
      </c>
      <c r="C307" s="47" t="s">
        <v>1428</v>
      </c>
      <c r="D307" s="47" t="s">
        <v>592</v>
      </c>
      <c r="E307" s="47" t="s">
        <v>593</v>
      </c>
      <c r="F307" s="115"/>
      <c r="G307" s="764"/>
    </row>
    <row r="308" spans="1:7" x14ac:dyDescent="0.2">
      <c r="A308" s="47" t="s">
        <v>1414</v>
      </c>
      <c r="B308" s="563">
        <f>B291</f>
        <v>0</v>
      </c>
      <c r="C308" s="6"/>
      <c r="D308" s="47" t="s">
        <v>594</v>
      </c>
      <c r="E308" s="47" t="s">
        <v>1752</v>
      </c>
      <c r="F308" s="115"/>
      <c r="G308" s="764"/>
    </row>
    <row r="309" spans="1:7" x14ac:dyDescent="0.2">
      <c r="A309" s="47" t="s">
        <v>1416</v>
      </c>
      <c r="B309" s="563" t="e">
        <f>IF(B306&gt;0,ROUND(B307*B308,0),0)</f>
        <v>#N/A</v>
      </c>
      <c r="C309" s="6"/>
      <c r="D309" s="47" t="s">
        <v>595</v>
      </c>
      <c r="E309" s="47" t="s">
        <v>596</v>
      </c>
      <c r="F309" s="115"/>
      <c r="G309" s="764"/>
    </row>
    <row r="310" spans="1:7" x14ac:dyDescent="0.2">
      <c r="A310" s="6"/>
      <c r="B310" s="563" t="e">
        <f>B306</f>
        <v>#N/A</v>
      </c>
      <c r="C310" s="6"/>
      <c r="D310" s="47" t="s">
        <v>597</v>
      </c>
      <c r="E310" s="47" t="s">
        <v>600</v>
      </c>
      <c r="F310" s="115"/>
      <c r="G310" s="764"/>
    </row>
    <row r="311" spans="1:7" x14ac:dyDescent="0.2">
      <c r="A311" s="47" t="s">
        <v>1451</v>
      </c>
      <c r="B311" s="563" t="e">
        <f>B309</f>
        <v>#N/A</v>
      </c>
      <c r="C311" s="6"/>
      <c r="D311" s="47" t="s">
        <v>601</v>
      </c>
      <c r="E311" s="47" t="s">
        <v>602</v>
      </c>
      <c r="F311" s="115"/>
      <c r="G311" s="764"/>
    </row>
    <row r="312" spans="1:7" x14ac:dyDescent="0.2">
      <c r="A312" s="47" t="s">
        <v>1416</v>
      </c>
      <c r="B312" s="563" t="e">
        <f>B310-B311</f>
        <v>#N/A</v>
      </c>
      <c r="C312" s="6"/>
      <c r="D312" s="47" t="s">
        <v>603</v>
      </c>
      <c r="E312" s="47" t="s">
        <v>604</v>
      </c>
      <c r="F312" s="115"/>
      <c r="G312" s="764"/>
    </row>
    <row r="313" spans="1:7" x14ac:dyDescent="0.2">
      <c r="A313" s="178"/>
      <c r="B313" s="842"/>
      <c r="C313" s="63"/>
      <c r="D313" s="63"/>
      <c r="E313" s="179" t="s">
        <v>913</v>
      </c>
      <c r="F313" s="507"/>
      <c r="G313" s="780"/>
    </row>
    <row r="314" spans="1:7" x14ac:dyDescent="0.2">
      <c r="A314" s="27"/>
      <c r="B314" s="814"/>
      <c r="E314" s="82" t="s">
        <v>1756</v>
      </c>
      <c r="F314" s="82"/>
      <c r="G314" s="775"/>
    </row>
    <row r="315" spans="1:7" x14ac:dyDescent="0.2">
      <c r="A315" s="6"/>
      <c r="B315" s="563" t="e">
        <f>INDEX(SNAME[],MATCH($D$2,SNAME[DIST],0),MATCH($G315,SNAME[#Headers],0))</f>
        <v>#N/A</v>
      </c>
      <c r="C315" s="6"/>
      <c r="D315" s="47" t="s">
        <v>613</v>
      </c>
      <c r="E315" s="569" t="str">
        <f>CONCATENATE("Additional Levy Utility Replacement Paid ",DoM!$C$5)</f>
        <v>Additional Levy Utility Replacement Paid FY17</v>
      </c>
      <c r="F315" s="115"/>
      <c r="G315" s="764" t="str">
        <f>SNAME[[#Headers],[line 13.1 x388]]</f>
        <v>line 13.1 x388</v>
      </c>
    </row>
    <row r="316" spans="1:7" x14ac:dyDescent="0.2">
      <c r="A316" s="47" t="s">
        <v>1451</v>
      </c>
      <c r="B316" s="563" t="e">
        <f>INDEX(SNAME[],MATCH($D$2,SNAME[DIST],0),MATCH($G316,SNAME[#Headers],0))</f>
        <v>#N/A</v>
      </c>
      <c r="C316" s="6"/>
      <c r="D316" s="47" t="s">
        <v>614</v>
      </c>
      <c r="E316" s="569" t="str">
        <f>CONCATENATE("AdditionalLevyUtilityReplacementBudgeted ",DoM!$C$5)</f>
        <v>AdditionalLevyUtilityReplacementBudgeted FY17</v>
      </c>
      <c r="F316" s="115"/>
      <c r="G316" s="764" t="str">
        <f>SNAME[[#Headers],[line 13.2 x389]]</f>
        <v>line 13.2 x389</v>
      </c>
    </row>
    <row r="317" spans="1:7" x14ac:dyDescent="0.2">
      <c r="A317" s="47" t="s">
        <v>1416</v>
      </c>
      <c r="B317" s="563" t="e">
        <f>B315-B316</f>
        <v>#N/A</v>
      </c>
      <c r="C317" s="6"/>
      <c r="D317" s="47" t="s">
        <v>615</v>
      </c>
      <c r="E317" s="569" t="s">
        <v>623</v>
      </c>
      <c r="F317" s="115"/>
      <c r="G317" s="764"/>
    </row>
    <row r="318" spans="1:7" x14ac:dyDescent="0.2">
      <c r="A318" s="47"/>
      <c r="B318" s="563" t="e">
        <f>B261</f>
        <v>#N/A</v>
      </c>
      <c r="C318" s="6"/>
      <c r="D318" s="47" t="s">
        <v>616</v>
      </c>
      <c r="E318" s="576" t="s">
        <v>1574</v>
      </c>
      <c r="F318" s="506"/>
      <c r="G318" s="779"/>
    </row>
    <row r="319" spans="1:7" x14ac:dyDescent="0.2">
      <c r="A319" s="47" t="s">
        <v>1451</v>
      </c>
      <c r="B319" s="563" t="e">
        <f>B317</f>
        <v>#N/A</v>
      </c>
      <c r="C319" s="6"/>
      <c r="D319" s="47" t="s">
        <v>617</v>
      </c>
      <c r="E319" s="569" t="s">
        <v>921</v>
      </c>
      <c r="F319" s="115"/>
      <c r="G319" s="764"/>
    </row>
    <row r="320" spans="1:7" x14ac:dyDescent="0.2">
      <c r="A320" s="47" t="s">
        <v>1416</v>
      </c>
      <c r="B320" s="563" t="e">
        <f>B318-B319</f>
        <v>#N/A</v>
      </c>
      <c r="C320" s="6"/>
      <c r="D320" s="47" t="s">
        <v>618</v>
      </c>
      <c r="E320" s="569" t="s">
        <v>919</v>
      </c>
      <c r="F320" s="115"/>
      <c r="G320" s="764"/>
    </row>
    <row r="321" spans="1:15" x14ac:dyDescent="0.2">
      <c r="A321" s="6"/>
      <c r="B321" s="563" t="e">
        <f>B158</f>
        <v>#N/A</v>
      </c>
      <c r="C321" s="6"/>
      <c r="D321" s="47" t="s">
        <v>619</v>
      </c>
      <c r="E321" s="569" t="s">
        <v>925</v>
      </c>
      <c r="F321" s="115"/>
      <c r="G321" s="764"/>
    </row>
    <row r="322" spans="1:15" x14ac:dyDescent="0.2">
      <c r="A322" s="47" t="s">
        <v>1424</v>
      </c>
      <c r="B322" s="563" t="e">
        <f>B317</f>
        <v>#N/A</v>
      </c>
      <c r="C322" s="6"/>
      <c r="D322" s="47" t="s">
        <v>620</v>
      </c>
      <c r="E322" s="569" t="s">
        <v>921</v>
      </c>
      <c r="F322" s="115"/>
      <c r="G322" s="764"/>
    </row>
    <row r="323" spans="1:15" x14ac:dyDescent="0.2">
      <c r="A323" s="47" t="s">
        <v>1416</v>
      </c>
      <c r="B323" s="563" t="e">
        <f>SUM(B321:B322)</f>
        <v>#N/A</v>
      </c>
      <c r="C323" s="6"/>
      <c r="D323" s="47" t="s">
        <v>622</v>
      </c>
      <c r="E323" s="569" t="s">
        <v>670</v>
      </c>
      <c r="F323" s="115"/>
      <c r="G323" s="764"/>
    </row>
    <row r="324" spans="1:15" s="447" customFormat="1" x14ac:dyDescent="0.2">
      <c r="A324" s="450"/>
      <c r="B324" s="833"/>
      <c r="C324" s="449"/>
      <c r="D324" s="450"/>
      <c r="E324" s="451" t="s">
        <v>1577</v>
      </c>
      <c r="F324" s="451"/>
      <c r="G324" s="775"/>
      <c r="H324" s="446"/>
      <c r="I324" s="446"/>
      <c r="J324" s="446"/>
      <c r="K324" s="446"/>
      <c r="L324" s="446"/>
      <c r="M324" s="446"/>
      <c r="N324" s="446"/>
      <c r="O324" s="446"/>
    </row>
    <row r="325" spans="1:15" s="447" customFormat="1" x14ac:dyDescent="0.2">
      <c r="A325" s="348"/>
      <c r="B325" s="821" t="e">
        <f>B320</f>
        <v>#N/A</v>
      </c>
      <c r="C325" s="448"/>
      <c r="D325" s="348" t="s">
        <v>1578</v>
      </c>
      <c r="E325" s="569" t="s">
        <v>1579</v>
      </c>
      <c r="F325" s="115"/>
      <c r="G325" s="764"/>
      <c r="H325" s="446"/>
      <c r="I325" s="446"/>
      <c r="J325" s="446"/>
      <c r="K325" s="446"/>
      <c r="L325" s="446"/>
      <c r="M325" s="446"/>
      <c r="N325" s="446"/>
      <c r="O325" s="446"/>
    </row>
    <row r="326" spans="1:15" s="447" customFormat="1" x14ac:dyDescent="0.2">
      <c r="A326" s="348" t="s">
        <v>476</v>
      </c>
      <c r="B326" s="821">
        <f>B152</f>
        <v>0</v>
      </c>
      <c r="C326" s="448"/>
      <c r="D326" s="348" t="s">
        <v>1580</v>
      </c>
      <c r="E326" s="569" t="str">
        <f>CONCATENATE(DoM!$B$6-2," Taxable Valuation with Gas &amp; Electric Utilities (Line 6.1)")</f>
        <v>2016 Taxable Valuation with Gas &amp; Electric Utilities (Line 6.1)</v>
      </c>
      <c r="F326" s="115"/>
      <c r="G326" s="764"/>
      <c r="H326" s="446"/>
      <c r="I326" s="446"/>
      <c r="J326" s="446"/>
      <c r="K326" s="446"/>
      <c r="L326" s="446"/>
      <c r="M326" s="446"/>
      <c r="N326" s="446"/>
      <c r="O326" s="446"/>
    </row>
    <row r="327" spans="1:15" s="447" customFormat="1" x14ac:dyDescent="0.2">
      <c r="A327" s="348" t="s">
        <v>1416</v>
      </c>
      <c r="B327" s="843">
        <f>IF(B326&gt;0,ROUND(B325/(B326/1000),5),0)</f>
        <v>0</v>
      </c>
      <c r="C327" s="448"/>
      <c r="D327" s="348" t="s">
        <v>1581</v>
      </c>
      <c r="E327" s="569" t="s">
        <v>1582</v>
      </c>
      <c r="F327" s="115"/>
      <c r="G327" s="764"/>
      <c r="H327" s="446"/>
      <c r="I327" s="446"/>
      <c r="J327" s="446"/>
      <c r="K327" s="446"/>
      <c r="L327" s="446"/>
      <c r="M327" s="446"/>
      <c r="N327" s="446"/>
      <c r="O327" s="446"/>
    </row>
    <row r="328" spans="1:15" s="447" customFormat="1" x14ac:dyDescent="0.2">
      <c r="A328" s="448" t="s">
        <v>1414</v>
      </c>
      <c r="B328" s="821">
        <f>B164</f>
        <v>0</v>
      </c>
      <c r="C328" s="448"/>
      <c r="D328" s="348" t="s">
        <v>1583</v>
      </c>
      <c r="E328" s="569" t="str">
        <f>CONCATENATE(DoM!$B$6-2," Commercial &amp; Industrial Valuation Reduction (Line 6.11)")</f>
        <v>2016 Commercial &amp; Industrial Valuation Reduction (Line 6.11)</v>
      </c>
      <c r="F328" s="115"/>
      <c r="G328" s="764"/>
      <c r="H328" s="446"/>
      <c r="I328" s="446"/>
      <c r="J328" s="446"/>
      <c r="K328" s="446"/>
      <c r="L328" s="446"/>
      <c r="M328" s="446"/>
      <c r="N328" s="446"/>
      <c r="O328" s="446"/>
    </row>
    <row r="329" spans="1:15" s="447" customFormat="1" x14ac:dyDescent="0.2">
      <c r="A329" s="348" t="s">
        <v>1416</v>
      </c>
      <c r="B329" s="821">
        <f>ROUND(B327*(B328/1000),0)</f>
        <v>0</v>
      </c>
      <c r="C329" s="448"/>
      <c r="D329" s="348" t="s">
        <v>1584</v>
      </c>
      <c r="E329" s="572" t="s">
        <v>1743</v>
      </c>
      <c r="F329" s="505"/>
      <c r="G329" s="764"/>
      <c r="H329" s="446"/>
      <c r="I329" s="446"/>
      <c r="J329" s="446"/>
      <c r="K329" s="446"/>
      <c r="L329" s="446"/>
      <c r="M329" s="446"/>
      <c r="N329" s="446"/>
      <c r="O329" s="446"/>
    </row>
    <row r="330" spans="1:15" s="447" customFormat="1" x14ac:dyDescent="0.2">
      <c r="A330" s="448"/>
      <c r="B330" s="563" t="e">
        <f>INDEX(SNAME[],MATCH($D$2,SNAME[DIST],0),MATCH($G330,SNAME[#Headers],0))</f>
        <v>#N/A</v>
      </c>
      <c r="C330" s="448"/>
      <c r="D330" s="348" t="s">
        <v>1585</v>
      </c>
      <c r="E330" s="572" t="s">
        <v>1703</v>
      </c>
      <c r="F330" s="505"/>
      <c r="G330" s="764" t="str">
        <f>SNAME[[#Headers],[line 13.15 x604]]</f>
        <v>line 13.15 x604</v>
      </c>
      <c r="H330" s="446"/>
      <c r="I330" s="446"/>
      <c r="J330" s="446"/>
      <c r="K330" s="446"/>
      <c r="L330" s="446"/>
      <c r="M330" s="446"/>
      <c r="N330" s="446"/>
      <c r="O330" s="446"/>
    </row>
    <row r="331" spans="1:15" s="447" customFormat="1" x14ac:dyDescent="0.2">
      <c r="A331" s="348" t="s">
        <v>1451</v>
      </c>
      <c r="B331" s="563" t="e">
        <f>INDEX(SNAME[],MATCH($D$2,SNAME[DIST],0),MATCH($G331,SNAME[#Headers],0))</f>
        <v>#N/A</v>
      </c>
      <c r="C331" s="448"/>
      <c r="D331" s="348" t="s">
        <v>1586</v>
      </c>
      <c r="E331" s="572" t="str">
        <f>CONCATENATE("Previous Year Additional Levy C&amp;I State Replacement Budgeted (Line 13.14 - ",DoM!$C$5," A&amp;L)")</f>
        <v>Previous Year Additional Levy C&amp;I State Replacement Budgeted (Line 13.14 - FY17 A&amp;L)</v>
      </c>
      <c r="F331" s="505"/>
      <c r="G331" s="764" t="str">
        <f>SNAME[[#Headers],[line 13.16 x605]]</f>
        <v>line 13.16 x605</v>
      </c>
      <c r="H331" s="446"/>
      <c r="I331" s="446"/>
      <c r="J331" s="446"/>
      <c r="K331" s="446"/>
      <c r="L331" s="446"/>
      <c r="M331" s="446"/>
      <c r="N331" s="446"/>
      <c r="O331" s="446"/>
    </row>
    <row r="332" spans="1:15" s="447" customFormat="1" x14ac:dyDescent="0.2">
      <c r="A332" s="348" t="s">
        <v>1416</v>
      </c>
      <c r="B332" s="821" t="e">
        <f>B330-B331</f>
        <v>#N/A</v>
      </c>
      <c r="C332" s="448"/>
      <c r="D332" s="348" t="s">
        <v>1587</v>
      </c>
      <c r="E332" s="572" t="s">
        <v>1704</v>
      </c>
      <c r="F332" s="505"/>
      <c r="G332" s="764"/>
      <c r="H332" s="446"/>
      <c r="I332" s="446"/>
      <c r="J332" s="446"/>
    </row>
    <row r="333" spans="1:15" s="447" customFormat="1" x14ac:dyDescent="0.2">
      <c r="A333" s="348" t="s">
        <v>1424</v>
      </c>
      <c r="B333" s="821">
        <f>B329</f>
        <v>0</v>
      </c>
      <c r="C333" s="448"/>
      <c r="D333" s="348" t="s">
        <v>1588</v>
      </c>
      <c r="E333" s="572" t="s">
        <v>1744</v>
      </c>
      <c r="F333" s="505"/>
      <c r="G333" s="764"/>
      <c r="H333" s="446"/>
      <c r="I333" s="446"/>
      <c r="J333" s="446"/>
    </row>
    <row r="334" spans="1:15" s="447" customFormat="1" x14ac:dyDescent="0.2">
      <c r="A334" s="348" t="s">
        <v>1416</v>
      </c>
      <c r="B334" s="821" t="e">
        <f>B332+B333</f>
        <v>#N/A</v>
      </c>
      <c r="C334" s="448"/>
      <c r="D334" s="348" t="s">
        <v>1589</v>
      </c>
      <c r="E334" s="572" t="s">
        <v>1705</v>
      </c>
      <c r="F334" s="505"/>
      <c r="G334" s="764"/>
      <c r="H334" s="446"/>
      <c r="I334" s="446"/>
      <c r="J334" s="446"/>
    </row>
    <row r="335" spans="1:15" s="447" customFormat="1" x14ac:dyDescent="0.2">
      <c r="A335" s="348"/>
      <c r="B335" s="821" t="e">
        <f>B320</f>
        <v>#N/A</v>
      </c>
      <c r="C335" s="448"/>
      <c r="D335" s="348" t="s">
        <v>1590</v>
      </c>
      <c r="E335" s="572" t="s">
        <v>1579</v>
      </c>
      <c r="F335" s="505"/>
      <c r="G335" s="764"/>
      <c r="H335" s="446"/>
      <c r="I335" s="446"/>
      <c r="J335" s="446"/>
    </row>
    <row r="336" spans="1:15" s="447" customFormat="1" x14ac:dyDescent="0.2">
      <c r="A336" s="348" t="s">
        <v>1451</v>
      </c>
      <c r="B336" s="821" t="e">
        <f>B334</f>
        <v>#N/A</v>
      </c>
      <c r="C336" s="448"/>
      <c r="D336" s="348" t="s">
        <v>1591</v>
      </c>
      <c r="E336" s="572" t="s">
        <v>1736</v>
      </c>
      <c r="F336" s="505"/>
      <c r="G336" s="764"/>
      <c r="H336" s="446"/>
      <c r="I336" s="446"/>
      <c r="J336" s="446"/>
    </row>
    <row r="337" spans="1:15" s="447" customFormat="1" x14ac:dyDescent="0.2">
      <c r="A337" s="348" t="s">
        <v>1416</v>
      </c>
      <c r="B337" s="821" t="e">
        <f>B335-B336</f>
        <v>#N/A</v>
      </c>
      <c r="C337" s="448"/>
      <c r="D337" s="348" t="s">
        <v>1592</v>
      </c>
      <c r="E337" s="572" t="s">
        <v>1706</v>
      </c>
      <c r="F337" s="505"/>
      <c r="G337" s="764"/>
      <c r="H337" s="446"/>
      <c r="I337" s="446"/>
      <c r="J337" s="446"/>
    </row>
    <row r="338" spans="1:15" s="447" customFormat="1" x14ac:dyDescent="0.2">
      <c r="A338" s="348" t="s">
        <v>1456</v>
      </c>
      <c r="B338" s="821" t="e">
        <f>B171</f>
        <v>#N/A</v>
      </c>
      <c r="C338" s="448"/>
      <c r="D338" s="348" t="s">
        <v>1593</v>
      </c>
      <c r="E338" s="572" t="s">
        <v>1737</v>
      </c>
      <c r="F338" s="505"/>
      <c r="G338" s="764"/>
      <c r="H338" s="446"/>
      <c r="I338" s="446"/>
      <c r="J338" s="446"/>
    </row>
    <row r="339" spans="1:15" s="447" customFormat="1" x14ac:dyDescent="0.2">
      <c r="A339" s="348" t="s">
        <v>1424</v>
      </c>
      <c r="B339" s="821" t="e">
        <f>B334</f>
        <v>#N/A</v>
      </c>
      <c r="C339" s="448"/>
      <c r="D339" s="348" t="s">
        <v>1594</v>
      </c>
      <c r="E339" s="572" t="s">
        <v>1736</v>
      </c>
      <c r="F339" s="505"/>
      <c r="G339" s="764"/>
      <c r="H339" s="446"/>
      <c r="I339" s="446"/>
      <c r="J339" s="446"/>
    </row>
    <row r="340" spans="1:15" s="447" customFormat="1" x14ac:dyDescent="0.2">
      <c r="A340" s="348" t="s">
        <v>1416</v>
      </c>
      <c r="B340" s="821" t="e">
        <f>B338+B339</f>
        <v>#N/A</v>
      </c>
      <c r="C340" s="448"/>
      <c r="D340" s="348" t="s">
        <v>1595</v>
      </c>
      <c r="E340" s="572" t="s">
        <v>1596</v>
      </c>
      <c r="F340" s="505"/>
      <c r="G340" s="764"/>
      <c r="H340" s="446"/>
      <c r="I340" s="446"/>
      <c r="J340" s="446"/>
    </row>
    <row r="341" spans="1:15" s="447" customFormat="1" x14ac:dyDescent="0.2">
      <c r="A341" s="458"/>
      <c r="B341" s="844"/>
      <c r="C341" s="459"/>
      <c r="D341" s="459"/>
      <c r="E341" s="460" t="s">
        <v>914</v>
      </c>
      <c r="F341" s="508"/>
      <c r="G341" s="780"/>
      <c r="H341" s="446"/>
      <c r="I341" s="446"/>
      <c r="J341" s="446"/>
      <c r="K341" s="446"/>
      <c r="L341" s="446"/>
      <c r="M341" s="446"/>
      <c r="N341" s="446"/>
      <c r="O341" s="446"/>
    </row>
    <row r="342" spans="1:15" x14ac:dyDescent="0.2">
      <c r="A342" s="27"/>
      <c r="B342" s="814"/>
      <c r="E342" s="82" t="s">
        <v>671</v>
      </c>
      <c r="F342" s="82"/>
      <c r="G342" s="775"/>
    </row>
    <row r="343" spans="1:15" x14ac:dyDescent="0.2">
      <c r="A343" s="6"/>
      <c r="B343" s="563" t="e">
        <f>B154</f>
        <v>#N/A</v>
      </c>
      <c r="C343" s="6"/>
      <c r="D343" s="47" t="s">
        <v>672</v>
      </c>
      <c r="E343" s="47" t="s">
        <v>1757</v>
      </c>
      <c r="F343" s="115"/>
      <c r="G343" s="764"/>
    </row>
    <row r="344" spans="1:15" x14ac:dyDescent="0.2">
      <c r="A344" s="47" t="s">
        <v>1424</v>
      </c>
      <c r="B344" s="563" t="e">
        <f>B337</f>
        <v>#N/A</v>
      </c>
      <c r="C344" s="6"/>
      <c r="D344" s="47" t="s">
        <v>673</v>
      </c>
      <c r="E344" s="47" t="s">
        <v>1709</v>
      </c>
      <c r="F344" s="115"/>
      <c r="G344" s="764"/>
    </row>
    <row r="345" spans="1:15" x14ac:dyDescent="0.2">
      <c r="A345" s="47" t="s">
        <v>1416</v>
      </c>
      <c r="B345" s="563" t="e">
        <f>SUM(B343:B344)</f>
        <v>#N/A</v>
      </c>
      <c r="C345" s="6"/>
      <c r="D345" s="47" t="s">
        <v>674</v>
      </c>
      <c r="E345" s="47" t="s">
        <v>675</v>
      </c>
      <c r="F345" s="115"/>
      <c r="G345" s="764"/>
    </row>
    <row r="346" spans="1:15" x14ac:dyDescent="0.2">
      <c r="A346" s="47" t="s">
        <v>1424</v>
      </c>
      <c r="B346" s="563" t="e">
        <f>B296</f>
        <v>#N/A</v>
      </c>
      <c r="C346" s="6"/>
      <c r="D346" s="47" t="s">
        <v>676</v>
      </c>
      <c r="E346" s="47" t="s">
        <v>677</v>
      </c>
      <c r="F346" s="115"/>
      <c r="G346" s="764"/>
    </row>
    <row r="347" spans="1:15" x14ac:dyDescent="0.2">
      <c r="A347" s="47" t="s">
        <v>1424</v>
      </c>
      <c r="B347" s="563" t="e">
        <f>B312</f>
        <v>#N/A</v>
      </c>
      <c r="C347" s="6"/>
      <c r="D347" s="47" t="s">
        <v>678</v>
      </c>
      <c r="E347" s="47" t="s">
        <v>679</v>
      </c>
      <c r="F347" s="115"/>
      <c r="G347" s="764"/>
    </row>
    <row r="348" spans="1:15" x14ac:dyDescent="0.2">
      <c r="A348" s="47"/>
      <c r="B348" s="845"/>
      <c r="C348" s="6"/>
      <c r="D348" s="47" t="s">
        <v>680</v>
      </c>
      <c r="E348" s="47" t="s">
        <v>46</v>
      </c>
      <c r="F348" s="115"/>
      <c r="G348" s="764"/>
    </row>
    <row r="349" spans="1:15" x14ac:dyDescent="0.2">
      <c r="A349" s="6"/>
      <c r="B349" s="845"/>
      <c r="C349" s="6"/>
      <c r="D349" s="47" t="s">
        <v>681</v>
      </c>
      <c r="E349" s="47" t="s">
        <v>46</v>
      </c>
      <c r="F349" s="115"/>
      <c r="G349" s="764"/>
    </row>
    <row r="350" spans="1:15" x14ac:dyDescent="0.2">
      <c r="A350" s="47" t="s">
        <v>1416</v>
      </c>
      <c r="B350" s="563" t="e">
        <f>SUM(B345:B349)</f>
        <v>#N/A</v>
      </c>
      <c r="C350" s="6"/>
      <c r="D350" s="47" t="s">
        <v>682</v>
      </c>
      <c r="E350" s="47" t="s">
        <v>683</v>
      </c>
      <c r="F350" s="115"/>
      <c r="G350" s="764"/>
    </row>
    <row r="351" spans="1:15" x14ac:dyDescent="0.2">
      <c r="A351" s="47" t="s">
        <v>1424</v>
      </c>
      <c r="B351" s="826">
        <f>InputsResults!$B$52</f>
        <v>0</v>
      </c>
      <c r="C351" s="6"/>
      <c r="D351" s="47" t="s">
        <v>684</v>
      </c>
      <c r="E351" s="47" t="s">
        <v>685</v>
      </c>
      <c r="F351" s="115"/>
      <c r="G351" s="764"/>
    </row>
    <row r="352" spans="1:15" x14ac:dyDescent="0.2">
      <c r="A352" s="47" t="s">
        <v>1424</v>
      </c>
      <c r="B352" s="826">
        <f>InputsResults!$B$53</f>
        <v>0</v>
      </c>
      <c r="C352" s="6"/>
      <c r="D352" s="47" t="s">
        <v>686</v>
      </c>
      <c r="E352" s="47" t="s">
        <v>687</v>
      </c>
      <c r="F352" s="115"/>
      <c r="G352" s="764"/>
    </row>
    <row r="353" spans="1:7" x14ac:dyDescent="0.2">
      <c r="A353" s="47" t="s">
        <v>1451</v>
      </c>
      <c r="B353" s="826">
        <f>InputsResults!$B$54</f>
        <v>0</v>
      </c>
      <c r="C353" s="6"/>
      <c r="D353" s="47" t="s">
        <v>688</v>
      </c>
      <c r="E353" s="47" t="s">
        <v>689</v>
      </c>
      <c r="F353" s="115"/>
      <c r="G353" s="764"/>
    </row>
    <row r="354" spans="1:7" x14ac:dyDescent="0.2">
      <c r="A354" s="47" t="s">
        <v>1416</v>
      </c>
      <c r="B354" s="563" t="e">
        <f>SUM(B350:B352)-B353</f>
        <v>#N/A</v>
      </c>
      <c r="C354" s="6"/>
      <c r="D354" s="47" t="s">
        <v>690</v>
      </c>
      <c r="E354" s="47" t="s">
        <v>691</v>
      </c>
      <c r="F354" s="115"/>
      <c r="G354" s="764"/>
    </row>
    <row r="355" spans="1:7" x14ac:dyDescent="0.2">
      <c r="A355" s="47" t="s">
        <v>1451</v>
      </c>
      <c r="B355" s="563" t="e">
        <f>B296</f>
        <v>#N/A</v>
      </c>
      <c r="C355" s="6"/>
      <c r="D355" s="47" t="s">
        <v>1507</v>
      </c>
      <c r="E355" s="47" t="s">
        <v>677</v>
      </c>
      <c r="F355" s="115"/>
      <c r="G355" s="764"/>
    </row>
    <row r="356" spans="1:7" x14ac:dyDescent="0.2">
      <c r="A356" s="47" t="s">
        <v>1416</v>
      </c>
      <c r="B356" s="563" t="e">
        <f>B354-B355</f>
        <v>#N/A</v>
      </c>
      <c r="C356" s="6"/>
      <c r="D356" s="47" t="s">
        <v>1508</v>
      </c>
      <c r="E356" s="47" t="s">
        <v>1519</v>
      </c>
      <c r="F356" s="115"/>
      <c r="G356" s="764"/>
    </row>
    <row r="357" spans="1:7" x14ac:dyDescent="0.2">
      <c r="A357" s="47" t="s">
        <v>476</v>
      </c>
      <c r="B357" s="563">
        <f>B152</f>
        <v>0</v>
      </c>
      <c r="C357" s="6"/>
      <c r="D357" s="47" t="s">
        <v>1509</v>
      </c>
      <c r="E357" s="569" t="str">
        <f>CONCATENATE(DoM!$B$6-2," Taxable Valuation with Gas &amp; Electric Utilities (Line 6.1)")</f>
        <v>2016 Taxable Valuation with Gas &amp; Electric Utilities (Line 6.1)</v>
      </c>
      <c r="F357" s="115"/>
      <c r="G357" s="764"/>
    </row>
    <row r="358" spans="1:7" x14ac:dyDescent="0.2">
      <c r="A358" s="47" t="s">
        <v>1416</v>
      </c>
      <c r="B358" s="846">
        <f>IF(B357&gt;0,ROUND(B356/(B357/1000),5),0)</f>
        <v>0</v>
      </c>
      <c r="C358" s="6"/>
      <c r="D358" s="47" t="s">
        <v>1510</v>
      </c>
      <c r="E358" s="47" t="s">
        <v>1516</v>
      </c>
      <c r="F358" s="115"/>
      <c r="G358" s="764"/>
    </row>
    <row r="359" spans="1:7" x14ac:dyDescent="0.2">
      <c r="A359" s="47"/>
      <c r="B359" s="563" t="e">
        <f>B296</f>
        <v>#N/A</v>
      </c>
      <c r="C359" s="6"/>
      <c r="D359" s="47" t="s">
        <v>1511</v>
      </c>
      <c r="E359" s="47" t="s">
        <v>677</v>
      </c>
      <c r="F359" s="115"/>
      <c r="G359" s="764"/>
    </row>
    <row r="360" spans="1:7" x14ac:dyDescent="0.2">
      <c r="A360" s="47" t="s">
        <v>476</v>
      </c>
      <c r="B360" s="847">
        <f>TaxCert!C52+TaxCert!C53</f>
        <v>0</v>
      </c>
      <c r="C360" s="6"/>
      <c r="D360" s="47" t="s">
        <v>1512</v>
      </c>
      <c r="E360" s="569" t="str">
        <f>CONCATENATE(DoM!$B$6-2," Taxable and TIF Valuations with Gas &amp; Electric")</f>
        <v>2016 Taxable and TIF Valuations with Gas &amp; Electric</v>
      </c>
      <c r="F360" s="115"/>
      <c r="G360" s="764"/>
    </row>
    <row r="361" spans="1:7" x14ac:dyDescent="0.2">
      <c r="A361" s="47" t="s">
        <v>1416</v>
      </c>
      <c r="B361" s="846">
        <f>IF(B360&gt;0,ROUND(B359/(B360/1000),5),0)</f>
        <v>0</v>
      </c>
      <c r="C361" s="6"/>
      <c r="D361" s="47" t="s">
        <v>1513</v>
      </c>
      <c r="E361" s="47" t="s">
        <v>1517</v>
      </c>
      <c r="F361" s="115"/>
      <c r="G361" s="764"/>
    </row>
    <row r="362" spans="1:7" x14ac:dyDescent="0.2">
      <c r="A362" s="47" t="s">
        <v>1424</v>
      </c>
      <c r="B362" s="846">
        <f>B358</f>
        <v>0</v>
      </c>
      <c r="C362" s="6"/>
      <c r="D362" s="47" t="s">
        <v>1514</v>
      </c>
      <c r="E362" s="47" t="s">
        <v>1522</v>
      </c>
      <c r="F362" s="115"/>
      <c r="G362" s="764"/>
    </row>
    <row r="363" spans="1:7" x14ac:dyDescent="0.2">
      <c r="A363" s="47" t="s">
        <v>1416</v>
      </c>
      <c r="B363" s="846">
        <f>B361+B362</f>
        <v>0</v>
      </c>
      <c r="C363" s="6"/>
      <c r="D363" s="47" t="s">
        <v>1515</v>
      </c>
      <c r="E363" s="47" t="s">
        <v>1518</v>
      </c>
      <c r="F363" s="115"/>
      <c r="G363" s="764"/>
    </row>
    <row r="364" spans="1:7" x14ac:dyDescent="0.2">
      <c r="A364" s="27"/>
      <c r="B364" s="814"/>
      <c r="E364" s="82" t="s">
        <v>692</v>
      </c>
      <c r="F364" s="82"/>
      <c r="G364" s="775"/>
    </row>
    <row r="365" spans="1:7" x14ac:dyDescent="0.2">
      <c r="A365" s="6"/>
      <c r="B365" s="563" t="e">
        <f>B97</f>
        <v>#N/A</v>
      </c>
      <c r="C365" s="6"/>
      <c r="D365" s="47" t="s">
        <v>693</v>
      </c>
      <c r="E365" s="348" t="s">
        <v>1710</v>
      </c>
      <c r="F365" s="505"/>
      <c r="G365" s="764"/>
    </row>
    <row r="366" spans="1:7" x14ac:dyDescent="0.2">
      <c r="A366" s="47" t="s">
        <v>1424</v>
      </c>
      <c r="B366" s="563" t="e">
        <f>B102</f>
        <v>#N/A</v>
      </c>
      <c r="C366" s="6"/>
      <c r="D366" s="47" t="s">
        <v>694</v>
      </c>
      <c r="E366" s="348" t="s">
        <v>1682</v>
      </c>
      <c r="F366" s="505"/>
      <c r="G366" s="764"/>
    </row>
    <row r="367" spans="1:7" x14ac:dyDescent="0.2">
      <c r="A367" s="47" t="s">
        <v>1424</v>
      </c>
      <c r="B367" s="563" t="e">
        <f>B108</f>
        <v>#N/A</v>
      </c>
      <c r="C367" s="6"/>
      <c r="D367" s="47" t="s">
        <v>695</v>
      </c>
      <c r="E367" s="348" t="s">
        <v>1711</v>
      </c>
      <c r="F367" s="505"/>
      <c r="G367" s="764"/>
    </row>
    <row r="368" spans="1:7" x14ac:dyDescent="0.2">
      <c r="A368" s="47" t="s">
        <v>1424</v>
      </c>
      <c r="B368" s="563" t="e">
        <f>B111</f>
        <v>#N/A</v>
      </c>
      <c r="C368" s="6"/>
      <c r="D368" s="47" t="s">
        <v>696</v>
      </c>
      <c r="E368" s="348" t="s">
        <v>1712</v>
      </c>
      <c r="F368" s="505"/>
      <c r="G368" s="764"/>
    </row>
    <row r="369" spans="1:7" x14ac:dyDescent="0.2">
      <c r="A369" s="47" t="s">
        <v>1424</v>
      </c>
      <c r="B369" s="563" t="e">
        <f>B114</f>
        <v>#N/A</v>
      </c>
      <c r="C369" s="6"/>
      <c r="D369" s="47" t="s">
        <v>697</v>
      </c>
      <c r="E369" s="348" t="s">
        <v>1685</v>
      </c>
      <c r="F369" s="505"/>
      <c r="G369" s="764"/>
    </row>
    <row r="370" spans="1:7" x14ac:dyDescent="0.2">
      <c r="A370" s="47" t="s">
        <v>1424</v>
      </c>
      <c r="B370" s="563" t="e">
        <f>B122</f>
        <v>#N/A</v>
      </c>
      <c r="C370" s="6"/>
      <c r="D370" s="47" t="s">
        <v>699</v>
      </c>
      <c r="E370" s="348" t="s">
        <v>1686</v>
      </c>
      <c r="F370" s="505"/>
      <c r="G370" s="764"/>
    </row>
    <row r="371" spans="1:7" x14ac:dyDescent="0.2">
      <c r="A371" s="47" t="s">
        <v>1424</v>
      </c>
      <c r="B371" s="563" t="e">
        <f>B130</f>
        <v>#N/A</v>
      </c>
      <c r="C371" s="6"/>
      <c r="D371" s="47" t="s">
        <v>701</v>
      </c>
      <c r="E371" s="348" t="s">
        <v>1687</v>
      </c>
      <c r="F371" s="505"/>
      <c r="G371" s="764"/>
    </row>
    <row r="372" spans="1:7" x14ac:dyDescent="0.2">
      <c r="A372" s="47" t="s">
        <v>1451</v>
      </c>
      <c r="B372" s="563" t="e">
        <f>B147</f>
        <v>#N/A</v>
      </c>
      <c r="C372" s="6"/>
      <c r="D372" s="47" t="s">
        <v>702</v>
      </c>
      <c r="E372" s="348" t="s">
        <v>1700</v>
      </c>
      <c r="F372" s="505"/>
      <c r="G372" s="764"/>
    </row>
    <row r="373" spans="1:7" x14ac:dyDescent="0.2">
      <c r="A373" s="47" t="s">
        <v>1416</v>
      </c>
      <c r="B373" s="563" t="e">
        <f>SUM(B365:B371)-B372</f>
        <v>#N/A</v>
      </c>
      <c r="C373" s="6"/>
      <c r="D373" s="47" t="s">
        <v>912</v>
      </c>
      <c r="E373" s="348" t="s">
        <v>698</v>
      </c>
      <c r="F373" s="505"/>
      <c r="G373" s="764"/>
    </row>
    <row r="374" spans="1:7" x14ac:dyDescent="0.2">
      <c r="A374" s="6"/>
      <c r="B374" s="563" t="e">
        <f>B274</f>
        <v>#N/A</v>
      </c>
      <c r="C374" s="6"/>
      <c r="D374" s="47" t="s">
        <v>1376</v>
      </c>
      <c r="E374" s="335" t="s">
        <v>1597</v>
      </c>
      <c r="F374" s="506"/>
      <c r="G374" s="779"/>
    </row>
    <row r="375" spans="1:7" x14ac:dyDescent="0.2">
      <c r="A375" s="47" t="s">
        <v>1451</v>
      </c>
      <c r="B375" s="563" t="e">
        <f>B373</f>
        <v>#N/A</v>
      </c>
      <c r="C375" s="6"/>
      <c r="D375" s="47" t="s">
        <v>1324</v>
      </c>
      <c r="E375" s="348" t="s">
        <v>1050</v>
      </c>
      <c r="F375" s="505"/>
      <c r="G375" s="764"/>
    </row>
    <row r="376" spans="1:7" x14ac:dyDescent="0.2">
      <c r="A376" s="47" t="s">
        <v>1416</v>
      </c>
      <c r="B376" s="563" t="e">
        <f>B374-B375</f>
        <v>#N/A</v>
      </c>
      <c r="C376" s="6"/>
      <c r="D376" s="47" t="s">
        <v>1325</v>
      </c>
      <c r="E376" s="348" t="s">
        <v>703</v>
      </c>
      <c r="F376" s="505"/>
      <c r="G376" s="764"/>
    </row>
    <row r="377" spans="1:7" x14ac:dyDescent="0.2">
      <c r="A377" s="27"/>
      <c r="B377" s="814"/>
      <c r="E377" s="82" t="s">
        <v>704</v>
      </c>
      <c r="F377" s="82"/>
      <c r="G377" s="775"/>
    </row>
    <row r="378" spans="1:7" x14ac:dyDescent="0.2">
      <c r="A378" s="47" t="s">
        <v>1424</v>
      </c>
      <c r="B378" s="563" t="e">
        <f>B150</f>
        <v>#N/A</v>
      </c>
      <c r="C378" s="6"/>
      <c r="D378" s="47" t="s">
        <v>705</v>
      </c>
      <c r="E378" s="572" t="s">
        <v>1697</v>
      </c>
      <c r="F378" s="505"/>
      <c r="G378" s="764"/>
    </row>
    <row r="379" spans="1:7" x14ac:dyDescent="0.2">
      <c r="A379" s="47" t="s">
        <v>1424</v>
      </c>
      <c r="B379" s="848" t="e">
        <f>'UAB Wksht'!I38</f>
        <v>#N/A</v>
      </c>
      <c r="C379" s="6"/>
      <c r="D379" s="47" t="s">
        <v>706</v>
      </c>
      <c r="E379" s="572" t="str">
        <f>CONCATENATE("Estimated ",DoM!$C$5," Unspent Budget Authority")</f>
        <v>Estimated FY17 Unspent Budget Authority</v>
      </c>
      <c r="F379" s="505"/>
      <c r="G379" s="764"/>
    </row>
    <row r="380" spans="1:7" x14ac:dyDescent="0.2">
      <c r="A380" s="47" t="s">
        <v>1424</v>
      </c>
      <c r="B380" s="848">
        <f>'UAB Wksht'!J26</f>
        <v>0</v>
      </c>
      <c r="C380" s="6"/>
      <c r="D380" s="47" t="s">
        <v>707</v>
      </c>
      <c r="E380" s="572" t="s">
        <v>708</v>
      </c>
      <c r="F380" s="505"/>
      <c r="G380" s="764"/>
    </row>
    <row r="381" spans="1:7" x14ac:dyDescent="0.2">
      <c r="A381" s="47" t="s">
        <v>1424</v>
      </c>
      <c r="B381" s="563" t="e">
        <f>B302</f>
        <v>#N/A</v>
      </c>
      <c r="C381" s="6"/>
      <c r="D381" s="47" t="s">
        <v>709</v>
      </c>
      <c r="E381" s="572" t="s">
        <v>710</v>
      </c>
      <c r="F381" s="505"/>
      <c r="G381" s="764"/>
    </row>
    <row r="382" spans="1:7" x14ac:dyDescent="0.2">
      <c r="A382" s="47" t="s">
        <v>1424</v>
      </c>
      <c r="B382" s="563" t="e">
        <f>B306</f>
        <v>#N/A</v>
      </c>
      <c r="C382" s="6"/>
      <c r="D382" s="47" t="s">
        <v>711</v>
      </c>
      <c r="E382" s="572" t="s">
        <v>712</v>
      </c>
      <c r="F382" s="505"/>
      <c r="G382" s="764"/>
    </row>
    <row r="383" spans="1:7" x14ac:dyDescent="0.2">
      <c r="A383" s="47" t="s">
        <v>1424</v>
      </c>
      <c r="B383" s="563" t="e">
        <f>B210</f>
        <v>#N/A</v>
      </c>
      <c r="C383" s="6"/>
      <c r="D383" s="47" t="s">
        <v>713</v>
      </c>
      <c r="E383" s="572" t="s">
        <v>1702</v>
      </c>
      <c r="F383" s="505"/>
      <c r="G383" s="764"/>
    </row>
    <row r="384" spans="1:7" x14ac:dyDescent="0.2">
      <c r="A384" s="6"/>
      <c r="B384" s="845"/>
      <c r="C384" s="6"/>
      <c r="D384" s="47" t="s">
        <v>714</v>
      </c>
      <c r="E384" s="572" t="s">
        <v>46</v>
      </c>
      <c r="F384" s="505"/>
      <c r="G384" s="764"/>
    </row>
    <row r="385" spans="1:9" x14ac:dyDescent="0.2">
      <c r="A385" s="47" t="s">
        <v>1424</v>
      </c>
      <c r="B385" s="826" t="e">
        <f>'UAB Wksht'!J34</f>
        <v>#N/A</v>
      </c>
      <c r="C385" s="6"/>
      <c r="D385" s="47" t="s">
        <v>715</v>
      </c>
      <c r="E385" s="572" t="str">
        <f>CONCATENATE("Estimated ",DoM!$C$6," Other Miscellaneous Income")</f>
        <v>Estimated FY18 Other Miscellaneous Income</v>
      </c>
      <c r="F385" s="505"/>
      <c r="G385" s="764"/>
    </row>
    <row r="386" spans="1:9" x14ac:dyDescent="0.2">
      <c r="A386" s="47" t="s">
        <v>1416</v>
      </c>
      <c r="B386" s="563" t="e">
        <f>SUM(B378:B385)</f>
        <v>#N/A</v>
      </c>
      <c r="C386" s="6"/>
      <c r="D386" s="47" t="s">
        <v>716</v>
      </c>
      <c r="E386" s="572" t="s">
        <v>717</v>
      </c>
      <c r="F386" s="505"/>
      <c r="G386" s="764"/>
    </row>
    <row r="387" spans="1:9" x14ac:dyDescent="0.2">
      <c r="A387" s="27"/>
      <c r="B387" s="814"/>
      <c r="E387" s="82" t="s">
        <v>718</v>
      </c>
      <c r="F387" s="82"/>
      <c r="G387" s="775"/>
    </row>
    <row r="388" spans="1:9" x14ac:dyDescent="0.2">
      <c r="A388" s="6"/>
      <c r="B388" s="563" t="e">
        <f>B379</f>
        <v>#N/A</v>
      </c>
      <c r="C388" s="6"/>
      <c r="D388" s="47" t="s">
        <v>719</v>
      </c>
      <c r="E388" s="569" t="str">
        <f>CONCATENATE("Estimated ",DoM!$C$5," Unspent Budget Authority (Line 17.2)")</f>
        <v>Estimated FY17 Unspent Budget Authority (Line 17.2)</v>
      </c>
      <c r="F388" s="115"/>
      <c r="G388" s="764"/>
    </row>
    <row r="389" spans="1:9" x14ac:dyDescent="0.2">
      <c r="A389" s="47" t="s">
        <v>1424</v>
      </c>
      <c r="B389" s="563">
        <f>B380</f>
        <v>0</v>
      </c>
      <c r="C389" s="6"/>
      <c r="D389" s="47" t="s">
        <v>720</v>
      </c>
      <c r="E389" s="569" t="s">
        <v>721</v>
      </c>
      <c r="F389" s="115"/>
      <c r="G389" s="764"/>
    </row>
    <row r="390" spans="1:9" x14ac:dyDescent="0.2">
      <c r="A390" s="47" t="s">
        <v>1424</v>
      </c>
      <c r="B390" s="563" t="e">
        <f>B350</f>
        <v>#N/A</v>
      </c>
      <c r="C390" s="6"/>
      <c r="D390" s="47" t="s">
        <v>722</v>
      </c>
      <c r="E390" s="569" t="s">
        <v>723</v>
      </c>
      <c r="F390" s="115"/>
      <c r="G390" s="764"/>
    </row>
    <row r="391" spans="1:9" x14ac:dyDescent="0.2">
      <c r="A391" s="47" t="s">
        <v>1424</v>
      </c>
      <c r="B391" s="563" t="e">
        <f>B274</f>
        <v>#N/A</v>
      </c>
      <c r="C391" s="6"/>
      <c r="D391" s="47" t="s">
        <v>724</v>
      </c>
      <c r="E391" s="576" t="s">
        <v>1597</v>
      </c>
      <c r="F391" s="506"/>
      <c r="G391" s="779"/>
    </row>
    <row r="392" spans="1:9" x14ac:dyDescent="0.2">
      <c r="A392" s="47" t="s">
        <v>1424</v>
      </c>
      <c r="B392" s="563" t="e">
        <f>B299</f>
        <v>#N/A</v>
      </c>
      <c r="C392" s="6"/>
      <c r="D392" s="47" t="s">
        <v>725</v>
      </c>
      <c r="E392" s="569" t="s">
        <v>726</v>
      </c>
      <c r="F392" s="115"/>
      <c r="G392" s="764"/>
    </row>
    <row r="393" spans="1:9" x14ac:dyDescent="0.2">
      <c r="A393" s="47" t="s">
        <v>1424</v>
      </c>
      <c r="B393" s="563" t="e">
        <f>B292</f>
        <v>#N/A</v>
      </c>
      <c r="C393" s="6"/>
      <c r="D393" s="47" t="s">
        <v>727</v>
      </c>
      <c r="E393" s="569" t="s">
        <v>1133</v>
      </c>
      <c r="F393" s="115"/>
      <c r="G393" s="764"/>
    </row>
    <row r="394" spans="1:9" x14ac:dyDescent="0.2">
      <c r="A394" s="47" t="s">
        <v>1424</v>
      </c>
      <c r="B394" s="563" t="e">
        <f>B309</f>
        <v>#N/A</v>
      </c>
      <c r="C394" s="6"/>
      <c r="D394" s="47" t="s">
        <v>728</v>
      </c>
      <c r="E394" s="569" t="s">
        <v>731</v>
      </c>
      <c r="F394" s="115"/>
      <c r="G394" s="764"/>
    </row>
    <row r="395" spans="1:9" s="447" customFormat="1" x14ac:dyDescent="0.2">
      <c r="A395" s="348" t="s">
        <v>1424</v>
      </c>
      <c r="B395" s="821" t="e">
        <f>B340</f>
        <v>#N/A</v>
      </c>
      <c r="C395" s="448"/>
      <c r="D395" s="348" t="s">
        <v>732</v>
      </c>
      <c r="E395" s="569" t="s">
        <v>1598</v>
      </c>
      <c r="F395" s="115"/>
      <c r="G395" s="764"/>
      <c r="H395" s="446"/>
      <c r="I395" s="446"/>
    </row>
    <row r="396" spans="1:9" x14ac:dyDescent="0.2">
      <c r="A396" s="47" t="s">
        <v>1424</v>
      </c>
      <c r="B396" s="563" t="e">
        <f>B323</f>
        <v>#N/A</v>
      </c>
      <c r="C396" s="6"/>
      <c r="D396" s="47" t="s">
        <v>733</v>
      </c>
      <c r="E396" s="569" t="s">
        <v>730</v>
      </c>
      <c r="F396" s="115"/>
      <c r="G396" s="764"/>
    </row>
    <row r="397" spans="1:9" x14ac:dyDescent="0.2">
      <c r="A397" s="47" t="s">
        <v>1424</v>
      </c>
      <c r="B397" s="563" t="e">
        <f>B385</f>
        <v>#N/A</v>
      </c>
      <c r="C397" s="6"/>
      <c r="D397" s="47" t="s">
        <v>734</v>
      </c>
      <c r="E397" s="569" t="str">
        <f>CONCATENATE("Estimated ",DoM!$C$6," Other Miscellaneous Income (Line 17.8)")</f>
        <v>Estimated FY18 Other Miscellaneous Income (Line 17.8)</v>
      </c>
      <c r="F397" s="115"/>
      <c r="G397" s="764"/>
    </row>
    <row r="398" spans="1:9" x14ac:dyDescent="0.2">
      <c r="A398" s="47" t="s">
        <v>1416</v>
      </c>
      <c r="B398" s="563" t="e">
        <f>SUM(B388:B397)</f>
        <v>#N/A</v>
      </c>
      <c r="C398" s="6"/>
      <c r="D398" s="47" t="s">
        <v>735</v>
      </c>
      <c r="E398" s="569" t="s">
        <v>736</v>
      </c>
      <c r="F398" s="115"/>
      <c r="G398" s="764"/>
    </row>
    <row r="399" spans="1:9" x14ac:dyDescent="0.2">
      <c r="A399" s="27"/>
      <c r="B399" s="814"/>
      <c r="E399" s="579" t="s">
        <v>1748</v>
      </c>
      <c r="F399" s="82"/>
      <c r="G399" s="775"/>
    </row>
    <row r="400" spans="1:9" x14ac:dyDescent="0.2">
      <c r="A400" s="6"/>
      <c r="B400" s="821">
        <f>B360</f>
        <v>0</v>
      </c>
      <c r="C400" s="6"/>
      <c r="D400" s="47" t="s">
        <v>737</v>
      </c>
      <c r="E400" s="569" t="str">
        <f>CONCATENATE(DoM!$B$6-2," Taxable and TIF Valuations with Gas &amp; Electric (Line 15.18)")</f>
        <v>2016 Taxable and TIF Valuations with Gas &amp; Electric (Line 15.18)</v>
      </c>
      <c r="F400" s="115"/>
      <c r="G400" s="764"/>
    </row>
    <row r="401" spans="1:7" x14ac:dyDescent="0.2">
      <c r="A401" s="47" t="s">
        <v>1414</v>
      </c>
      <c r="B401" s="849">
        <f>InputsResults!$B$56</f>
        <v>0</v>
      </c>
      <c r="C401" s="6"/>
      <c r="D401" s="47" t="s">
        <v>738</v>
      </c>
      <c r="E401" s="569" t="s">
        <v>1784</v>
      </c>
      <c r="F401" s="115"/>
      <c r="G401" s="764"/>
    </row>
    <row r="402" spans="1:7" x14ac:dyDescent="0.2">
      <c r="A402" s="47" t="s">
        <v>1416</v>
      </c>
      <c r="B402" s="563">
        <f>ROUND((B400*(ROUND(B401,5)))/1000,0)</f>
        <v>0</v>
      </c>
      <c r="C402" s="6"/>
      <c r="D402" s="47" t="s">
        <v>739</v>
      </c>
      <c r="E402" s="569" t="s">
        <v>740</v>
      </c>
      <c r="F402" s="115"/>
      <c r="G402" s="764"/>
    </row>
    <row r="403" spans="1:7" x14ac:dyDescent="0.2">
      <c r="A403" s="6"/>
      <c r="B403" s="850">
        <f>InputsResults!$B$57</f>
        <v>0</v>
      </c>
      <c r="C403" s="47" t="s">
        <v>1428</v>
      </c>
      <c r="D403" s="47" t="s">
        <v>741</v>
      </c>
      <c r="E403" s="569" t="s">
        <v>742</v>
      </c>
      <c r="F403" s="115"/>
      <c r="G403" s="764"/>
    </row>
    <row r="404" spans="1:7" x14ac:dyDescent="0.2">
      <c r="A404" s="47" t="s">
        <v>1414</v>
      </c>
      <c r="B404" s="563">
        <f>B291</f>
        <v>0</v>
      </c>
      <c r="C404" s="6"/>
      <c r="D404" s="47" t="s">
        <v>743</v>
      </c>
      <c r="E404" s="569" t="str">
        <f>CONCATENATE("District Income Tax Paid in ",DoM!$B$6-3," (Line 10.16)")</f>
        <v>District Income Tax Paid in 2015 (Line 10.16)</v>
      </c>
      <c r="F404" s="115"/>
      <c r="G404" s="764"/>
    </row>
    <row r="405" spans="1:7" x14ac:dyDescent="0.2">
      <c r="A405" s="47" t="s">
        <v>1416</v>
      </c>
      <c r="B405" s="563">
        <f>IF(B402&gt;0,ROUND((ROUND(B403,2))*B404,0),0)</f>
        <v>0</v>
      </c>
      <c r="C405" s="6"/>
      <c r="D405" s="47" t="s">
        <v>744</v>
      </c>
      <c r="E405" s="569" t="s">
        <v>745</v>
      </c>
      <c r="F405" s="115"/>
      <c r="G405" s="764"/>
    </row>
    <row r="406" spans="1:7" x14ac:dyDescent="0.2">
      <c r="A406" s="6"/>
      <c r="B406" s="563">
        <f>B402</f>
        <v>0</v>
      </c>
      <c r="C406" s="6"/>
      <c r="D406" s="47" t="s">
        <v>746</v>
      </c>
      <c r="E406" s="569" t="s">
        <v>747</v>
      </c>
      <c r="F406" s="115"/>
      <c r="G406" s="764"/>
    </row>
    <row r="407" spans="1:7" x14ac:dyDescent="0.2">
      <c r="A407" s="47" t="s">
        <v>1451</v>
      </c>
      <c r="B407" s="563">
        <f>B405</f>
        <v>0</v>
      </c>
      <c r="C407" s="6"/>
      <c r="D407" s="47" t="s">
        <v>748</v>
      </c>
      <c r="E407" s="569" t="s">
        <v>749</v>
      </c>
      <c r="F407" s="115"/>
      <c r="G407" s="764"/>
    </row>
    <row r="408" spans="1:7" x14ac:dyDescent="0.2">
      <c r="A408" s="47" t="s">
        <v>1416</v>
      </c>
      <c r="B408" s="563">
        <f>B406-B407</f>
        <v>0</v>
      </c>
      <c r="C408" s="6"/>
      <c r="D408" s="47" t="s">
        <v>750</v>
      </c>
      <c r="E408" s="569" t="s">
        <v>751</v>
      </c>
      <c r="F408" s="115"/>
      <c r="G408" s="764"/>
    </row>
    <row r="409" spans="1:7" x14ac:dyDescent="0.2">
      <c r="A409" s="27"/>
      <c r="B409" s="814"/>
      <c r="E409" s="82" t="s">
        <v>752</v>
      </c>
      <c r="F409" s="82"/>
      <c r="G409" s="775"/>
    </row>
    <row r="410" spans="1:7" x14ac:dyDescent="0.2">
      <c r="A410" s="6"/>
      <c r="B410" s="839" t="e">
        <f>IF(B280&gt;0,B290,0)</f>
        <v>#N/A</v>
      </c>
      <c r="C410" s="47" t="s">
        <v>1428</v>
      </c>
      <c r="D410" s="47" t="s">
        <v>753</v>
      </c>
      <c r="E410" s="47" t="s">
        <v>754</v>
      </c>
      <c r="F410" s="115"/>
      <c r="G410" s="764"/>
    </row>
    <row r="411" spans="1:7" x14ac:dyDescent="0.2">
      <c r="A411" s="47" t="s">
        <v>1424</v>
      </c>
      <c r="B411" s="839" t="e">
        <f>IF(B306&gt;0,B307,0)</f>
        <v>#N/A</v>
      </c>
      <c r="C411" s="47" t="s">
        <v>1428</v>
      </c>
      <c r="D411" s="47" t="s">
        <v>755</v>
      </c>
      <c r="E411" s="47" t="s">
        <v>756</v>
      </c>
      <c r="F411" s="115"/>
      <c r="G411" s="764"/>
    </row>
    <row r="412" spans="1:7" x14ac:dyDescent="0.2">
      <c r="A412" s="47"/>
      <c r="B412" s="845"/>
      <c r="C412" s="47"/>
      <c r="D412" s="47" t="s">
        <v>757</v>
      </c>
      <c r="E412" s="47" t="s">
        <v>46</v>
      </c>
      <c r="F412" s="115"/>
      <c r="G412" s="764"/>
    </row>
    <row r="413" spans="1:7" x14ac:dyDescent="0.2">
      <c r="A413" s="47"/>
      <c r="B413" s="845"/>
      <c r="C413" s="6"/>
      <c r="D413" s="47" t="s">
        <v>758</v>
      </c>
      <c r="E413" s="47" t="s">
        <v>46</v>
      </c>
      <c r="F413" s="115"/>
      <c r="G413" s="764"/>
    </row>
    <row r="414" spans="1:7" x14ac:dyDescent="0.2">
      <c r="A414" s="47" t="s">
        <v>1424</v>
      </c>
      <c r="B414" s="839">
        <f>IF(B402&gt;0,B403,0)</f>
        <v>0</v>
      </c>
      <c r="C414" s="47" t="s">
        <v>1428</v>
      </c>
      <c r="D414" s="47" t="s">
        <v>759</v>
      </c>
      <c r="E414" s="47" t="s">
        <v>762</v>
      </c>
      <c r="F414" s="115"/>
      <c r="G414" s="764"/>
    </row>
    <row r="415" spans="1:7" x14ac:dyDescent="0.2">
      <c r="A415" s="47" t="s">
        <v>1416</v>
      </c>
      <c r="B415" s="839" t="e">
        <f>SUM(B410:B414)</f>
        <v>#N/A</v>
      </c>
      <c r="C415" s="47" t="s">
        <v>1428</v>
      </c>
      <c r="D415" s="47" t="s">
        <v>763</v>
      </c>
      <c r="E415" s="47" t="s">
        <v>764</v>
      </c>
      <c r="F415" s="115"/>
      <c r="G415" s="764"/>
    </row>
    <row r="416" spans="1:7" x14ac:dyDescent="0.2">
      <c r="A416" s="6"/>
      <c r="B416" s="563" t="e">
        <f>B292</f>
        <v>#N/A</v>
      </c>
      <c r="C416" s="6"/>
      <c r="D416" s="47" t="s">
        <v>765</v>
      </c>
      <c r="E416" s="47" t="s">
        <v>1133</v>
      </c>
      <c r="F416" s="115"/>
      <c r="G416" s="764"/>
    </row>
    <row r="417" spans="1:7" x14ac:dyDescent="0.2">
      <c r="A417" s="47" t="s">
        <v>1424</v>
      </c>
      <c r="B417" s="563" t="e">
        <f>B309</f>
        <v>#N/A</v>
      </c>
      <c r="C417" s="6"/>
      <c r="D417" s="47" t="s">
        <v>766</v>
      </c>
      <c r="E417" s="47" t="s">
        <v>602</v>
      </c>
      <c r="F417" s="115"/>
      <c r="G417" s="764"/>
    </row>
    <row r="418" spans="1:7" x14ac:dyDescent="0.2">
      <c r="A418" s="47"/>
      <c r="B418" s="845"/>
      <c r="C418" s="6"/>
      <c r="D418" s="47" t="s">
        <v>767</v>
      </c>
      <c r="E418" s="47" t="s">
        <v>46</v>
      </c>
      <c r="F418" s="115"/>
      <c r="G418" s="764"/>
    </row>
    <row r="419" spans="1:7" x14ac:dyDescent="0.2">
      <c r="A419" s="47"/>
      <c r="B419" s="845"/>
      <c r="C419" s="6"/>
      <c r="D419" s="47" t="s">
        <v>768</v>
      </c>
      <c r="E419" s="47" t="s">
        <v>46</v>
      </c>
      <c r="F419" s="115"/>
      <c r="G419" s="764"/>
    </row>
    <row r="420" spans="1:7" x14ac:dyDescent="0.2">
      <c r="A420" s="47" t="s">
        <v>1416</v>
      </c>
      <c r="B420" s="563" t="e">
        <f>SUM(B416:B419)</f>
        <v>#N/A</v>
      </c>
      <c r="C420" s="6"/>
      <c r="D420" s="47" t="s">
        <v>769</v>
      </c>
      <c r="E420" s="47" t="s">
        <v>770</v>
      </c>
      <c r="F420" s="115"/>
      <c r="G420" s="764"/>
    </row>
    <row r="421" spans="1:7" x14ac:dyDescent="0.2">
      <c r="A421" s="27"/>
      <c r="B421" s="814"/>
      <c r="E421" s="82" t="s">
        <v>771</v>
      </c>
      <c r="F421" s="82"/>
      <c r="G421" s="775"/>
    </row>
    <row r="422" spans="1:7" x14ac:dyDescent="0.2">
      <c r="A422" s="6"/>
      <c r="B422" s="826">
        <f>InputsResults!B59</f>
        <v>0</v>
      </c>
      <c r="C422" s="6"/>
      <c r="D422" s="47" t="s">
        <v>772</v>
      </c>
      <c r="E422" s="47" t="s">
        <v>773</v>
      </c>
      <c r="F422" s="115"/>
      <c r="G422" s="764"/>
    </row>
    <row r="423" spans="1:7" x14ac:dyDescent="0.2">
      <c r="A423" s="6"/>
      <c r="B423" s="826">
        <f>InputsResults!B60</f>
        <v>0</v>
      </c>
      <c r="C423" s="6"/>
      <c r="D423" s="47" t="s">
        <v>774</v>
      </c>
      <c r="E423" s="47" t="s">
        <v>775</v>
      </c>
      <c r="F423" s="115"/>
      <c r="G423" s="764"/>
    </row>
    <row r="424" spans="1:7" x14ac:dyDescent="0.2">
      <c r="A424" s="6"/>
      <c r="B424" s="826">
        <f>InputsResults!B61</f>
        <v>0</v>
      </c>
      <c r="C424" s="6"/>
      <c r="D424" s="47" t="s">
        <v>776</v>
      </c>
      <c r="E424" s="47" t="s">
        <v>777</v>
      </c>
      <c r="F424" s="115"/>
      <c r="G424" s="764"/>
    </row>
    <row r="425" spans="1:7" x14ac:dyDescent="0.2">
      <c r="A425" s="6"/>
      <c r="B425" s="826">
        <f>InputsResults!B62</f>
        <v>0</v>
      </c>
      <c r="C425" s="6"/>
      <c r="D425" s="47" t="s">
        <v>778</v>
      </c>
      <c r="E425" s="47" t="s">
        <v>494</v>
      </c>
      <c r="F425" s="115"/>
      <c r="G425" s="764"/>
    </row>
    <row r="426" spans="1:7" x14ac:dyDescent="0.2">
      <c r="A426" s="6"/>
      <c r="B426" s="826">
        <f>InputsResults!B63</f>
        <v>0</v>
      </c>
      <c r="C426" s="6"/>
      <c r="D426" s="47" t="s">
        <v>779</v>
      </c>
      <c r="E426" s="47" t="s">
        <v>598</v>
      </c>
      <c r="F426" s="115"/>
      <c r="G426" s="764"/>
    </row>
    <row r="427" spans="1:7" x14ac:dyDescent="0.2">
      <c r="A427" s="6"/>
      <c r="B427" s="826">
        <f>InputsResults!B64</f>
        <v>0</v>
      </c>
      <c r="C427" s="6"/>
      <c r="D427" s="47" t="s">
        <v>781</v>
      </c>
      <c r="E427" s="47" t="s">
        <v>780</v>
      </c>
      <c r="F427" s="115"/>
      <c r="G427" s="764"/>
    </row>
    <row r="428" spans="1:7" x14ac:dyDescent="0.2">
      <c r="A428" s="6"/>
      <c r="B428" s="847">
        <f>Form703!K33</f>
        <v>0</v>
      </c>
      <c r="C428" s="6"/>
      <c r="D428" s="47" t="s">
        <v>493</v>
      </c>
      <c r="E428" s="47" t="s">
        <v>782</v>
      </c>
      <c r="F428" s="115"/>
      <c r="G428" s="764"/>
    </row>
  </sheetData>
  <sheetProtection password="C47C" sheet="1" objects="1" scenarios="1"/>
  <customSheetViews>
    <customSheetView guid="{53CC1FF8-69F4-40AB-9E52-A9F35D642996}" showGridLines="0">
      <selection activeCell="B23" sqref="B23"/>
      <pageMargins left="0.5" right="0.5" top="0.4" bottom="0.4" header="0.5" footer="0.5"/>
      <printOptions horizontalCentered="1" verticalCentered="1"/>
      <pageSetup orientation="portrait" blackAndWhite="1" horizontalDpi="300" verticalDpi="300" r:id="rId1"/>
      <headerFooter alignWithMargins="0"/>
    </customSheetView>
  </customSheetViews>
  <phoneticPr fontId="0" type="noConversion"/>
  <dataValidations count="7">
    <dataValidation type="whole" allowBlank="1" showInputMessage="1" showErrorMessage="1" error="Only a WHOLE number can be entered in this area.  Select cancel and reenter an appropriate whole number." sqref="B378 B381:B384 B386">
      <formula1>-999999999999</formula1>
      <formula2>999999999999</formula2>
    </dataValidation>
    <dataValidation allowBlank="1" showInputMessage="1" showErrorMessage="1" error="Only a WHOLE number can be entered in this area.  Select cancel and reenter an appropriate number." sqref="B422:B428"/>
    <dataValidation type="whole" allowBlank="1" showInputMessage="1" showErrorMessage="1" error="Only a WHOLE number can be entered in this area.  Select cancel and reenter an appropriate number." sqref="B351:B353 B163 B291 B148">
      <formula1>-999999999999</formula1>
      <formula2>999999999999</formula2>
    </dataValidation>
    <dataValidation type="decimal" allowBlank="1" showInputMessage="1" showErrorMessage="1" error="The value you entered is not valid.  Select cancel and reenter an appropriate number." sqref="B6">
      <formula1>-999999999999</formula1>
      <formula2>999999999999</formula2>
    </dataValidation>
    <dataValidation type="custom" errorStyle="information" allowBlank="1" showInputMessage="1" showErrorMessage="1" error="This cell reflects certified enrollment and should not be changed. Are you sure you want to edit this cell?" sqref="B5 B29:B31 B35 B37:B40 B104:B105 B203">
      <formula1>"INDEX(SNAME,MATCH($B$4,SNAME[DIST],0),MATCH($G9,SNAME[#Headers],0))"</formula1>
    </dataValidation>
    <dataValidation allowBlank="1" showInputMessage="1" showErrorMessage="1" prompt="Prefilled with data from the Department of Management.  Only change if it is not correct." sqref="B272"/>
    <dataValidation type="whole" allowBlank="1" showInputMessage="1" showErrorMessage="1" error="Only a WHOLE number can be entered in this area.  Select cancel and reenter an appropriate whole number." prompt="Data is from the UAB Wksht.  Change on UAB Wksht if you want it filled in." sqref="B379:B380 B385">
      <formula1>-999999999999</formula1>
      <formula2>999999999999</formula2>
    </dataValidation>
  </dataValidations>
  <printOptions horizontalCentered="1"/>
  <pageMargins left="0.5" right="0.5" top="0.4" bottom="0.4" header="0.5" footer="0.5"/>
  <pageSetup orientation="portrait" blackAndWhite="1" horizontalDpi="300" verticalDpi="300" r:id="rId2"/>
  <headerFooter alignWithMargins="0"/>
  <rowBreaks count="6" manualBreakCount="6">
    <brk id="54" max="4" man="1"/>
    <brk id="93" max="4" man="1"/>
    <brk id="160" max="4" man="1"/>
    <brk id="226" max="4" man="1"/>
    <brk id="274" max="4" man="1"/>
    <brk id="340" max="4" man="1"/>
  </rowBreaks>
  <ignoredErrors>
    <ignoredError sqref="B35 B250" formula="1"/>
    <ignoredError sqref="B30:B31 B40 B104:B105 B206 B203" unlockedFormula="1"/>
    <ignoredError sqref="B37:B39" formula="1" unlockedFormula="1"/>
    <ignoredError sqref="D5:D54 D56:D428" numberStoredAsText="1"/>
  </ignoredErrors>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7" tint="0.39997558519241921"/>
  </sheetPr>
  <dimension ref="A1:IU24"/>
  <sheetViews>
    <sheetView showGridLines="0" workbookViewId="0"/>
  </sheetViews>
  <sheetFormatPr defaultRowHeight="11.25" x14ac:dyDescent="0.2"/>
  <cols>
    <col min="1" max="1" width="20.5703125" style="263" customWidth="1"/>
    <col min="2" max="2" width="12.5703125" style="263" customWidth="1"/>
    <col min="3" max="3" width="12.7109375" style="263" customWidth="1"/>
    <col min="4" max="4" width="49.7109375" style="263" customWidth="1"/>
    <col min="5" max="255" width="9.140625" style="263" customWidth="1"/>
  </cols>
  <sheetData>
    <row r="1" spans="1:4" ht="11.65" customHeight="1" x14ac:dyDescent="0.2">
      <c r="A1" s="260" t="s">
        <v>881</v>
      </c>
      <c r="B1" s="261"/>
      <c r="C1" s="261"/>
      <c r="D1" s="262"/>
    </row>
    <row r="2" spans="1:4" ht="11.65" customHeight="1" x14ac:dyDescent="0.2">
      <c r="A2" s="264" t="s">
        <v>551</v>
      </c>
      <c r="B2" s="265"/>
      <c r="C2" s="265"/>
      <c r="D2" s="266"/>
    </row>
    <row r="3" spans="1:4" ht="11.65" customHeight="1" x14ac:dyDescent="0.2">
      <c r="A3" s="957"/>
      <c r="B3" s="958"/>
      <c r="C3" s="958"/>
      <c r="D3" s="959"/>
    </row>
    <row r="4" spans="1:4" ht="11.65" customHeight="1" x14ac:dyDescent="0.2">
      <c r="A4" s="960" t="s">
        <v>976</v>
      </c>
      <c r="B4" s="961"/>
      <c r="C4" s="961"/>
      <c r="D4" s="962"/>
    </row>
    <row r="5" spans="1:4" ht="11.65" customHeight="1" x14ac:dyDescent="0.2">
      <c r="A5" s="954" t="str">
        <f>CONCATENATE("FISCAL YEAR ",DoM!$B$5-1,"/",DoM!$B$5)</f>
        <v>FISCAL YEAR 2016/2017</v>
      </c>
      <c r="B5" s="955"/>
      <c r="C5" s="955"/>
      <c r="D5" s="956"/>
    </row>
    <row r="6" spans="1:4" ht="11.65" customHeight="1" x14ac:dyDescent="0.2">
      <c r="A6" s="963" t="str">
        <f>IF('Amend Publ'!A4:D4&lt;&gt;"",'Amend Publ'!A4:D4,"")</f>
        <v/>
      </c>
      <c r="B6" s="964"/>
      <c r="C6" s="964"/>
      <c r="D6" s="965"/>
    </row>
    <row r="7" spans="1:4" ht="11.65" customHeight="1" x14ac:dyDescent="0.2">
      <c r="A7" s="271" t="s">
        <v>989</v>
      </c>
      <c r="B7" s="272"/>
      <c r="C7" s="272"/>
      <c r="D7" s="273"/>
    </row>
    <row r="8" spans="1:4" ht="11.65" customHeight="1" x14ac:dyDescent="0.2">
      <c r="A8" s="270"/>
      <c r="B8" s="265"/>
      <c r="C8" s="265"/>
      <c r="D8" s="266"/>
    </row>
    <row r="9" spans="1:4" ht="11.65" customHeight="1" x14ac:dyDescent="0.2">
      <c r="A9" s="264" t="s">
        <v>993</v>
      </c>
      <c r="B9" s="267"/>
      <c r="C9" s="267"/>
      <c r="D9" s="268"/>
    </row>
    <row r="10" spans="1:4" ht="11.65" customHeight="1" x14ac:dyDescent="0.2">
      <c r="A10" s="264" t="s">
        <v>1759</v>
      </c>
      <c r="B10" s="267"/>
      <c r="C10" s="267"/>
      <c r="D10" s="268"/>
    </row>
    <row r="11" spans="1:4" ht="11.65" customHeight="1" x14ac:dyDescent="0.2">
      <c r="A11" s="264" t="s">
        <v>995</v>
      </c>
      <c r="B11" s="267"/>
      <c r="C11" s="267"/>
      <c r="D11" s="268"/>
    </row>
    <row r="12" spans="1:4" ht="11.65" customHeight="1" x14ac:dyDescent="0.2">
      <c r="A12" s="264" t="s">
        <v>996</v>
      </c>
      <c r="B12" s="267"/>
      <c r="C12" s="267"/>
      <c r="D12" s="268"/>
    </row>
    <row r="13" spans="1:4" ht="11.65" customHeight="1" x14ac:dyDescent="0.2">
      <c r="A13" s="264"/>
      <c r="B13" s="267"/>
      <c r="C13" s="267"/>
      <c r="D13" s="268"/>
    </row>
    <row r="14" spans="1:4" ht="11.65" customHeight="1" x14ac:dyDescent="0.2">
      <c r="A14" s="264" t="s">
        <v>823</v>
      </c>
      <c r="B14" s="951" t="str">
        <f>IF('Amend Publ'!B8&lt;&gt;"",'Amend Publ'!B8,"")</f>
        <v/>
      </c>
      <c r="C14" s="952"/>
      <c r="D14" s="274"/>
    </row>
    <row r="15" spans="1:4" ht="11.65" customHeight="1" x14ac:dyDescent="0.2">
      <c r="A15" s="264" t="s">
        <v>997</v>
      </c>
      <c r="B15" s="953"/>
      <c r="C15" s="953"/>
      <c r="D15" s="274"/>
    </row>
    <row r="16" spans="1:4" ht="11.65" customHeight="1" x14ac:dyDescent="0.2">
      <c r="A16" s="264"/>
      <c r="B16" s="267"/>
      <c r="C16" s="267"/>
      <c r="D16" s="268"/>
    </row>
    <row r="17" spans="1:4" ht="11.65" customHeight="1" x14ac:dyDescent="0.2">
      <c r="A17" s="269" t="s">
        <v>981</v>
      </c>
      <c r="B17" s="269" t="s">
        <v>982</v>
      </c>
      <c r="C17" s="269" t="s">
        <v>983</v>
      </c>
      <c r="D17" s="269" t="s">
        <v>984</v>
      </c>
    </row>
    <row r="18" spans="1:4" ht="11.65" customHeight="1" x14ac:dyDescent="0.2">
      <c r="A18" s="334" t="s">
        <v>985</v>
      </c>
      <c r="B18" s="859" t="str">
        <f>IF('Amend Publ'!B16&lt;&gt;"",'Amend Publ'!B16,"")</f>
        <v/>
      </c>
      <c r="C18" s="859" t="str">
        <f>IF('Amend Publ'!C16&lt;&gt;"",'Amend Publ'!C16,"")</f>
        <v/>
      </c>
      <c r="D18" s="859" t="str">
        <f>IF('Amend Publ'!D16&lt;&gt;"",'Amend Publ'!D16,"")</f>
        <v/>
      </c>
    </row>
    <row r="19" spans="1:4" ht="11.65" customHeight="1" x14ac:dyDescent="0.2">
      <c r="A19" s="334" t="s">
        <v>986</v>
      </c>
      <c r="B19" s="859" t="str">
        <f>IF('Amend Publ'!B17&lt;&gt;"",'Amend Publ'!B17,"")</f>
        <v/>
      </c>
      <c r="C19" s="859" t="str">
        <f>IF('Amend Publ'!C17&lt;&gt;"",'Amend Publ'!C17,"")</f>
        <v/>
      </c>
      <c r="D19" s="859" t="str">
        <f>IF('Amend Publ'!D17&lt;&gt;"",'Amend Publ'!D17,"")</f>
        <v/>
      </c>
    </row>
    <row r="20" spans="1:4" ht="11.65" customHeight="1" x14ac:dyDescent="0.2">
      <c r="A20" s="334" t="s">
        <v>987</v>
      </c>
      <c r="B20" s="859" t="str">
        <f>IF('Amend Publ'!B18&lt;&gt;"",'Amend Publ'!B18,"")</f>
        <v/>
      </c>
      <c r="C20" s="859" t="str">
        <f>IF('Amend Publ'!C18&lt;&gt;"",'Amend Publ'!C18,"")</f>
        <v/>
      </c>
      <c r="D20" s="859" t="str">
        <f>IF('Amend Publ'!D18&lt;&gt;"",'Amend Publ'!D18,"")</f>
        <v/>
      </c>
    </row>
    <row r="21" spans="1:4" ht="11.65" customHeight="1" x14ac:dyDescent="0.2">
      <c r="A21" s="334" t="s">
        <v>988</v>
      </c>
      <c r="B21" s="859" t="str">
        <f>IF('Amend Publ'!B19&lt;&gt;"",'Amend Publ'!B19,"")</f>
        <v/>
      </c>
      <c r="C21" s="859" t="str">
        <f>IF('Amend Publ'!C19&lt;&gt;"",'Amend Publ'!C19,"")</f>
        <v/>
      </c>
      <c r="D21" s="859" t="str">
        <f>IF('Amend Publ'!D19&lt;&gt;"",'Amend Publ'!D19,"")</f>
        <v/>
      </c>
    </row>
    <row r="22" spans="1:4" ht="11.65" customHeight="1" x14ac:dyDescent="0.2">
      <c r="A22" s="270"/>
      <c r="B22" s="265"/>
      <c r="C22" s="265"/>
      <c r="D22" s="266"/>
    </row>
    <row r="23" spans="1:4" ht="11.65" customHeight="1" x14ac:dyDescent="0.2">
      <c r="A23" s="270"/>
      <c r="B23" s="275"/>
      <c r="C23" s="275"/>
      <c r="D23" s="268" t="s">
        <v>1647</v>
      </c>
    </row>
    <row r="24" spans="1:4" ht="11.65" customHeight="1" x14ac:dyDescent="0.2">
      <c r="A24" s="276"/>
      <c r="B24" s="277"/>
      <c r="C24" s="277"/>
      <c r="D24" s="278"/>
    </row>
  </sheetData>
  <sheetProtection password="C47C" sheet="1" objects="1" scenarios="1"/>
  <customSheetViews>
    <customSheetView guid="{53CC1FF8-69F4-40AB-9E52-A9F35D642996}" showGridLines="0" state="hidden">
      <selection activeCell="A6" sqref="A6:D6"/>
      <pageMargins left="0.75" right="0.75" top="1" bottom="1" header="0.5" footer="0.5"/>
      <pageSetup orientation="portrait" horizontalDpi="1200" verticalDpi="1200" r:id="rId1"/>
      <headerFooter alignWithMargins="0"/>
    </customSheetView>
  </customSheetViews>
  <mergeCells count="6">
    <mergeCell ref="B14:C14"/>
    <mergeCell ref="B15:C15"/>
    <mergeCell ref="A5:D5"/>
    <mergeCell ref="A3:D3"/>
    <mergeCell ref="A4:D4"/>
    <mergeCell ref="A6:D6"/>
  </mergeCells>
  <phoneticPr fontId="0" type="noConversion"/>
  <dataValidations count="1">
    <dataValidation allowBlank="1" showInputMessage="1" error="Only a WHOLE number can be entered in this area.  Select cancel and reenter an appropriate number." sqref="B18:D21 B14"/>
  </dataValidations>
  <pageMargins left="0.75" right="0.75" top="1" bottom="1" header="0.5" footer="0.5"/>
  <pageSetup orientation="portrait" horizontalDpi="1200" verticalDpi="1200" r:id="rId2"/>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sheetPr>
  <dimension ref="A1:AR70"/>
  <sheetViews>
    <sheetView workbookViewId="0">
      <pane xSplit="1" ySplit="1" topLeftCell="T23" activePane="bottomRight" state="frozen"/>
      <selection activeCell="A2" sqref="A2"/>
      <selection pane="topRight" activeCell="A2" sqref="A2"/>
      <selection pane="bottomLeft" activeCell="A2" sqref="A2"/>
      <selection pane="bottomRight" activeCell="A2" sqref="A2"/>
    </sheetView>
  </sheetViews>
  <sheetFormatPr defaultRowHeight="11.25" x14ac:dyDescent="0.2"/>
  <cols>
    <col min="3" max="3" width="19.28515625" bestFit="1" customWidth="1"/>
    <col min="30" max="30" width="10.5703125" bestFit="1" customWidth="1"/>
    <col min="31" max="31" width="11.28515625" customWidth="1"/>
  </cols>
  <sheetData>
    <row r="1" spans="1:44" ht="12.75" x14ac:dyDescent="0.2">
      <c r="A1" s="514" t="s">
        <v>1799</v>
      </c>
      <c r="B1" s="514" t="s">
        <v>1800</v>
      </c>
      <c r="C1" s="515" t="s">
        <v>1801</v>
      </c>
      <c r="D1" s="514" t="s">
        <v>1802</v>
      </c>
      <c r="E1" s="514" t="s">
        <v>1803</v>
      </c>
      <c r="F1" s="514" t="s">
        <v>1804</v>
      </c>
      <c r="G1" s="514" t="s">
        <v>1867</v>
      </c>
      <c r="H1" s="515" t="s">
        <v>1805</v>
      </c>
      <c r="I1" s="514" t="s">
        <v>1806</v>
      </c>
      <c r="J1" s="514" t="s">
        <v>1868</v>
      </c>
      <c r="K1" s="515" t="s">
        <v>1807</v>
      </c>
      <c r="L1" s="514" t="s">
        <v>1808</v>
      </c>
      <c r="M1" s="514" t="s">
        <v>1869</v>
      </c>
      <c r="N1" s="515" t="s">
        <v>1809</v>
      </c>
      <c r="O1" s="514" t="s">
        <v>1810</v>
      </c>
      <c r="P1" s="514" t="s">
        <v>1870</v>
      </c>
      <c r="Q1" s="515" t="s">
        <v>1811</v>
      </c>
      <c r="R1" s="514" t="s">
        <v>1812</v>
      </c>
      <c r="S1" s="515" t="s">
        <v>1813</v>
      </c>
      <c r="T1" s="514" t="s">
        <v>1814</v>
      </c>
      <c r="U1" s="515" t="s">
        <v>1815</v>
      </c>
      <c r="V1" s="514" t="s">
        <v>1816</v>
      </c>
      <c r="W1" s="515" t="s">
        <v>1817</v>
      </c>
      <c r="X1" s="514" t="s">
        <v>1818</v>
      </c>
      <c r="Y1" s="515" t="s">
        <v>1819</v>
      </c>
      <c r="Z1" s="514" t="s">
        <v>1820</v>
      </c>
      <c r="AA1" s="515" t="s">
        <v>1821</v>
      </c>
      <c r="AB1" s="514" t="s">
        <v>1822</v>
      </c>
      <c r="AC1" s="514" t="s">
        <v>1823</v>
      </c>
      <c r="AD1" s="515" t="s">
        <v>1824</v>
      </c>
      <c r="AE1" s="516" t="s">
        <v>1825</v>
      </c>
      <c r="AF1" s="515" t="s">
        <v>1893</v>
      </c>
      <c r="AG1" s="516" t="s">
        <v>1826</v>
      </c>
      <c r="AH1" s="515" t="s">
        <v>1894</v>
      </c>
      <c r="AI1" s="517" t="s">
        <v>1827</v>
      </c>
      <c r="AJ1" s="517" t="s">
        <v>1828</v>
      </c>
      <c r="AK1" s="517" t="s">
        <v>1829</v>
      </c>
      <c r="AL1" s="516" t="s">
        <v>1830</v>
      </c>
      <c r="AM1" s="516" t="s">
        <v>1831</v>
      </c>
      <c r="AN1" s="514" t="s">
        <v>1832</v>
      </c>
      <c r="AO1" s="515" t="s">
        <v>1833</v>
      </c>
      <c r="AP1" s="516" t="s">
        <v>1834</v>
      </c>
      <c r="AQ1" s="517" t="s">
        <v>1835</v>
      </c>
      <c r="AR1" s="516" t="s">
        <v>1836</v>
      </c>
    </row>
    <row r="2" spans="1:44" ht="12.75" x14ac:dyDescent="0.2">
      <c r="A2" s="514">
        <v>1973</v>
      </c>
      <c r="B2" s="518">
        <v>4.9279999999999997E-2</v>
      </c>
      <c r="C2" s="516">
        <v>45</v>
      </c>
      <c r="D2" s="516">
        <v>0</v>
      </c>
      <c r="E2" s="516">
        <v>903</v>
      </c>
      <c r="F2" s="516">
        <f>E2</f>
        <v>903</v>
      </c>
      <c r="G2" s="516"/>
      <c r="H2" s="516"/>
      <c r="I2" s="516"/>
      <c r="J2" s="516"/>
      <c r="K2" s="516"/>
      <c r="L2" s="516"/>
      <c r="M2" s="516"/>
      <c r="N2" s="516"/>
      <c r="O2" s="516"/>
      <c r="P2" s="516"/>
      <c r="Q2" s="516"/>
      <c r="R2" s="516"/>
      <c r="S2" s="516"/>
      <c r="T2" s="516"/>
      <c r="U2" s="516"/>
      <c r="V2" s="516"/>
      <c r="W2" s="516"/>
      <c r="X2" s="516"/>
      <c r="Y2" s="516"/>
      <c r="Z2" s="516"/>
      <c r="AA2" s="516"/>
      <c r="AB2" s="516"/>
      <c r="AC2" s="519">
        <v>0.7</v>
      </c>
      <c r="AD2" s="520">
        <f>ROUND(AC2*E2,0)</f>
        <v>632</v>
      </c>
      <c r="AE2" s="519">
        <v>0</v>
      </c>
      <c r="AF2" s="604">
        <f t="shared" ref="AF2:AF44" si="0">ROUND(AE2*F2,0)</f>
        <v>0</v>
      </c>
      <c r="AG2" s="519"/>
      <c r="AH2" s="519"/>
      <c r="AI2" s="516"/>
      <c r="AJ2" s="516"/>
      <c r="AK2" s="516"/>
      <c r="AL2" s="516"/>
      <c r="AM2" s="519">
        <f t="shared" ref="AM2:AM51" si="1">1-AC2</f>
        <v>0.30000000000000004</v>
      </c>
      <c r="AN2" s="516"/>
      <c r="AO2" s="516"/>
      <c r="AP2" s="516"/>
      <c r="AQ2" s="516"/>
      <c r="AR2" s="516"/>
    </row>
    <row r="3" spans="1:44" ht="12.75" x14ac:dyDescent="0.2">
      <c r="A3" s="514">
        <v>1974</v>
      </c>
      <c r="B3" s="518">
        <v>0.05</v>
      </c>
      <c r="C3" s="516">
        <f>ROUND(E2*B3,0)</f>
        <v>45</v>
      </c>
      <c r="D3" s="516">
        <v>0</v>
      </c>
      <c r="E3" s="516">
        <f>E2+C3+D3</f>
        <v>948</v>
      </c>
      <c r="F3" s="516">
        <f t="shared" ref="F3:F51" si="2">E3</f>
        <v>948</v>
      </c>
      <c r="G3" s="516"/>
      <c r="H3" s="516"/>
      <c r="I3" s="516"/>
      <c r="J3" s="516"/>
      <c r="K3" s="516"/>
      <c r="L3" s="516"/>
      <c r="M3" s="516"/>
      <c r="N3" s="516"/>
      <c r="O3" s="516"/>
      <c r="P3" s="516"/>
      <c r="Q3" s="516"/>
      <c r="R3" s="516"/>
      <c r="S3" s="516"/>
      <c r="T3" s="516"/>
      <c r="U3" s="516"/>
      <c r="V3" s="516"/>
      <c r="W3" s="516"/>
      <c r="X3" s="516"/>
      <c r="Y3" s="516"/>
      <c r="Z3" s="516"/>
      <c r="AA3" s="516"/>
      <c r="AB3" s="516"/>
      <c r="AC3" s="519">
        <v>0.71</v>
      </c>
      <c r="AD3" s="520">
        <f t="shared" ref="AD3:AD51" si="3">ROUND(AC3*E3,0)</f>
        <v>673</v>
      </c>
      <c r="AE3" s="519">
        <v>0</v>
      </c>
      <c r="AF3" s="604">
        <f t="shared" si="0"/>
        <v>0</v>
      </c>
      <c r="AG3" s="519"/>
      <c r="AH3" s="519"/>
      <c r="AI3" s="516"/>
      <c r="AJ3" s="516"/>
      <c r="AK3" s="516"/>
      <c r="AL3" s="516"/>
      <c r="AM3" s="519">
        <f t="shared" si="1"/>
        <v>0.29000000000000004</v>
      </c>
      <c r="AN3" s="516"/>
      <c r="AO3" s="516"/>
      <c r="AP3" s="516"/>
      <c r="AQ3" s="516"/>
      <c r="AR3" s="516"/>
    </row>
    <row r="4" spans="1:44" ht="12.75" x14ac:dyDescent="0.2">
      <c r="A4" s="514">
        <v>1975</v>
      </c>
      <c r="B4" s="518">
        <v>0.08</v>
      </c>
      <c r="C4" s="516">
        <f>ROUND(E3*B4,0)</f>
        <v>76</v>
      </c>
      <c r="D4" s="516">
        <v>0</v>
      </c>
      <c r="E4" s="516">
        <f t="shared" ref="E4:E51" si="4">E3+C4+D4</f>
        <v>1024</v>
      </c>
      <c r="F4" s="516">
        <f t="shared" si="2"/>
        <v>1024</v>
      </c>
      <c r="G4" s="516"/>
      <c r="H4" s="516"/>
      <c r="I4" s="516"/>
      <c r="J4" s="516"/>
      <c r="K4" s="516"/>
      <c r="L4" s="516"/>
      <c r="M4" s="516"/>
      <c r="N4" s="516"/>
      <c r="O4" s="516"/>
      <c r="P4" s="516"/>
      <c r="Q4" s="516"/>
      <c r="R4" s="516"/>
      <c r="S4" s="516"/>
      <c r="T4" s="516"/>
      <c r="U4" s="516"/>
      <c r="V4" s="516"/>
      <c r="W4" s="516"/>
      <c r="X4" s="516"/>
      <c r="Y4" s="516"/>
      <c r="Z4" s="516"/>
      <c r="AA4" s="516"/>
      <c r="AB4" s="516"/>
      <c r="AC4" s="519">
        <v>0.72</v>
      </c>
      <c r="AD4" s="520">
        <f t="shared" si="3"/>
        <v>737</v>
      </c>
      <c r="AE4" s="519">
        <v>0</v>
      </c>
      <c r="AF4" s="604">
        <f t="shared" si="0"/>
        <v>0</v>
      </c>
      <c r="AG4" s="519"/>
      <c r="AH4" s="519"/>
      <c r="AI4" s="516"/>
      <c r="AJ4" s="516"/>
      <c r="AK4" s="516"/>
      <c r="AL4" s="516"/>
      <c r="AM4" s="519">
        <f t="shared" si="1"/>
        <v>0.28000000000000003</v>
      </c>
      <c r="AN4" s="516"/>
      <c r="AO4" s="516"/>
      <c r="AP4" s="516"/>
      <c r="AQ4" s="516"/>
      <c r="AR4" s="516"/>
    </row>
    <row r="5" spans="1:44" ht="12.75" x14ac:dyDescent="0.2">
      <c r="A5" s="514">
        <v>1976</v>
      </c>
      <c r="B5" s="518">
        <v>0.107</v>
      </c>
      <c r="C5" s="516">
        <f t="shared" ref="C5:C51" si="5">ROUND(E4*B5,0)</f>
        <v>110</v>
      </c>
      <c r="D5" s="516">
        <v>0</v>
      </c>
      <c r="E5" s="516">
        <f t="shared" si="4"/>
        <v>1134</v>
      </c>
      <c r="F5" s="516">
        <f t="shared" si="2"/>
        <v>1134</v>
      </c>
      <c r="G5" s="516"/>
      <c r="H5" s="516"/>
      <c r="I5" s="516"/>
      <c r="J5" s="516"/>
      <c r="K5" s="516"/>
      <c r="L5" s="516"/>
      <c r="M5" s="516"/>
      <c r="N5" s="516"/>
      <c r="O5" s="516"/>
      <c r="P5" s="516"/>
      <c r="Q5" s="516"/>
      <c r="R5" s="516"/>
      <c r="S5" s="516"/>
      <c r="T5" s="521">
        <v>40.43</v>
      </c>
      <c r="U5" s="521"/>
      <c r="V5" s="521">
        <v>6.08</v>
      </c>
      <c r="W5" s="521"/>
      <c r="X5" s="521">
        <v>10.16</v>
      </c>
      <c r="Y5" s="521"/>
      <c r="Z5" s="516"/>
      <c r="AA5" s="516"/>
      <c r="AB5" s="516"/>
      <c r="AC5" s="519">
        <v>0.73</v>
      </c>
      <c r="AD5" s="520">
        <f t="shared" si="3"/>
        <v>828</v>
      </c>
      <c r="AE5" s="519">
        <v>0.73</v>
      </c>
      <c r="AF5" s="604">
        <f t="shared" si="0"/>
        <v>828</v>
      </c>
      <c r="AG5" s="519">
        <v>0.73</v>
      </c>
      <c r="AH5" s="604">
        <f t="shared" ref="AH5:AH41" si="6">ROUND(AG5*T5,0)</f>
        <v>30</v>
      </c>
      <c r="AI5" s="516"/>
      <c r="AJ5" s="516"/>
      <c r="AK5" s="516"/>
      <c r="AL5" s="516"/>
      <c r="AM5" s="519">
        <f t="shared" si="1"/>
        <v>0.27</v>
      </c>
      <c r="AN5" s="516"/>
      <c r="AO5" s="516">
        <f>ROUND(T5*AG5,0)</f>
        <v>30</v>
      </c>
      <c r="AP5" s="516"/>
      <c r="AQ5" s="516"/>
      <c r="AR5" s="516"/>
    </row>
    <row r="6" spans="1:44" ht="12.75" x14ac:dyDescent="0.2">
      <c r="A6" s="514">
        <v>1977</v>
      </c>
      <c r="B6" s="518">
        <v>9.8250000000000004E-2</v>
      </c>
      <c r="C6" s="516">
        <f t="shared" si="5"/>
        <v>111</v>
      </c>
      <c r="D6" s="516">
        <v>0</v>
      </c>
      <c r="E6" s="516">
        <f t="shared" si="4"/>
        <v>1245</v>
      </c>
      <c r="F6" s="516">
        <f t="shared" si="2"/>
        <v>1245</v>
      </c>
      <c r="G6" s="516"/>
      <c r="H6" s="516"/>
      <c r="I6" s="516"/>
      <c r="J6" s="516"/>
      <c r="K6" s="516"/>
      <c r="L6" s="516"/>
      <c r="M6" s="516"/>
      <c r="N6" s="516"/>
      <c r="O6" s="516"/>
      <c r="P6" s="516"/>
      <c r="Q6" s="516"/>
      <c r="R6" s="516"/>
      <c r="S6" s="516"/>
      <c r="T6" s="521">
        <v>48.47</v>
      </c>
      <c r="U6" s="521"/>
      <c r="V6" s="521">
        <v>6.57</v>
      </c>
      <c r="W6" s="521"/>
      <c r="X6" s="521">
        <v>11.3</v>
      </c>
      <c r="Y6" s="521"/>
      <c r="Z6" s="516"/>
      <c r="AA6" s="516"/>
      <c r="AB6" s="516"/>
      <c r="AC6" s="519">
        <v>0.74</v>
      </c>
      <c r="AD6" s="520">
        <f t="shared" si="3"/>
        <v>921</v>
      </c>
      <c r="AE6" s="519">
        <v>0.74</v>
      </c>
      <c r="AF6" s="604">
        <f t="shared" si="0"/>
        <v>921</v>
      </c>
      <c r="AG6" s="519">
        <v>0.74</v>
      </c>
      <c r="AH6" s="604">
        <f t="shared" si="6"/>
        <v>36</v>
      </c>
      <c r="AI6" s="516"/>
      <c r="AJ6" s="516"/>
      <c r="AK6" s="516"/>
      <c r="AL6" s="516"/>
      <c r="AM6" s="519">
        <f t="shared" si="1"/>
        <v>0.26</v>
      </c>
      <c r="AN6" s="516"/>
      <c r="AO6" s="516">
        <f t="shared" ref="AO6:AO51" si="7">ROUND(T6*AG6,0)</f>
        <v>36</v>
      </c>
      <c r="AP6" s="516"/>
      <c r="AQ6" s="516"/>
      <c r="AR6" s="516"/>
    </row>
    <row r="7" spans="1:44" ht="12.75" x14ac:dyDescent="0.2">
      <c r="A7" s="514">
        <v>1978</v>
      </c>
      <c r="B7" s="518">
        <v>7.8399999999999997E-2</v>
      </c>
      <c r="C7" s="516">
        <f t="shared" si="5"/>
        <v>98</v>
      </c>
      <c r="D7" s="516">
        <v>0</v>
      </c>
      <c r="E7" s="516">
        <f t="shared" si="4"/>
        <v>1343</v>
      </c>
      <c r="F7" s="516">
        <f t="shared" si="2"/>
        <v>1343</v>
      </c>
      <c r="G7" s="516"/>
      <c r="H7" s="516"/>
      <c r="I7" s="516"/>
      <c r="J7" s="516"/>
      <c r="K7" s="516"/>
      <c r="L7" s="516"/>
      <c r="M7" s="516"/>
      <c r="N7" s="516"/>
      <c r="O7" s="516"/>
      <c r="P7" s="516"/>
      <c r="Q7" s="516"/>
      <c r="R7" s="516"/>
      <c r="S7" s="516"/>
      <c r="T7" s="521">
        <v>55.14</v>
      </c>
      <c r="U7" s="521"/>
      <c r="V7" s="521">
        <v>6.84</v>
      </c>
      <c r="W7" s="521"/>
      <c r="X7" s="521">
        <v>12.14</v>
      </c>
      <c r="Y7" s="521"/>
      <c r="Z7" s="516"/>
      <c r="AA7" s="516"/>
      <c r="AB7" s="516"/>
      <c r="AC7" s="519">
        <v>0.75</v>
      </c>
      <c r="AD7" s="520">
        <f t="shared" si="3"/>
        <v>1007</v>
      </c>
      <c r="AE7" s="519">
        <v>0.75</v>
      </c>
      <c r="AF7" s="604">
        <f t="shared" si="0"/>
        <v>1007</v>
      </c>
      <c r="AG7" s="519">
        <v>0.75</v>
      </c>
      <c r="AH7" s="604">
        <f t="shared" si="6"/>
        <v>41</v>
      </c>
      <c r="AI7" s="516"/>
      <c r="AJ7" s="516"/>
      <c r="AK7" s="516"/>
      <c r="AL7" s="516"/>
      <c r="AM7" s="519">
        <f t="shared" si="1"/>
        <v>0.25</v>
      </c>
      <c r="AN7" s="516"/>
      <c r="AO7" s="516">
        <f t="shared" si="7"/>
        <v>41</v>
      </c>
      <c r="AP7" s="516"/>
      <c r="AQ7" s="516"/>
      <c r="AR7" s="516"/>
    </row>
    <row r="8" spans="1:44" ht="12.75" x14ac:dyDescent="0.2">
      <c r="A8" s="514">
        <v>1979</v>
      </c>
      <c r="B8" s="518">
        <v>9.4219999999999998E-2</v>
      </c>
      <c r="C8" s="516">
        <f t="shared" si="5"/>
        <v>127</v>
      </c>
      <c r="D8" s="516">
        <v>0</v>
      </c>
      <c r="E8" s="516">
        <f t="shared" si="4"/>
        <v>1470</v>
      </c>
      <c r="F8" s="516">
        <f t="shared" si="2"/>
        <v>1470</v>
      </c>
      <c r="G8" s="516"/>
      <c r="H8" s="516"/>
      <c r="I8" s="516"/>
      <c r="J8" s="516"/>
      <c r="K8" s="516"/>
      <c r="L8" s="516"/>
      <c r="M8" s="516"/>
      <c r="N8" s="516"/>
      <c r="O8" s="516"/>
      <c r="P8" s="516"/>
      <c r="Q8" s="516"/>
      <c r="R8" s="516"/>
      <c r="S8" s="516"/>
      <c r="T8" s="521">
        <v>55.18</v>
      </c>
      <c r="U8" s="521"/>
      <c r="V8" s="521">
        <v>11.05</v>
      </c>
      <c r="W8" s="521"/>
      <c r="X8" s="521">
        <v>13.61</v>
      </c>
      <c r="Y8" s="521"/>
      <c r="Z8" s="516"/>
      <c r="AA8" s="516"/>
      <c r="AB8" s="516"/>
      <c r="AC8" s="519">
        <v>0.76</v>
      </c>
      <c r="AD8" s="520">
        <f t="shared" si="3"/>
        <v>1117</v>
      </c>
      <c r="AE8" s="519">
        <v>0.76</v>
      </c>
      <c r="AF8" s="604">
        <f t="shared" si="0"/>
        <v>1117</v>
      </c>
      <c r="AG8" s="519">
        <v>0.76</v>
      </c>
      <c r="AH8" s="604">
        <f t="shared" si="6"/>
        <v>42</v>
      </c>
      <c r="AI8" s="516"/>
      <c r="AJ8" s="516"/>
      <c r="AK8" s="516"/>
      <c r="AL8" s="516"/>
      <c r="AM8" s="519">
        <f t="shared" si="1"/>
        <v>0.24</v>
      </c>
      <c r="AN8" s="516"/>
      <c r="AO8" s="516">
        <f t="shared" si="7"/>
        <v>42</v>
      </c>
      <c r="AP8" s="516"/>
      <c r="AQ8" s="516"/>
      <c r="AR8" s="516"/>
    </row>
    <row r="9" spans="1:44" ht="12.75" x14ac:dyDescent="0.2">
      <c r="A9" s="514">
        <v>1980</v>
      </c>
      <c r="B9" s="518">
        <v>9.4839999999999994E-2</v>
      </c>
      <c r="C9" s="516">
        <f t="shared" si="5"/>
        <v>139</v>
      </c>
      <c r="D9" s="516">
        <v>0</v>
      </c>
      <c r="E9" s="516">
        <f t="shared" si="4"/>
        <v>1609</v>
      </c>
      <c r="F9" s="516">
        <f t="shared" si="2"/>
        <v>1609</v>
      </c>
      <c r="G9" s="516"/>
      <c r="H9" s="516"/>
      <c r="I9" s="516"/>
      <c r="J9" s="516"/>
      <c r="K9" s="516"/>
      <c r="L9" s="516"/>
      <c r="M9" s="516"/>
      <c r="N9" s="516"/>
      <c r="O9" s="516"/>
      <c r="P9" s="516"/>
      <c r="Q9" s="516"/>
      <c r="R9" s="516"/>
      <c r="S9" s="516"/>
      <c r="T9" s="521">
        <v>74.37</v>
      </c>
      <c r="U9" s="521"/>
      <c r="V9" s="521">
        <v>12.76</v>
      </c>
      <c r="W9" s="521"/>
      <c r="X9" s="521">
        <v>15.32</v>
      </c>
      <c r="Y9" s="521"/>
      <c r="Z9" s="516"/>
      <c r="AA9" s="516"/>
      <c r="AB9" s="516"/>
      <c r="AC9" s="519">
        <v>0.77</v>
      </c>
      <c r="AD9" s="520">
        <f t="shared" si="3"/>
        <v>1239</v>
      </c>
      <c r="AE9" s="519">
        <v>0.77</v>
      </c>
      <c r="AF9" s="604">
        <f t="shared" si="0"/>
        <v>1239</v>
      </c>
      <c r="AG9" s="519">
        <v>0.77</v>
      </c>
      <c r="AH9" s="604">
        <f t="shared" si="6"/>
        <v>57</v>
      </c>
      <c r="AI9" s="516"/>
      <c r="AJ9" s="516"/>
      <c r="AK9" s="516"/>
      <c r="AL9" s="516"/>
      <c r="AM9" s="519">
        <f t="shared" si="1"/>
        <v>0.22999999999999998</v>
      </c>
      <c r="AN9" s="516"/>
      <c r="AO9" s="516">
        <f t="shared" si="7"/>
        <v>57</v>
      </c>
      <c r="AP9" s="516"/>
      <c r="AQ9" s="516"/>
      <c r="AR9" s="516"/>
    </row>
    <row r="10" spans="1:44" ht="12.75" x14ac:dyDescent="0.2">
      <c r="A10" s="514">
        <v>1981</v>
      </c>
      <c r="B10" s="518">
        <v>0.13592000000000001</v>
      </c>
      <c r="C10" s="516">
        <f t="shared" si="5"/>
        <v>219</v>
      </c>
      <c r="D10" s="516">
        <v>20</v>
      </c>
      <c r="E10" s="516">
        <f t="shared" si="4"/>
        <v>1848</v>
      </c>
      <c r="F10" s="516">
        <f t="shared" si="2"/>
        <v>1848</v>
      </c>
      <c r="G10" s="516"/>
      <c r="H10" s="516"/>
      <c r="I10" s="516"/>
      <c r="J10" s="516"/>
      <c r="K10" s="516"/>
      <c r="L10" s="516"/>
      <c r="M10" s="516"/>
      <c r="N10" s="516"/>
      <c r="O10" s="516"/>
      <c r="P10" s="516"/>
      <c r="Q10" s="516"/>
      <c r="R10" s="516"/>
      <c r="S10" s="516"/>
      <c r="T10" s="521">
        <v>88.07</v>
      </c>
      <c r="U10" s="521"/>
      <c r="V10" s="521">
        <v>14.86</v>
      </c>
      <c r="W10" s="521"/>
      <c r="X10" s="521">
        <v>18.03</v>
      </c>
      <c r="Y10" s="521"/>
      <c r="Z10" s="516"/>
      <c r="AA10" s="516"/>
      <c r="AB10" s="516"/>
      <c r="AC10" s="519">
        <v>0.77</v>
      </c>
      <c r="AD10" s="520">
        <f t="shared" si="3"/>
        <v>1423</v>
      </c>
      <c r="AE10" s="519">
        <v>0.77</v>
      </c>
      <c r="AF10" s="604">
        <f t="shared" si="0"/>
        <v>1423</v>
      </c>
      <c r="AG10" s="519">
        <v>0.77</v>
      </c>
      <c r="AH10" s="604">
        <f t="shared" si="6"/>
        <v>68</v>
      </c>
      <c r="AI10" s="516"/>
      <c r="AJ10" s="516"/>
      <c r="AK10" s="516"/>
      <c r="AL10" s="516"/>
      <c r="AM10" s="519">
        <f t="shared" si="1"/>
        <v>0.22999999999999998</v>
      </c>
      <c r="AN10" s="516"/>
      <c r="AO10" s="516">
        <f t="shared" si="7"/>
        <v>68</v>
      </c>
      <c r="AP10" s="516"/>
      <c r="AQ10" s="516"/>
      <c r="AR10" s="516"/>
    </row>
    <row r="11" spans="1:44" ht="12.75" x14ac:dyDescent="0.2">
      <c r="A11" s="514">
        <v>1982</v>
      </c>
      <c r="B11" s="518">
        <v>0.05</v>
      </c>
      <c r="C11" s="516">
        <f t="shared" si="5"/>
        <v>92</v>
      </c>
      <c r="D11" s="516">
        <v>0</v>
      </c>
      <c r="E11" s="516">
        <f t="shared" si="4"/>
        <v>1940</v>
      </c>
      <c r="F11" s="516">
        <f t="shared" si="2"/>
        <v>1940</v>
      </c>
      <c r="G11" s="516"/>
      <c r="H11" s="516"/>
      <c r="I11" s="516"/>
      <c r="J11" s="516"/>
      <c r="K11" s="516"/>
      <c r="L11" s="516"/>
      <c r="M11" s="516"/>
      <c r="N11" s="516"/>
      <c r="O11" s="516"/>
      <c r="P11" s="516"/>
      <c r="Q11" s="516"/>
      <c r="R11" s="516"/>
      <c r="S11" s="516"/>
      <c r="T11" s="521">
        <v>88.07</v>
      </c>
      <c r="U11" s="521"/>
      <c r="V11" s="521">
        <v>16</v>
      </c>
      <c r="W11" s="521"/>
      <c r="X11" s="521">
        <v>18.5</v>
      </c>
      <c r="Y11" s="521"/>
      <c r="Z11" s="516"/>
      <c r="AA11" s="516"/>
      <c r="AB11" s="516"/>
      <c r="AC11" s="519">
        <v>0.77</v>
      </c>
      <c r="AD11" s="520">
        <f t="shared" si="3"/>
        <v>1494</v>
      </c>
      <c r="AE11" s="519">
        <v>0.77</v>
      </c>
      <c r="AF11" s="604">
        <f t="shared" si="0"/>
        <v>1494</v>
      </c>
      <c r="AG11" s="519">
        <v>0.77</v>
      </c>
      <c r="AH11" s="604">
        <f t="shared" si="6"/>
        <v>68</v>
      </c>
      <c r="AI11" s="516"/>
      <c r="AJ11" s="516"/>
      <c r="AK11" s="516"/>
      <c r="AL11" s="516"/>
      <c r="AM11" s="519">
        <f t="shared" si="1"/>
        <v>0.22999999999999998</v>
      </c>
      <c r="AN11" s="516"/>
      <c r="AO11" s="516">
        <f t="shared" si="7"/>
        <v>68</v>
      </c>
      <c r="AP11" s="516"/>
      <c r="AQ11" s="516"/>
      <c r="AR11" s="516"/>
    </row>
    <row r="12" spans="1:44" ht="12.75" x14ac:dyDescent="0.2">
      <c r="A12" s="514">
        <v>1983</v>
      </c>
      <c r="B12" s="518">
        <v>7.0000000000000007E-2</v>
      </c>
      <c r="C12" s="516">
        <f t="shared" si="5"/>
        <v>136</v>
      </c>
      <c r="D12" s="516">
        <v>13</v>
      </c>
      <c r="E12" s="516">
        <f t="shared" si="4"/>
        <v>2089</v>
      </c>
      <c r="F12" s="516">
        <f t="shared" si="2"/>
        <v>2089</v>
      </c>
      <c r="G12" s="516"/>
      <c r="H12" s="516"/>
      <c r="I12" s="516"/>
      <c r="J12" s="516"/>
      <c r="K12" s="516"/>
      <c r="L12" s="516"/>
      <c r="M12" s="516"/>
      <c r="N12" s="516"/>
      <c r="O12" s="516"/>
      <c r="P12" s="516"/>
      <c r="Q12" s="516"/>
      <c r="R12" s="516"/>
      <c r="S12" s="516">
        <f t="shared" ref="S12:S51" si="8">ROUND(T11*$B12,2)</f>
        <v>6.16</v>
      </c>
      <c r="T12" s="522">
        <f>S12+T11</f>
        <v>94.22999999999999</v>
      </c>
      <c r="U12" s="516"/>
      <c r="V12" s="521">
        <v>17.12</v>
      </c>
      <c r="W12" s="521"/>
      <c r="X12" s="521">
        <v>19.8</v>
      </c>
      <c r="Y12" s="521"/>
      <c r="Z12" s="516"/>
      <c r="AA12" s="516"/>
      <c r="AB12" s="516"/>
      <c r="AC12" s="519">
        <v>0.77</v>
      </c>
      <c r="AD12" s="520">
        <f t="shared" si="3"/>
        <v>1609</v>
      </c>
      <c r="AE12" s="519">
        <v>0.77</v>
      </c>
      <c r="AF12" s="604">
        <f t="shared" si="0"/>
        <v>1609</v>
      </c>
      <c r="AG12" s="519">
        <v>0.77</v>
      </c>
      <c r="AH12" s="604">
        <f t="shared" si="6"/>
        <v>73</v>
      </c>
      <c r="AI12" s="516"/>
      <c r="AJ12" s="516"/>
      <c r="AK12" s="516"/>
      <c r="AL12" s="516"/>
      <c r="AM12" s="519">
        <f t="shared" si="1"/>
        <v>0.22999999999999998</v>
      </c>
      <c r="AN12" s="516"/>
      <c r="AO12" s="516">
        <f t="shared" si="7"/>
        <v>73</v>
      </c>
      <c r="AP12" s="516"/>
      <c r="AQ12" s="516"/>
      <c r="AR12" s="516"/>
    </row>
    <row r="13" spans="1:44" ht="12.75" x14ac:dyDescent="0.2">
      <c r="A13" s="514">
        <v>1984</v>
      </c>
      <c r="B13" s="518">
        <v>6.1030000000000001E-2</v>
      </c>
      <c r="C13" s="516">
        <f t="shared" si="5"/>
        <v>127</v>
      </c>
      <c r="D13" s="516">
        <v>8</v>
      </c>
      <c r="E13" s="516">
        <f t="shared" si="4"/>
        <v>2224</v>
      </c>
      <c r="F13" s="516">
        <f t="shared" si="2"/>
        <v>2224</v>
      </c>
      <c r="G13" s="516"/>
      <c r="H13" s="516"/>
      <c r="I13" s="516"/>
      <c r="J13" s="516"/>
      <c r="K13" s="516"/>
      <c r="L13" s="516"/>
      <c r="M13" s="516"/>
      <c r="N13" s="516"/>
      <c r="O13" s="516"/>
      <c r="P13" s="516"/>
      <c r="Q13" s="516"/>
      <c r="R13" s="516"/>
      <c r="S13" s="516">
        <f t="shared" si="8"/>
        <v>5.75</v>
      </c>
      <c r="T13" s="516">
        <f t="shared" ref="T13:T51" si="9">S13+T12</f>
        <v>99.97999999999999</v>
      </c>
      <c r="U13" s="516"/>
      <c r="V13" s="521">
        <v>18.16</v>
      </c>
      <c r="W13" s="521"/>
      <c r="X13" s="521">
        <v>21.01</v>
      </c>
      <c r="Y13" s="521"/>
      <c r="Z13" s="516"/>
      <c r="AA13" s="516"/>
      <c r="AB13" s="516"/>
      <c r="AC13" s="519">
        <v>0.78</v>
      </c>
      <c r="AD13" s="520">
        <f t="shared" si="3"/>
        <v>1735</v>
      </c>
      <c r="AE13" s="519">
        <v>0.78</v>
      </c>
      <c r="AF13" s="604">
        <f t="shared" si="0"/>
        <v>1735</v>
      </c>
      <c r="AG13" s="519">
        <v>0.78</v>
      </c>
      <c r="AH13" s="604">
        <f t="shared" si="6"/>
        <v>78</v>
      </c>
      <c r="AI13" s="516"/>
      <c r="AJ13" s="516">
        <v>5.4</v>
      </c>
      <c r="AK13" s="516">
        <v>200</v>
      </c>
      <c r="AL13" s="516"/>
      <c r="AM13" s="519">
        <f t="shared" si="1"/>
        <v>0.21999999999999997</v>
      </c>
      <c r="AN13" s="516"/>
      <c r="AO13" s="516">
        <f t="shared" si="7"/>
        <v>78</v>
      </c>
      <c r="AP13" s="516"/>
      <c r="AQ13" s="516"/>
      <c r="AR13" s="516"/>
    </row>
    <row r="14" spans="1:44" ht="12.75" x14ac:dyDescent="0.2">
      <c r="A14" s="514">
        <v>1985</v>
      </c>
      <c r="B14" s="518">
        <v>2.5399999999999999E-2</v>
      </c>
      <c r="C14" s="516">
        <f t="shared" si="5"/>
        <v>56</v>
      </c>
      <c r="D14" s="516">
        <v>8</v>
      </c>
      <c r="E14" s="516">
        <f t="shared" si="4"/>
        <v>2288</v>
      </c>
      <c r="F14" s="516">
        <f t="shared" si="2"/>
        <v>2288</v>
      </c>
      <c r="G14" s="516"/>
      <c r="H14" s="516"/>
      <c r="I14" s="516"/>
      <c r="J14" s="516"/>
      <c r="K14" s="516"/>
      <c r="L14" s="516"/>
      <c r="M14" s="516"/>
      <c r="N14" s="516"/>
      <c r="O14" s="516"/>
      <c r="P14" s="516"/>
      <c r="Q14" s="516"/>
      <c r="R14" s="516"/>
      <c r="S14" s="516">
        <f t="shared" si="8"/>
        <v>2.54</v>
      </c>
      <c r="T14" s="516">
        <f t="shared" si="9"/>
        <v>102.52</v>
      </c>
      <c r="U14" s="516"/>
      <c r="V14" s="521">
        <v>18.62</v>
      </c>
      <c r="W14" s="521"/>
      <c r="X14" s="521">
        <v>21.54</v>
      </c>
      <c r="Y14" s="521"/>
      <c r="Z14" s="516"/>
      <c r="AA14" s="516"/>
      <c r="AB14" s="516"/>
      <c r="AC14" s="519">
        <v>0.79</v>
      </c>
      <c r="AD14" s="520">
        <f t="shared" si="3"/>
        <v>1808</v>
      </c>
      <c r="AE14" s="519">
        <v>0.79</v>
      </c>
      <c r="AF14" s="604">
        <f t="shared" si="0"/>
        <v>1808</v>
      </c>
      <c r="AG14" s="519">
        <v>0.79</v>
      </c>
      <c r="AH14" s="604">
        <f t="shared" si="6"/>
        <v>81</v>
      </c>
      <c r="AI14" s="516"/>
      <c r="AJ14" s="516">
        <v>5.4</v>
      </c>
      <c r="AK14" s="516">
        <v>200</v>
      </c>
      <c r="AL14" s="516"/>
      <c r="AM14" s="519">
        <f t="shared" si="1"/>
        <v>0.20999999999999996</v>
      </c>
      <c r="AN14" s="516"/>
      <c r="AO14" s="516">
        <f t="shared" si="7"/>
        <v>81</v>
      </c>
      <c r="AP14" s="516"/>
      <c r="AQ14" s="516"/>
      <c r="AR14" s="516"/>
    </row>
    <row r="15" spans="1:44" ht="12.75" x14ac:dyDescent="0.2">
      <c r="A15" s="514">
        <v>1986</v>
      </c>
      <c r="B15" s="518">
        <v>5.3249999999999999E-2</v>
      </c>
      <c r="C15" s="516">
        <f t="shared" si="5"/>
        <v>122</v>
      </c>
      <c r="D15" s="516">
        <v>0</v>
      </c>
      <c r="E15" s="516">
        <f t="shared" si="4"/>
        <v>2410</v>
      </c>
      <c r="F15" s="516">
        <f t="shared" si="2"/>
        <v>2410</v>
      </c>
      <c r="G15" s="516"/>
      <c r="H15" s="516"/>
      <c r="I15" s="516"/>
      <c r="J15" s="516"/>
      <c r="K15" s="516"/>
      <c r="L15" s="516"/>
      <c r="M15" s="516"/>
      <c r="N15" s="516"/>
      <c r="O15" s="516"/>
      <c r="P15" s="516"/>
      <c r="Q15" s="516"/>
      <c r="R15" s="516"/>
      <c r="S15" s="516">
        <f t="shared" si="8"/>
        <v>5.46</v>
      </c>
      <c r="T15" s="516">
        <f t="shared" si="9"/>
        <v>107.97999999999999</v>
      </c>
      <c r="U15" s="516"/>
      <c r="V15" s="521">
        <v>19.61</v>
      </c>
      <c r="W15" s="521"/>
      <c r="X15" s="521">
        <v>22.69</v>
      </c>
      <c r="Y15" s="521"/>
      <c r="Z15" s="516"/>
      <c r="AA15" s="516"/>
      <c r="AB15" s="516"/>
      <c r="AC15" s="519">
        <v>0.8</v>
      </c>
      <c r="AD15" s="520">
        <f t="shared" si="3"/>
        <v>1928</v>
      </c>
      <c r="AE15" s="519">
        <v>0.8</v>
      </c>
      <c r="AF15" s="604">
        <f t="shared" si="0"/>
        <v>1928</v>
      </c>
      <c r="AG15" s="519">
        <v>0.8</v>
      </c>
      <c r="AH15" s="604">
        <f t="shared" si="6"/>
        <v>86</v>
      </c>
      <c r="AI15" s="516"/>
      <c r="AJ15" s="516">
        <v>5.4</v>
      </c>
      <c r="AK15" s="516">
        <v>200</v>
      </c>
      <c r="AL15" s="516"/>
      <c r="AM15" s="519">
        <f t="shared" si="1"/>
        <v>0.19999999999999996</v>
      </c>
      <c r="AN15" s="516"/>
      <c r="AO15" s="516">
        <f t="shared" si="7"/>
        <v>86</v>
      </c>
      <c r="AP15" s="516"/>
      <c r="AQ15" s="516"/>
      <c r="AR15" s="516"/>
    </row>
    <row r="16" spans="1:44" ht="12.75" x14ac:dyDescent="0.2">
      <c r="A16" s="514">
        <v>1987</v>
      </c>
      <c r="B16" s="518">
        <v>3.8429999999999999E-2</v>
      </c>
      <c r="C16" s="516">
        <f t="shared" si="5"/>
        <v>93</v>
      </c>
      <c r="D16" s="516">
        <v>0</v>
      </c>
      <c r="E16" s="516">
        <f t="shared" si="4"/>
        <v>2503</v>
      </c>
      <c r="F16" s="516">
        <f t="shared" si="2"/>
        <v>2503</v>
      </c>
      <c r="G16" s="516"/>
      <c r="H16" s="516"/>
      <c r="I16" s="516"/>
      <c r="J16" s="516"/>
      <c r="K16" s="516"/>
      <c r="L16" s="516"/>
      <c r="M16" s="516"/>
      <c r="N16" s="516"/>
      <c r="O16" s="516"/>
      <c r="P16" s="516"/>
      <c r="Q16" s="516"/>
      <c r="R16" s="516"/>
      <c r="S16" s="516">
        <f t="shared" si="8"/>
        <v>4.1500000000000004</v>
      </c>
      <c r="T16" s="516">
        <f t="shared" si="9"/>
        <v>112.13</v>
      </c>
      <c r="U16" s="516"/>
      <c r="V16" s="521">
        <v>21.37</v>
      </c>
      <c r="W16" s="521"/>
      <c r="X16" s="521">
        <v>23.56</v>
      </c>
      <c r="Y16" s="521"/>
      <c r="Z16" s="516"/>
      <c r="AA16" s="516"/>
      <c r="AB16" s="516"/>
      <c r="AC16" s="519">
        <v>0.8</v>
      </c>
      <c r="AD16" s="520">
        <f t="shared" si="3"/>
        <v>2002</v>
      </c>
      <c r="AE16" s="519">
        <v>0.8</v>
      </c>
      <c r="AF16" s="604">
        <f t="shared" si="0"/>
        <v>2002</v>
      </c>
      <c r="AG16" s="519">
        <v>0.8</v>
      </c>
      <c r="AH16" s="604">
        <f t="shared" si="6"/>
        <v>90</v>
      </c>
      <c r="AI16" s="516"/>
      <c r="AJ16" s="516">
        <v>5.4</v>
      </c>
      <c r="AK16" s="516">
        <v>200</v>
      </c>
      <c r="AL16" s="516"/>
      <c r="AM16" s="519">
        <f t="shared" si="1"/>
        <v>0.19999999999999996</v>
      </c>
      <c r="AN16" s="516"/>
      <c r="AO16" s="516">
        <f t="shared" si="7"/>
        <v>90</v>
      </c>
      <c r="AP16" s="516"/>
      <c r="AQ16" s="516"/>
      <c r="AR16" s="516"/>
    </row>
    <row r="17" spans="1:44" ht="12.75" x14ac:dyDescent="0.2">
      <c r="A17" s="514">
        <v>1988</v>
      </c>
      <c r="B17" s="518">
        <v>3.4689999999999999E-2</v>
      </c>
      <c r="C17" s="516">
        <f t="shared" si="5"/>
        <v>87</v>
      </c>
      <c r="D17" s="516">
        <v>0</v>
      </c>
      <c r="E17" s="516">
        <f t="shared" si="4"/>
        <v>2590</v>
      </c>
      <c r="F17" s="516">
        <f t="shared" si="2"/>
        <v>2590</v>
      </c>
      <c r="G17" s="516"/>
      <c r="H17" s="516"/>
      <c r="I17" s="516"/>
      <c r="J17" s="516"/>
      <c r="K17" s="516"/>
      <c r="L17" s="516"/>
      <c r="M17" s="516"/>
      <c r="N17" s="516"/>
      <c r="O17" s="516"/>
      <c r="P17" s="516"/>
      <c r="Q17" s="516"/>
      <c r="R17" s="516"/>
      <c r="S17" s="516">
        <f t="shared" si="8"/>
        <v>3.89</v>
      </c>
      <c r="T17" s="516">
        <f t="shared" si="9"/>
        <v>116.02</v>
      </c>
      <c r="U17" s="516"/>
      <c r="V17" s="521">
        <v>22.11</v>
      </c>
      <c r="W17" s="521"/>
      <c r="X17" s="521">
        <v>24.38</v>
      </c>
      <c r="Y17" s="521"/>
      <c r="Z17" s="516"/>
      <c r="AA17" s="516"/>
      <c r="AB17" s="516"/>
      <c r="AC17" s="519">
        <v>0.81499999999999995</v>
      </c>
      <c r="AD17" s="520">
        <f t="shared" si="3"/>
        <v>2111</v>
      </c>
      <c r="AE17" s="519">
        <v>0.81499999999999995</v>
      </c>
      <c r="AF17" s="604">
        <f t="shared" si="0"/>
        <v>2111</v>
      </c>
      <c r="AG17" s="519">
        <v>0.81499999999999995</v>
      </c>
      <c r="AH17" s="604">
        <f t="shared" si="6"/>
        <v>95</v>
      </c>
      <c r="AI17" s="516"/>
      <c r="AJ17" s="516">
        <v>5.4</v>
      </c>
      <c r="AK17" s="516">
        <v>200</v>
      </c>
      <c r="AL17" s="516"/>
      <c r="AM17" s="519">
        <f t="shared" si="1"/>
        <v>0.18500000000000005</v>
      </c>
      <c r="AN17" s="516"/>
      <c r="AO17" s="516">
        <f t="shared" si="7"/>
        <v>95</v>
      </c>
      <c r="AP17" s="516"/>
      <c r="AQ17" s="516"/>
      <c r="AR17" s="516"/>
    </row>
    <row r="18" spans="1:44" ht="12.75" x14ac:dyDescent="0.2">
      <c r="A18" s="514">
        <v>1989</v>
      </c>
      <c r="B18" s="518">
        <v>3.5920000000000001E-2</v>
      </c>
      <c r="C18" s="516">
        <f t="shared" si="5"/>
        <v>93</v>
      </c>
      <c r="D18" s="516">
        <v>0</v>
      </c>
      <c r="E18" s="516">
        <f t="shared" si="4"/>
        <v>2683</v>
      </c>
      <c r="F18" s="516">
        <f t="shared" si="2"/>
        <v>2683</v>
      </c>
      <c r="G18" s="516"/>
      <c r="H18" s="516"/>
      <c r="I18" s="516"/>
      <c r="J18" s="516"/>
      <c r="K18" s="516"/>
      <c r="L18" s="516"/>
      <c r="M18" s="516"/>
      <c r="N18" s="516"/>
      <c r="O18" s="516"/>
      <c r="P18" s="516"/>
      <c r="Q18" s="516"/>
      <c r="R18" s="516"/>
      <c r="S18" s="516">
        <f t="shared" si="8"/>
        <v>4.17</v>
      </c>
      <c r="T18" s="516">
        <f t="shared" si="9"/>
        <v>120.19</v>
      </c>
      <c r="U18" s="516"/>
      <c r="V18" s="521">
        <v>22.9</v>
      </c>
      <c r="W18" s="521"/>
      <c r="X18" s="521">
        <v>25.26</v>
      </c>
      <c r="Y18" s="521"/>
      <c r="Z18" s="516"/>
      <c r="AA18" s="516"/>
      <c r="AB18" s="516"/>
      <c r="AC18" s="519">
        <v>0.82</v>
      </c>
      <c r="AD18" s="520">
        <f t="shared" si="3"/>
        <v>2200</v>
      </c>
      <c r="AE18" s="519">
        <v>0.82</v>
      </c>
      <c r="AF18" s="604">
        <f t="shared" si="0"/>
        <v>2200</v>
      </c>
      <c r="AG18" s="519">
        <v>0.82</v>
      </c>
      <c r="AH18" s="604">
        <f t="shared" si="6"/>
        <v>99</v>
      </c>
      <c r="AI18" s="516"/>
      <c r="AJ18" s="516">
        <v>5.4</v>
      </c>
      <c r="AK18" s="516">
        <v>200</v>
      </c>
      <c r="AL18" s="516"/>
      <c r="AM18" s="519">
        <f t="shared" si="1"/>
        <v>0.18000000000000005</v>
      </c>
      <c r="AN18" s="516"/>
      <c r="AO18" s="516">
        <f t="shared" si="7"/>
        <v>99</v>
      </c>
      <c r="AP18" s="516"/>
      <c r="AQ18" s="516"/>
      <c r="AR18" s="516"/>
    </row>
    <row r="19" spans="1:44" ht="12.75" x14ac:dyDescent="0.2">
      <c r="A19" s="514">
        <v>1990</v>
      </c>
      <c r="B19" s="518">
        <v>3.5340000000000003E-2</v>
      </c>
      <c r="C19" s="516">
        <f t="shared" si="5"/>
        <v>95</v>
      </c>
      <c r="D19" s="516">
        <v>0</v>
      </c>
      <c r="E19" s="516">
        <f t="shared" si="4"/>
        <v>2778</v>
      </c>
      <c r="F19" s="516">
        <f t="shared" si="2"/>
        <v>2778</v>
      </c>
      <c r="G19" s="516"/>
      <c r="H19" s="516"/>
      <c r="I19" s="516"/>
      <c r="J19" s="516"/>
      <c r="K19" s="516"/>
      <c r="L19" s="516"/>
      <c r="M19" s="516"/>
      <c r="N19" s="516"/>
      <c r="O19" s="516"/>
      <c r="P19" s="516"/>
      <c r="Q19" s="516"/>
      <c r="R19" s="516"/>
      <c r="S19" s="516">
        <f t="shared" si="8"/>
        <v>4.25</v>
      </c>
      <c r="T19" s="516">
        <f t="shared" si="9"/>
        <v>124.44</v>
      </c>
      <c r="U19" s="516"/>
      <c r="V19" s="521">
        <v>22.9</v>
      </c>
      <c r="W19" s="521"/>
      <c r="X19" s="521">
        <v>25.26</v>
      </c>
      <c r="Y19" s="521"/>
      <c r="Z19" s="516"/>
      <c r="AA19" s="516"/>
      <c r="AB19" s="516"/>
      <c r="AC19" s="519">
        <v>0.82499999999999996</v>
      </c>
      <c r="AD19" s="520">
        <f t="shared" si="3"/>
        <v>2292</v>
      </c>
      <c r="AE19" s="519">
        <v>0.82499999999999996</v>
      </c>
      <c r="AF19" s="604">
        <f t="shared" si="0"/>
        <v>2292</v>
      </c>
      <c r="AG19" s="519">
        <v>0.82499999999999996</v>
      </c>
      <c r="AH19" s="604">
        <f t="shared" si="6"/>
        <v>103</v>
      </c>
      <c r="AI19" s="516"/>
      <c r="AJ19" s="516">
        <v>5.4</v>
      </c>
      <c r="AK19" s="516">
        <v>200</v>
      </c>
      <c r="AL19" s="516"/>
      <c r="AM19" s="519">
        <f t="shared" si="1"/>
        <v>0.17500000000000004</v>
      </c>
      <c r="AN19" s="516"/>
      <c r="AO19" s="516">
        <f t="shared" si="7"/>
        <v>103</v>
      </c>
      <c r="AP19" s="516"/>
      <c r="AQ19" s="516"/>
      <c r="AR19" s="516"/>
    </row>
    <row r="20" spans="1:44" ht="12.75" x14ac:dyDescent="0.2">
      <c r="A20" s="514">
        <v>1991</v>
      </c>
      <c r="B20" s="518">
        <v>7.1819999999999995E-2</v>
      </c>
      <c r="C20" s="516">
        <f t="shared" si="5"/>
        <v>200</v>
      </c>
      <c r="D20" s="516">
        <v>0</v>
      </c>
      <c r="E20" s="516">
        <f t="shared" si="4"/>
        <v>2978</v>
      </c>
      <c r="F20" s="516">
        <f t="shared" si="2"/>
        <v>2978</v>
      </c>
      <c r="G20" s="516"/>
      <c r="H20" s="516"/>
      <c r="I20" s="516"/>
      <c r="J20" s="516"/>
      <c r="K20" s="516"/>
      <c r="L20" s="516"/>
      <c r="M20" s="516"/>
      <c r="N20" s="516"/>
      <c r="O20" s="516"/>
      <c r="P20" s="516"/>
      <c r="Q20" s="516"/>
      <c r="R20" s="516"/>
      <c r="S20" s="516">
        <f t="shared" si="8"/>
        <v>8.94</v>
      </c>
      <c r="T20" s="516">
        <f t="shared" si="9"/>
        <v>133.38</v>
      </c>
      <c r="U20" s="516"/>
      <c r="V20" s="521">
        <v>25.41</v>
      </c>
      <c r="W20" s="521"/>
      <c r="X20" s="521">
        <v>28.03</v>
      </c>
      <c r="Y20" s="521"/>
      <c r="Z20" s="516"/>
      <c r="AA20" s="516"/>
      <c r="AB20" s="516"/>
      <c r="AC20" s="519">
        <v>0.83</v>
      </c>
      <c r="AD20" s="520">
        <f t="shared" si="3"/>
        <v>2472</v>
      </c>
      <c r="AE20" s="519">
        <v>0.83</v>
      </c>
      <c r="AF20" s="604">
        <f t="shared" si="0"/>
        <v>2472</v>
      </c>
      <c r="AG20" s="519">
        <v>0.83</v>
      </c>
      <c r="AH20" s="604">
        <f t="shared" si="6"/>
        <v>111</v>
      </c>
      <c r="AI20" s="516"/>
      <c r="AJ20" s="516">
        <v>5.4</v>
      </c>
      <c r="AK20" s="516">
        <v>200</v>
      </c>
      <c r="AL20" s="516"/>
      <c r="AM20" s="519">
        <f t="shared" si="1"/>
        <v>0.17000000000000004</v>
      </c>
      <c r="AN20" s="516"/>
      <c r="AO20" s="516">
        <f t="shared" si="7"/>
        <v>111</v>
      </c>
      <c r="AP20" s="516"/>
      <c r="AQ20" s="516"/>
      <c r="AR20" s="516"/>
    </row>
    <row r="21" spans="1:44" ht="12.75" x14ac:dyDescent="0.2">
      <c r="A21" s="514">
        <v>1992</v>
      </c>
      <c r="B21" s="523">
        <v>4.3400000000000001E-2</v>
      </c>
      <c r="C21" s="516">
        <f t="shared" si="5"/>
        <v>129</v>
      </c>
      <c r="D21" s="516">
        <v>96</v>
      </c>
      <c r="E21" s="516">
        <f t="shared" si="4"/>
        <v>3203</v>
      </c>
      <c r="F21" s="516">
        <f t="shared" si="2"/>
        <v>3203</v>
      </c>
      <c r="G21" s="516"/>
      <c r="H21" s="516"/>
      <c r="I21" s="516"/>
      <c r="J21" s="516"/>
      <c r="K21" s="516"/>
      <c r="L21" s="516"/>
      <c r="M21" s="516"/>
      <c r="N21" s="516"/>
      <c r="O21" s="516"/>
      <c r="P21" s="516"/>
      <c r="Q21" s="516"/>
      <c r="R21" s="516"/>
      <c r="S21" s="516">
        <f t="shared" si="8"/>
        <v>5.79</v>
      </c>
      <c r="T21" s="524">
        <v>141.97</v>
      </c>
      <c r="U21" s="516"/>
      <c r="V21" s="522">
        <v>26.48</v>
      </c>
      <c r="W21" s="516"/>
      <c r="X21" s="522">
        <v>29.21</v>
      </c>
      <c r="Y21" s="522"/>
      <c r="Z21" s="516"/>
      <c r="AA21" s="516"/>
      <c r="AB21" s="516"/>
      <c r="AC21" s="519">
        <v>0.83</v>
      </c>
      <c r="AD21" s="520">
        <f t="shared" si="3"/>
        <v>2658</v>
      </c>
      <c r="AE21" s="519">
        <v>0.83</v>
      </c>
      <c r="AF21" s="604">
        <f t="shared" si="0"/>
        <v>2658</v>
      </c>
      <c r="AG21" s="519">
        <v>0.83</v>
      </c>
      <c r="AH21" s="604">
        <f t="shared" si="6"/>
        <v>118</v>
      </c>
      <c r="AI21" s="516"/>
      <c r="AJ21" s="516">
        <v>5.4</v>
      </c>
      <c r="AK21" s="516">
        <v>300</v>
      </c>
      <c r="AL21" s="516"/>
      <c r="AM21" s="519">
        <f t="shared" si="1"/>
        <v>0.17000000000000004</v>
      </c>
      <c r="AN21" s="516"/>
      <c r="AO21" s="516">
        <f t="shared" si="7"/>
        <v>118</v>
      </c>
      <c r="AP21" s="516"/>
      <c r="AQ21" s="516"/>
      <c r="AR21" s="516"/>
    </row>
    <row r="22" spans="1:44" ht="12.75" x14ac:dyDescent="0.2">
      <c r="A22" s="514">
        <v>1993</v>
      </c>
      <c r="B22" s="518">
        <v>4.1509999999999998E-2</v>
      </c>
      <c r="C22" s="516">
        <f t="shared" si="5"/>
        <v>133</v>
      </c>
      <c r="D22" s="516">
        <v>0</v>
      </c>
      <c r="E22" s="516">
        <f t="shared" si="4"/>
        <v>3336</v>
      </c>
      <c r="F22" s="516">
        <f t="shared" si="2"/>
        <v>3336</v>
      </c>
      <c r="G22" s="516"/>
      <c r="H22" s="516"/>
      <c r="I22" s="516"/>
      <c r="J22" s="516"/>
      <c r="K22" s="516"/>
      <c r="L22" s="516"/>
      <c r="M22" s="516"/>
      <c r="N22" s="516"/>
      <c r="O22" s="516"/>
      <c r="P22" s="516"/>
      <c r="Q22" s="516"/>
      <c r="R22" s="516"/>
      <c r="S22" s="516">
        <f t="shared" si="8"/>
        <v>5.89</v>
      </c>
      <c r="T22" s="516">
        <f t="shared" si="9"/>
        <v>147.85999999999999</v>
      </c>
      <c r="U22" s="516">
        <f>ROUND(V21*$B22,2)</f>
        <v>1.1000000000000001</v>
      </c>
      <c r="V22" s="522">
        <f>U22+V21</f>
        <v>27.580000000000002</v>
      </c>
      <c r="W22" s="516">
        <f t="shared" ref="W22:W50" si="10">ROUND(X21*$B22,2)</f>
        <v>1.21</v>
      </c>
      <c r="X22" s="522">
        <f>W22+X21</f>
        <v>30.42</v>
      </c>
      <c r="Y22" s="521"/>
      <c r="Z22" s="516"/>
      <c r="AA22" s="516"/>
      <c r="AB22" s="516"/>
      <c r="AC22" s="519">
        <v>0.83</v>
      </c>
      <c r="AD22" s="520">
        <f t="shared" si="3"/>
        <v>2769</v>
      </c>
      <c r="AE22" s="519">
        <v>0.79</v>
      </c>
      <c r="AF22" s="604">
        <f t="shared" si="0"/>
        <v>2635</v>
      </c>
      <c r="AG22" s="519">
        <v>0.79</v>
      </c>
      <c r="AH22" s="604">
        <f t="shared" si="6"/>
        <v>117</v>
      </c>
      <c r="AI22" s="516"/>
      <c r="AJ22" s="516">
        <v>5.4</v>
      </c>
      <c r="AK22" s="516">
        <v>300</v>
      </c>
      <c r="AL22" s="516"/>
      <c r="AM22" s="519">
        <f t="shared" si="1"/>
        <v>0.17000000000000004</v>
      </c>
      <c r="AN22" s="516"/>
      <c r="AO22" s="516">
        <f t="shared" si="7"/>
        <v>117</v>
      </c>
      <c r="AP22" s="516"/>
      <c r="AQ22" s="516"/>
      <c r="AR22" s="516"/>
    </row>
    <row r="23" spans="1:44" ht="12.75" x14ac:dyDescent="0.2">
      <c r="A23" s="514">
        <v>1994</v>
      </c>
      <c r="B23" s="518">
        <v>2.1000000000000001E-2</v>
      </c>
      <c r="C23" s="516">
        <f t="shared" si="5"/>
        <v>70</v>
      </c>
      <c r="D23" s="516">
        <v>0</v>
      </c>
      <c r="E23" s="516">
        <f t="shared" si="4"/>
        <v>3406</v>
      </c>
      <c r="F23" s="516">
        <f t="shared" si="2"/>
        <v>3406</v>
      </c>
      <c r="G23" s="516"/>
      <c r="H23" s="516"/>
      <c r="I23" s="516"/>
      <c r="J23" s="516"/>
      <c r="K23" s="516"/>
      <c r="L23" s="516"/>
      <c r="M23" s="516"/>
      <c r="N23" s="516"/>
      <c r="O23" s="516"/>
      <c r="P23" s="516"/>
      <c r="Q23" s="516"/>
      <c r="R23" s="516"/>
      <c r="S23" s="516">
        <f t="shared" si="8"/>
        <v>3.11</v>
      </c>
      <c r="T23" s="516">
        <f t="shared" si="9"/>
        <v>150.97</v>
      </c>
      <c r="U23" s="516">
        <f t="shared" ref="U23:U50" si="11">ROUND(V22*$B23,2)</f>
        <v>0.57999999999999996</v>
      </c>
      <c r="V23" s="516">
        <f t="shared" ref="V23:V50" si="12">U23+V22</f>
        <v>28.16</v>
      </c>
      <c r="W23" s="516">
        <f t="shared" si="10"/>
        <v>0.64</v>
      </c>
      <c r="X23" s="516">
        <f t="shared" ref="X23:X50" si="13">W23+X22</f>
        <v>31.060000000000002</v>
      </c>
      <c r="Y23" s="521"/>
      <c r="Z23" s="516"/>
      <c r="AA23" s="516"/>
      <c r="AB23" s="516"/>
      <c r="AC23" s="519">
        <v>0.83</v>
      </c>
      <c r="AD23" s="520">
        <f t="shared" si="3"/>
        <v>2827</v>
      </c>
      <c r="AE23" s="519">
        <v>0.79</v>
      </c>
      <c r="AF23" s="604">
        <f t="shared" si="0"/>
        <v>2691</v>
      </c>
      <c r="AG23" s="519">
        <v>0.79</v>
      </c>
      <c r="AH23" s="604">
        <f t="shared" si="6"/>
        <v>119</v>
      </c>
      <c r="AI23" s="516"/>
      <c r="AJ23" s="516">
        <v>5.4</v>
      </c>
      <c r="AK23" s="516">
        <v>300</v>
      </c>
      <c r="AL23" s="516"/>
      <c r="AM23" s="519">
        <f t="shared" si="1"/>
        <v>0.17000000000000004</v>
      </c>
      <c r="AN23" s="516"/>
      <c r="AO23" s="516">
        <f t="shared" si="7"/>
        <v>119</v>
      </c>
      <c r="AP23" s="516"/>
      <c r="AQ23" s="516"/>
      <c r="AR23" s="516"/>
    </row>
    <row r="24" spans="1:44" ht="12.75" x14ac:dyDescent="0.2">
      <c r="A24" s="514">
        <v>1995</v>
      </c>
      <c r="B24" s="518">
        <v>2.8500000000000001E-2</v>
      </c>
      <c r="C24" s="516">
        <f t="shared" si="5"/>
        <v>97</v>
      </c>
      <c r="D24" s="516">
        <v>0</v>
      </c>
      <c r="E24" s="516">
        <f t="shared" si="4"/>
        <v>3503</v>
      </c>
      <c r="F24" s="516">
        <f t="shared" si="2"/>
        <v>3503</v>
      </c>
      <c r="G24" s="516"/>
      <c r="H24" s="516"/>
      <c r="I24" s="516"/>
      <c r="J24" s="516"/>
      <c r="K24" s="516"/>
      <c r="L24" s="516"/>
      <c r="M24" s="516"/>
      <c r="N24" s="516"/>
      <c r="O24" s="516"/>
      <c r="P24" s="516"/>
      <c r="Q24" s="516"/>
      <c r="R24" s="516"/>
      <c r="S24" s="516">
        <f t="shared" si="8"/>
        <v>4.3</v>
      </c>
      <c r="T24" s="516">
        <f t="shared" si="9"/>
        <v>155.27000000000001</v>
      </c>
      <c r="U24" s="516">
        <f t="shared" si="11"/>
        <v>0.8</v>
      </c>
      <c r="V24" s="516">
        <f t="shared" si="12"/>
        <v>28.96</v>
      </c>
      <c r="W24" s="516">
        <f t="shared" si="10"/>
        <v>0.89</v>
      </c>
      <c r="X24" s="516">
        <f t="shared" si="13"/>
        <v>31.950000000000003</v>
      </c>
      <c r="Y24" s="521"/>
      <c r="Z24" s="516"/>
      <c r="AA24" s="516"/>
      <c r="AB24" s="516"/>
      <c r="AC24" s="519">
        <v>0.83</v>
      </c>
      <c r="AD24" s="520">
        <f t="shared" si="3"/>
        <v>2907</v>
      </c>
      <c r="AE24" s="519">
        <v>0.79</v>
      </c>
      <c r="AF24" s="604">
        <f t="shared" si="0"/>
        <v>2767</v>
      </c>
      <c r="AG24" s="519">
        <v>0.79</v>
      </c>
      <c r="AH24" s="604">
        <f t="shared" si="6"/>
        <v>123</v>
      </c>
      <c r="AI24" s="516"/>
      <c r="AJ24" s="516">
        <v>5.4</v>
      </c>
      <c r="AK24" s="516">
        <v>300</v>
      </c>
      <c r="AL24" s="516"/>
      <c r="AM24" s="519">
        <f t="shared" si="1"/>
        <v>0.17000000000000004</v>
      </c>
      <c r="AN24" s="516"/>
      <c r="AO24" s="516">
        <f t="shared" si="7"/>
        <v>123</v>
      </c>
      <c r="AP24" s="516"/>
      <c r="AQ24" s="516"/>
      <c r="AR24" s="516"/>
    </row>
    <row r="25" spans="1:44" ht="12.75" x14ac:dyDescent="0.2">
      <c r="A25" s="514">
        <v>1996</v>
      </c>
      <c r="B25" s="518">
        <v>3.5000000000000003E-2</v>
      </c>
      <c r="C25" s="516">
        <f t="shared" si="5"/>
        <v>123</v>
      </c>
      <c r="D25" s="516">
        <v>0</v>
      </c>
      <c r="E25" s="516">
        <f t="shared" si="4"/>
        <v>3626</v>
      </c>
      <c r="F25" s="516">
        <f t="shared" si="2"/>
        <v>3626</v>
      </c>
      <c r="G25" s="516"/>
      <c r="H25" s="516"/>
      <c r="I25" s="516"/>
      <c r="J25" s="516"/>
      <c r="K25" s="516"/>
      <c r="L25" s="516"/>
      <c r="M25" s="516"/>
      <c r="N25" s="516"/>
      <c r="O25" s="516"/>
      <c r="P25" s="516"/>
      <c r="Q25" s="516"/>
      <c r="R25" s="516"/>
      <c r="S25" s="516">
        <f t="shared" si="8"/>
        <v>5.43</v>
      </c>
      <c r="T25" s="516">
        <f t="shared" si="9"/>
        <v>160.70000000000002</v>
      </c>
      <c r="U25" s="516">
        <f t="shared" si="11"/>
        <v>1.01</v>
      </c>
      <c r="V25" s="516">
        <f t="shared" si="12"/>
        <v>29.970000000000002</v>
      </c>
      <c r="W25" s="516">
        <f t="shared" si="10"/>
        <v>1.1200000000000001</v>
      </c>
      <c r="X25" s="516">
        <f t="shared" si="13"/>
        <v>33.07</v>
      </c>
      <c r="Y25" s="521"/>
      <c r="Z25" s="516"/>
      <c r="AA25" s="516"/>
      <c r="AB25" s="516"/>
      <c r="AC25" s="519">
        <v>0.83</v>
      </c>
      <c r="AD25" s="520">
        <f t="shared" si="3"/>
        <v>3010</v>
      </c>
      <c r="AE25" s="519">
        <v>0.79</v>
      </c>
      <c r="AF25" s="604">
        <f t="shared" si="0"/>
        <v>2865</v>
      </c>
      <c r="AG25" s="519">
        <v>0.79</v>
      </c>
      <c r="AH25" s="604">
        <f t="shared" si="6"/>
        <v>127</v>
      </c>
      <c r="AI25" s="522">
        <v>1</v>
      </c>
      <c r="AJ25" s="516">
        <v>5.4</v>
      </c>
      <c r="AK25" s="516">
        <v>300</v>
      </c>
      <c r="AL25" s="516"/>
      <c r="AM25" s="519">
        <f t="shared" si="1"/>
        <v>0.17000000000000004</v>
      </c>
      <c r="AN25" s="516"/>
      <c r="AO25" s="516">
        <f t="shared" si="7"/>
        <v>127</v>
      </c>
      <c r="AP25" s="516"/>
      <c r="AQ25" s="516"/>
      <c r="AR25" s="516"/>
    </row>
    <row r="26" spans="1:44" ht="12.75" x14ac:dyDescent="0.2">
      <c r="A26" s="514">
        <v>1997</v>
      </c>
      <c r="B26" s="518">
        <v>3.3000000000000002E-2</v>
      </c>
      <c r="C26" s="516">
        <f t="shared" si="5"/>
        <v>120</v>
      </c>
      <c r="D26" s="516">
        <v>0</v>
      </c>
      <c r="E26" s="516">
        <f t="shared" si="4"/>
        <v>3746</v>
      </c>
      <c r="F26" s="516">
        <f t="shared" si="2"/>
        <v>3746</v>
      </c>
      <c r="G26" s="516"/>
      <c r="H26" s="516"/>
      <c r="I26" s="516"/>
      <c r="J26" s="516"/>
      <c r="K26" s="516"/>
      <c r="L26" s="516"/>
      <c r="M26" s="516"/>
      <c r="N26" s="516"/>
      <c r="O26" s="516"/>
      <c r="P26" s="516"/>
      <c r="Q26" s="516"/>
      <c r="R26" s="516"/>
      <c r="S26" s="516">
        <f t="shared" si="8"/>
        <v>5.3</v>
      </c>
      <c r="T26" s="516">
        <f t="shared" si="9"/>
        <v>166.00000000000003</v>
      </c>
      <c r="U26" s="516">
        <f t="shared" si="11"/>
        <v>0.99</v>
      </c>
      <c r="V26" s="516">
        <f t="shared" si="12"/>
        <v>30.96</v>
      </c>
      <c r="W26" s="516">
        <f t="shared" si="10"/>
        <v>1.0900000000000001</v>
      </c>
      <c r="X26" s="516">
        <f t="shared" si="13"/>
        <v>34.160000000000004</v>
      </c>
      <c r="Y26" s="521"/>
      <c r="Z26" s="516"/>
      <c r="AA26" s="516"/>
      <c r="AB26" s="516"/>
      <c r="AC26" s="519">
        <v>0.875</v>
      </c>
      <c r="AD26" s="520">
        <f t="shared" si="3"/>
        <v>3278</v>
      </c>
      <c r="AE26" s="519">
        <v>0.79</v>
      </c>
      <c r="AF26" s="604">
        <f t="shared" si="0"/>
        <v>2959</v>
      </c>
      <c r="AG26" s="519">
        <v>0.79</v>
      </c>
      <c r="AH26" s="604">
        <f t="shared" si="6"/>
        <v>131</v>
      </c>
      <c r="AI26" s="522">
        <v>1</v>
      </c>
      <c r="AJ26" s="516">
        <v>5.4</v>
      </c>
      <c r="AK26" s="516">
        <v>300</v>
      </c>
      <c r="AL26" s="516"/>
      <c r="AM26" s="519">
        <f t="shared" si="1"/>
        <v>0.125</v>
      </c>
      <c r="AN26" s="516"/>
      <c r="AO26" s="516">
        <f t="shared" si="7"/>
        <v>131</v>
      </c>
      <c r="AP26" s="516"/>
      <c r="AQ26" s="516"/>
      <c r="AR26" s="516"/>
    </row>
    <row r="27" spans="1:44" ht="12.75" x14ac:dyDescent="0.2">
      <c r="A27" s="514">
        <v>1998</v>
      </c>
      <c r="B27" s="518">
        <v>3.5000000000000003E-2</v>
      </c>
      <c r="C27" s="516">
        <f t="shared" si="5"/>
        <v>131</v>
      </c>
      <c r="D27" s="516">
        <v>0</v>
      </c>
      <c r="E27" s="516">
        <f t="shared" si="4"/>
        <v>3877</v>
      </c>
      <c r="F27" s="516">
        <f t="shared" si="2"/>
        <v>3877</v>
      </c>
      <c r="G27" s="516"/>
      <c r="H27" s="516"/>
      <c r="I27" s="516"/>
      <c r="J27" s="516"/>
      <c r="K27" s="516"/>
      <c r="L27" s="516"/>
      <c r="M27" s="516"/>
      <c r="N27" s="516"/>
      <c r="O27" s="516"/>
      <c r="P27" s="516"/>
      <c r="Q27" s="516"/>
      <c r="R27" s="516"/>
      <c r="S27" s="516">
        <f t="shared" si="8"/>
        <v>5.81</v>
      </c>
      <c r="T27" s="516">
        <f t="shared" si="9"/>
        <v>171.81000000000003</v>
      </c>
      <c r="U27" s="516">
        <f t="shared" si="11"/>
        <v>1.08</v>
      </c>
      <c r="V27" s="516">
        <f t="shared" si="12"/>
        <v>32.04</v>
      </c>
      <c r="W27" s="516">
        <f t="shared" si="10"/>
        <v>1.2</v>
      </c>
      <c r="X27" s="516">
        <f t="shared" si="13"/>
        <v>35.360000000000007</v>
      </c>
      <c r="Y27" s="521"/>
      <c r="Z27" s="516"/>
      <c r="AA27" s="516"/>
      <c r="AB27" s="516"/>
      <c r="AC27" s="519">
        <v>0.875</v>
      </c>
      <c r="AD27" s="520">
        <f t="shared" si="3"/>
        <v>3392</v>
      </c>
      <c r="AE27" s="519">
        <v>0.79</v>
      </c>
      <c r="AF27" s="604">
        <f t="shared" si="0"/>
        <v>3063</v>
      </c>
      <c r="AG27" s="519">
        <v>0.79</v>
      </c>
      <c r="AH27" s="604">
        <f t="shared" si="6"/>
        <v>136</v>
      </c>
      <c r="AI27" s="522">
        <v>1</v>
      </c>
      <c r="AJ27" s="516">
        <v>5.4</v>
      </c>
      <c r="AK27" s="516">
        <v>300</v>
      </c>
      <c r="AL27" s="516"/>
      <c r="AM27" s="519">
        <f t="shared" si="1"/>
        <v>0.125</v>
      </c>
      <c r="AN27" s="516"/>
      <c r="AO27" s="516">
        <f t="shared" si="7"/>
        <v>136</v>
      </c>
      <c r="AP27" s="516"/>
      <c r="AQ27" s="516"/>
      <c r="AR27" s="516"/>
    </row>
    <row r="28" spans="1:44" ht="12.75" x14ac:dyDescent="0.2">
      <c r="A28" s="514">
        <v>1999</v>
      </c>
      <c r="B28" s="518">
        <v>3.5000000000000003E-2</v>
      </c>
      <c r="C28" s="516">
        <f t="shared" si="5"/>
        <v>136</v>
      </c>
      <c r="D28" s="516">
        <v>0</v>
      </c>
      <c r="E28" s="516">
        <f t="shared" si="4"/>
        <v>4013</v>
      </c>
      <c r="F28" s="516">
        <f t="shared" si="2"/>
        <v>4013</v>
      </c>
      <c r="G28" s="516"/>
      <c r="H28" s="516"/>
      <c r="I28" s="516"/>
      <c r="J28" s="516"/>
      <c r="K28" s="516"/>
      <c r="L28" s="516"/>
      <c r="M28" s="516"/>
      <c r="N28" s="516"/>
      <c r="O28" s="516"/>
      <c r="P28" s="516"/>
      <c r="Q28" s="516"/>
      <c r="R28" s="516"/>
      <c r="S28" s="516">
        <f t="shared" si="8"/>
        <v>6.01</v>
      </c>
      <c r="T28" s="516">
        <f t="shared" si="9"/>
        <v>177.82000000000002</v>
      </c>
      <c r="U28" s="516">
        <f t="shared" si="11"/>
        <v>1.1200000000000001</v>
      </c>
      <c r="V28" s="516">
        <f t="shared" si="12"/>
        <v>33.159999999999997</v>
      </c>
      <c r="W28" s="516">
        <f t="shared" si="10"/>
        <v>1.24</v>
      </c>
      <c r="X28" s="516">
        <f t="shared" si="13"/>
        <v>36.600000000000009</v>
      </c>
      <c r="Y28" s="521"/>
      <c r="Z28" s="516"/>
      <c r="AA28" s="516"/>
      <c r="AB28" s="516"/>
      <c r="AC28" s="519">
        <v>0.875</v>
      </c>
      <c r="AD28" s="520">
        <f t="shared" si="3"/>
        <v>3511</v>
      </c>
      <c r="AE28" s="519">
        <v>0.79</v>
      </c>
      <c r="AF28" s="604">
        <f t="shared" si="0"/>
        <v>3170</v>
      </c>
      <c r="AG28" s="519">
        <v>0.79</v>
      </c>
      <c r="AH28" s="604">
        <f t="shared" si="6"/>
        <v>140</v>
      </c>
      <c r="AI28" s="522">
        <v>1</v>
      </c>
      <c r="AJ28" s="516">
        <v>5.4</v>
      </c>
      <c r="AK28" s="516">
        <v>300</v>
      </c>
      <c r="AL28" s="516"/>
      <c r="AM28" s="519">
        <f t="shared" si="1"/>
        <v>0.125</v>
      </c>
      <c r="AN28" s="516"/>
      <c r="AO28" s="516">
        <f t="shared" si="7"/>
        <v>140</v>
      </c>
      <c r="AP28" s="516"/>
      <c r="AQ28" s="516"/>
      <c r="AR28" s="516"/>
    </row>
    <row r="29" spans="1:44" ht="12.75" x14ac:dyDescent="0.2">
      <c r="A29" s="514">
        <v>2000</v>
      </c>
      <c r="B29" s="518">
        <v>0.03</v>
      </c>
      <c r="C29" s="516">
        <f t="shared" si="5"/>
        <v>120</v>
      </c>
      <c r="D29" s="516">
        <v>38</v>
      </c>
      <c r="E29" s="516">
        <f t="shared" si="4"/>
        <v>4171</v>
      </c>
      <c r="F29" s="516">
        <f t="shared" si="2"/>
        <v>4171</v>
      </c>
      <c r="G29" s="516"/>
      <c r="H29" s="516"/>
      <c r="I29" s="516"/>
      <c r="J29" s="516"/>
      <c r="K29" s="516"/>
      <c r="L29" s="516"/>
      <c r="M29" s="516"/>
      <c r="N29" s="516"/>
      <c r="O29" s="516"/>
      <c r="P29" s="516"/>
      <c r="Q29" s="516"/>
      <c r="R29" s="516"/>
      <c r="S29" s="516">
        <f t="shared" si="8"/>
        <v>5.33</v>
      </c>
      <c r="T29" s="516">
        <f t="shared" si="9"/>
        <v>183.15000000000003</v>
      </c>
      <c r="U29" s="516">
        <f t="shared" si="11"/>
        <v>0.99</v>
      </c>
      <c r="V29" s="516">
        <f t="shared" si="12"/>
        <v>34.15</v>
      </c>
      <c r="W29" s="516">
        <f t="shared" si="10"/>
        <v>1.1000000000000001</v>
      </c>
      <c r="X29" s="516">
        <f t="shared" si="13"/>
        <v>37.70000000000001</v>
      </c>
      <c r="Y29" s="521"/>
      <c r="Z29" s="516"/>
      <c r="AA29" s="516"/>
      <c r="AB29" s="516"/>
      <c r="AC29" s="519">
        <v>0.875</v>
      </c>
      <c r="AD29" s="520">
        <f t="shared" si="3"/>
        <v>3650</v>
      </c>
      <c r="AE29" s="519">
        <v>0.875</v>
      </c>
      <c r="AF29" s="604">
        <f t="shared" si="0"/>
        <v>3650</v>
      </c>
      <c r="AG29" s="519">
        <v>0.79</v>
      </c>
      <c r="AH29" s="604">
        <f t="shared" si="6"/>
        <v>145</v>
      </c>
      <c r="AI29" s="522">
        <v>1</v>
      </c>
      <c r="AJ29" s="516">
        <v>5.4</v>
      </c>
      <c r="AK29" s="516">
        <v>300</v>
      </c>
      <c r="AL29" s="516"/>
      <c r="AM29" s="519">
        <f t="shared" si="1"/>
        <v>0.125</v>
      </c>
      <c r="AN29" s="516"/>
      <c r="AO29" s="516">
        <f t="shared" si="7"/>
        <v>145</v>
      </c>
      <c r="AP29" s="516"/>
      <c r="AQ29" s="516"/>
      <c r="AR29" s="516">
        <f>D29</f>
        <v>38</v>
      </c>
    </row>
    <row r="30" spans="1:44" ht="12.75" x14ac:dyDescent="0.2">
      <c r="A30" s="514">
        <v>2001</v>
      </c>
      <c r="B30" s="518">
        <v>0.04</v>
      </c>
      <c r="C30" s="516">
        <f t="shared" si="5"/>
        <v>167</v>
      </c>
      <c r="D30" s="516">
        <v>0</v>
      </c>
      <c r="E30" s="516">
        <f t="shared" si="4"/>
        <v>4338</v>
      </c>
      <c r="F30" s="516">
        <f t="shared" si="2"/>
        <v>4338</v>
      </c>
      <c r="G30" s="516"/>
      <c r="H30" s="516"/>
      <c r="I30" s="516"/>
      <c r="J30" s="516"/>
      <c r="K30" s="516"/>
      <c r="L30" s="516"/>
      <c r="M30" s="516"/>
      <c r="N30" s="516"/>
      <c r="O30" s="516"/>
      <c r="P30" s="516"/>
      <c r="Q30" s="516"/>
      <c r="R30" s="516"/>
      <c r="S30" s="516">
        <f t="shared" si="8"/>
        <v>7.33</v>
      </c>
      <c r="T30" s="516">
        <f t="shared" si="9"/>
        <v>190.48000000000005</v>
      </c>
      <c r="U30" s="516">
        <f t="shared" si="11"/>
        <v>1.37</v>
      </c>
      <c r="V30" s="516">
        <f t="shared" si="12"/>
        <v>35.519999999999996</v>
      </c>
      <c r="W30" s="516">
        <f t="shared" si="10"/>
        <v>1.51</v>
      </c>
      <c r="X30" s="516">
        <f t="shared" si="13"/>
        <v>39.210000000000008</v>
      </c>
      <c r="Y30" s="521"/>
      <c r="Z30" s="516"/>
      <c r="AA30" s="516"/>
      <c r="AB30" s="516"/>
      <c r="AC30" s="519">
        <v>0.875</v>
      </c>
      <c r="AD30" s="520">
        <f t="shared" si="3"/>
        <v>3796</v>
      </c>
      <c r="AE30" s="519">
        <v>0.875</v>
      </c>
      <c r="AF30" s="604">
        <f t="shared" si="0"/>
        <v>3796</v>
      </c>
      <c r="AG30" s="519">
        <v>0.79</v>
      </c>
      <c r="AH30" s="604">
        <f t="shared" si="6"/>
        <v>150</v>
      </c>
      <c r="AI30" s="522">
        <v>1</v>
      </c>
      <c r="AJ30" s="516">
        <v>5.4</v>
      </c>
      <c r="AK30" s="516">
        <v>300</v>
      </c>
      <c r="AL30" s="516"/>
      <c r="AM30" s="519">
        <f t="shared" si="1"/>
        <v>0.125</v>
      </c>
      <c r="AN30" s="516"/>
      <c r="AO30" s="516">
        <f t="shared" si="7"/>
        <v>150</v>
      </c>
      <c r="AP30" s="516"/>
      <c r="AQ30" s="516"/>
      <c r="AR30" s="520">
        <f>ROUND(AR29*(1+B30),0)</f>
        <v>40</v>
      </c>
    </row>
    <row r="31" spans="1:44" ht="12.75" x14ac:dyDescent="0.2">
      <c r="A31" s="514">
        <v>2002</v>
      </c>
      <c r="B31" s="518">
        <v>0.04</v>
      </c>
      <c r="C31" s="516">
        <f t="shared" si="5"/>
        <v>174</v>
      </c>
      <c r="D31" s="516">
        <v>0</v>
      </c>
      <c r="E31" s="516">
        <f t="shared" si="4"/>
        <v>4512</v>
      </c>
      <c r="F31" s="516">
        <f t="shared" si="2"/>
        <v>4512</v>
      </c>
      <c r="G31" s="516"/>
      <c r="H31" s="516"/>
      <c r="I31" s="516"/>
      <c r="J31" s="516"/>
      <c r="K31" s="516"/>
      <c r="L31" s="516"/>
      <c r="M31" s="516"/>
      <c r="N31" s="516"/>
      <c r="O31" s="516"/>
      <c r="P31" s="516"/>
      <c r="Q31" s="516"/>
      <c r="R31" s="516"/>
      <c r="S31" s="516">
        <f t="shared" si="8"/>
        <v>7.62</v>
      </c>
      <c r="T31" s="516">
        <f t="shared" si="9"/>
        <v>198.10000000000005</v>
      </c>
      <c r="U31" s="516">
        <f t="shared" si="11"/>
        <v>1.42</v>
      </c>
      <c r="V31" s="516">
        <f t="shared" si="12"/>
        <v>36.94</v>
      </c>
      <c r="W31" s="516">
        <f t="shared" si="10"/>
        <v>1.57</v>
      </c>
      <c r="X31" s="516">
        <f t="shared" si="13"/>
        <v>40.780000000000008</v>
      </c>
      <c r="Y31" s="521"/>
      <c r="Z31" s="516"/>
      <c r="AA31" s="516"/>
      <c r="AB31" s="516"/>
      <c r="AC31" s="519">
        <v>0.875</v>
      </c>
      <c r="AD31" s="520">
        <f t="shared" si="3"/>
        <v>3948</v>
      </c>
      <c r="AE31" s="519">
        <v>0.875</v>
      </c>
      <c r="AF31" s="604">
        <f t="shared" si="0"/>
        <v>3948</v>
      </c>
      <c r="AG31" s="519">
        <v>0.79</v>
      </c>
      <c r="AH31" s="604">
        <f t="shared" si="6"/>
        <v>156</v>
      </c>
      <c r="AI31" s="522">
        <v>1</v>
      </c>
      <c r="AJ31" s="516">
        <v>5.4</v>
      </c>
      <c r="AK31" s="516">
        <v>300</v>
      </c>
      <c r="AL31" s="516"/>
      <c r="AM31" s="519">
        <f t="shared" si="1"/>
        <v>0.125</v>
      </c>
      <c r="AN31" s="516"/>
      <c r="AO31" s="516">
        <f t="shared" si="7"/>
        <v>156</v>
      </c>
      <c r="AP31" s="516"/>
      <c r="AQ31" s="516"/>
      <c r="AR31" s="520">
        <f t="shared" ref="AR31:AR51" si="14">ROUND(AR30*(1+B31),0)</f>
        <v>42</v>
      </c>
    </row>
    <row r="32" spans="1:44" ht="12.75" x14ac:dyDescent="0.2">
      <c r="A32" s="514">
        <v>2003</v>
      </c>
      <c r="B32" s="518">
        <v>0.01</v>
      </c>
      <c r="C32" s="516">
        <f t="shared" si="5"/>
        <v>45</v>
      </c>
      <c r="D32" s="516">
        <v>0</v>
      </c>
      <c r="E32" s="516">
        <f t="shared" si="4"/>
        <v>4557</v>
      </c>
      <c r="F32" s="516">
        <f t="shared" si="2"/>
        <v>4557</v>
      </c>
      <c r="G32" s="516"/>
      <c r="H32" s="516"/>
      <c r="I32" s="516"/>
      <c r="J32" s="516"/>
      <c r="K32" s="516"/>
      <c r="L32" s="516"/>
      <c r="M32" s="516"/>
      <c r="N32" s="516"/>
      <c r="O32" s="516"/>
      <c r="P32" s="516"/>
      <c r="Q32" s="516"/>
      <c r="R32" s="516"/>
      <c r="S32" s="516">
        <f t="shared" si="8"/>
        <v>1.98</v>
      </c>
      <c r="T32" s="516">
        <f t="shared" si="9"/>
        <v>200.08000000000004</v>
      </c>
      <c r="U32" s="516">
        <f t="shared" si="11"/>
        <v>0.37</v>
      </c>
      <c r="V32" s="516">
        <f t="shared" si="12"/>
        <v>37.309999999999995</v>
      </c>
      <c r="W32" s="516">
        <f t="shared" si="10"/>
        <v>0.41</v>
      </c>
      <c r="X32" s="516">
        <f t="shared" si="13"/>
        <v>41.190000000000005</v>
      </c>
      <c r="Y32" s="521"/>
      <c r="Z32" s="516"/>
      <c r="AA32" s="516"/>
      <c r="AB32" s="516"/>
      <c r="AC32" s="519">
        <v>0.875</v>
      </c>
      <c r="AD32" s="520">
        <f t="shared" si="3"/>
        <v>3987</v>
      </c>
      <c r="AE32" s="519">
        <v>0.875</v>
      </c>
      <c r="AF32" s="604">
        <f t="shared" si="0"/>
        <v>3987</v>
      </c>
      <c r="AG32" s="519">
        <v>0.79</v>
      </c>
      <c r="AH32" s="604">
        <f t="shared" si="6"/>
        <v>158</v>
      </c>
      <c r="AI32" s="522">
        <v>1</v>
      </c>
      <c r="AJ32" s="516">
        <v>5.4</v>
      </c>
      <c r="AK32" s="516">
        <v>300</v>
      </c>
      <c r="AL32" s="516"/>
      <c r="AM32" s="519">
        <f t="shared" si="1"/>
        <v>0.125</v>
      </c>
      <c r="AN32" s="516"/>
      <c r="AO32" s="516">
        <f t="shared" si="7"/>
        <v>158</v>
      </c>
      <c r="AP32" s="516"/>
      <c r="AQ32" s="516"/>
      <c r="AR32" s="520">
        <f t="shared" si="14"/>
        <v>42</v>
      </c>
    </row>
    <row r="33" spans="1:44" ht="12.75" x14ac:dyDescent="0.2">
      <c r="A33" s="514">
        <v>2004</v>
      </c>
      <c r="B33" s="518">
        <v>0.02</v>
      </c>
      <c r="C33" s="516">
        <f t="shared" si="5"/>
        <v>91</v>
      </c>
      <c r="D33" s="516">
        <v>0</v>
      </c>
      <c r="E33" s="516">
        <f t="shared" si="4"/>
        <v>4648</v>
      </c>
      <c r="F33" s="516">
        <f t="shared" si="2"/>
        <v>4648</v>
      </c>
      <c r="G33" s="516"/>
      <c r="H33" s="516"/>
      <c r="I33" s="516"/>
      <c r="J33" s="516"/>
      <c r="K33" s="516"/>
      <c r="L33" s="516"/>
      <c r="M33" s="516"/>
      <c r="N33" s="516"/>
      <c r="O33" s="516"/>
      <c r="P33" s="516"/>
      <c r="Q33" s="516"/>
      <c r="R33" s="516"/>
      <c r="S33" s="516">
        <f t="shared" si="8"/>
        <v>4</v>
      </c>
      <c r="T33" s="516">
        <f t="shared" si="9"/>
        <v>204.08000000000004</v>
      </c>
      <c r="U33" s="516">
        <f t="shared" si="11"/>
        <v>0.75</v>
      </c>
      <c r="V33" s="516">
        <f t="shared" si="12"/>
        <v>38.059999999999995</v>
      </c>
      <c r="W33" s="516">
        <f t="shared" si="10"/>
        <v>0.82</v>
      </c>
      <c r="X33" s="516">
        <f t="shared" si="13"/>
        <v>42.010000000000005</v>
      </c>
      <c r="Y33" s="521"/>
      <c r="Z33" s="516"/>
      <c r="AA33" s="516"/>
      <c r="AB33" s="516"/>
      <c r="AC33" s="519">
        <v>0.875</v>
      </c>
      <c r="AD33" s="520">
        <f t="shared" si="3"/>
        <v>4067</v>
      </c>
      <c r="AE33" s="519">
        <v>0.875</v>
      </c>
      <c r="AF33" s="604">
        <f t="shared" si="0"/>
        <v>4067</v>
      </c>
      <c r="AG33" s="519">
        <v>0.79</v>
      </c>
      <c r="AH33" s="604">
        <f t="shared" si="6"/>
        <v>161</v>
      </c>
      <c r="AI33" s="522">
        <v>1</v>
      </c>
      <c r="AJ33" s="516">
        <v>5.4</v>
      </c>
      <c r="AK33" s="516">
        <v>300</v>
      </c>
      <c r="AL33" s="516"/>
      <c r="AM33" s="519">
        <f t="shared" si="1"/>
        <v>0.125</v>
      </c>
      <c r="AN33" s="516"/>
      <c r="AO33" s="516">
        <f t="shared" si="7"/>
        <v>161</v>
      </c>
      <c r="AP33" s="516"/>
      <c r="AQ33" s="516"/>
      <c r="AR33" s="520">
        <f t="shared" si="14"/>
        <v>43</v>
      </c>
    </row>
    <row r="34" spans="1:44" ht="12.75" x14ac:dyDescent="0.2">
      <c r="A34" s="514">
        <v>2005</v>
      </c>
      <c r="B34" s="518">
        <v>0.02</v>
      </c>
      <c r="C34" s="516">
        <f t="shared" si="5"/>
        <v>93</v>
      </c>
      <c r="D34" s="516">
        <v>0</v>
      </c>
      <c r="E34" s="516">
        <f t="shared" si="4"/>
        <v>4741</v>
      </c>
      <c r="F34" s="516">
        <f t="shared" si="2"/>
        <v>4741</v>
      </c>
      <c r="G34" s="516"/>
      <c r="H34" s="516"/>
      <c r="I34" s="516"/>
      <c r="J34" s="516"/>
      <c r="K34" s="516"/>
      <c r="L34" s="516"/>
      <c r="M34" s="516"/>
      <c r="N34" s="516"/>
      <c r="O34" s="516"/>
      <c r="P34" s="516"/>
      <c r="Q34" s="516"/>
      <c r="R34" s="516"/>
      <c r="S34" s="516">
        <f t="shared" si="8"/>
        <v>4.08</v>
      </c>
      <c r="T34" s="516">
        <f t="shared" si="9"/>
        <v>208.16000000000005</v>
      </c>
      <c r="U34" s="516">
        <f t="shared" si="11"/>
        <v>0.76</v>
      </c>
      <c r="V34" s="516">
        <f t="shared" si="12"/>
        <v>38.819999999999993</v>
      </c>
      <c r="W34" s="516">
        <f t="shared" si="10"/>
        <v>0.84</v>
      </c>
      <c r="X34" s="516">
        <f t="shared" si="13"/>
        <v>42.850000000000009</v>
      </c>
      <c r="Y34" s="521"/>
      <c r="Z34" s="516"/>
      <c r="AA34" s="516"/>
      <c r="AB34" s="516"/>
      <c r="AC34" s="519">
        <v>0.875</v>
      </c>
      <c r="AD34" s="520">
        <f t="shared" si="3"/>
        <v>4148</v>
      </c>
      <c r="AE34" s="519">
        <v>0.875</v>
      </c>
      <c r="AF34" s="604">
        <f t="shared" si="0"/>
        <v>4148</v>
      </c>
      <c r="AG34" s="519">
        <v>0.79</v>
      </c>
      <c r="AH34" s="604">
        <f t="shared" si="6"/>
        <v>164</v>
      </c>
      <c r="AI34" s="522">
        <v>1.01</v>
      </c>
      <c r="AJ34" s="516">
        <v>5.4</v>
      </c>
      <c r="AK34" s="516">
        <v>300</v>
      </c>
      <c r="AL34" s="516"/>
      <c r="AM34" s="519">
        <f t="shared" si="1"/>
        <v>0.125</v>
      </c>
      <c r="AN34" s="516"/>
      <c r="AO34" s="516">
        <f t="shared" si="7"/>
        <v>164</v>
      </c>
      <c r="AP34" s="516"/>
      <c r="AQ34" s="516"/>
      <c r="AR34" s="520">
        <f t="shared" si="14"/>
        <v>44</v>
      </c>
    </row>
    <row r="35" spans="1:44" ht="12.75" x14ac:dyDescent="0.2">
      <c r="A35" s="514">
        <v>2006</v>
      </c>
      <c r="B35" s="518">
        <v>0.04</v>
      </c>
      <c r="C35" s="516">
        <f t="shared" si="5"/>
        <v>190</v>
      </c>
      <c r="D35" s="516">
        <v>0</v>
      </c>
      <c r="E35" s="516">
        <f t="shared" si="4"/>
        <v>4931</v>
      </c>
      <c r="F35" s="516">
        <f t="shared" si="2"/>
        <v>4931</v>
      </c>
      <c r="G35" s="516"/>
      <c r="H35" s="516"/>
      <c r="I35" s="516"/>
      <c r="J35" s="516"/>
      <c r="K35" s="516"/>
      <c r="L35" s="516"/>
      <c r="M35" s="516"/>
      <c r="N35" s="516"/>
      <c r="O35" s="516"/>
      <c r="P35" s="516"/>
      <c r="Q35" s="516"/>
      <c r="R35" s="516"/>
      <c r="S35" s="516">
        <f t="shared" si="8"/>
        <v>8.33</v>
      </c>
      <c r="T35" s="516">
        <f t="shared" si="9"/>
        <v>216.49000000000007</v>
      </c>
      <c r="U35" s="516">
        <f t="shared" si="11"/>
        <v>1.55</v>
      </c>
      <c r="V35" s="516">
        <f t="shared" si="12"/>
        <v>40.36999999999999</v>
      </c>
      <c r="W35" s="516">
        <f t="shared" si="10"/>
        <v>1.71</v>
      </c>
      <c r="X35" s="516">
        <f t="shared" si="13"/>
        <v>44.560000000000009</v>
      </c>
      <c r="Y35" s="521"/>
      <c r="Z35" s="516"/>
      <c r="AA35" s="516"/>
      <c r="AB35" s="516"/>
      <c r="AC35" s="519">
        <v>0.875</v>
      </c>
      <c r="AD35" s="520">
        <f t="shared" si="3"/>
        <v>4315</v>
      </c>
      <c r="AE35" s="519">
        <v>0.875</v>
      </c>
      <c r="AF35" s="604">
        <f t="shared" si="0"/>
        <v>4315</v>
      </c>
      <c r="AG35" s="519">
        <v>0.79</v>
      </c>
      <c r="AH35" s="604">
        <f t="shared" si="6"/>
        <v>171</v>
      </c>
      <c r="AI35" s="522">
        <v>1.01</v>
      </c>
      <c r="AJ35" s="516">
        <v>5.4</v>
      </c>
      <c r="AK35" s="516">
        <v>300</v>
      </c>
      <c r="AL35" s="516"/>
      <c r="AM35" s="519">
        <f t="shared" si="1"/>
        <v>0.125</v>
      </c>
      <c r="AN35" s="516"/>
      <c r="AO35" s="516">
        <f t="shared" si="7"/>
        <v>171</v>
      </c>
      <c r="AP35" s="516"/>
      <c r="AQ35" s="516"/>
      <c r="AR35" s="520">
        <f t="shared" si="14"/>
        <v>46</v>
      </c>
    </row>
    <row r="36" spans="1:44" ht="12.75" x14ac:dyDescent="0.2">
      <c r="A36" s="514">
        <v>2007</v>
      </c>
      <c r="B36" s="518">
        <v>0.04</v>
      </c>
      <c r="C36" s="516">
        <f t="shared" si="5"/>
        <v>197</v>
      </c>
      <c r="D36" s="516">
        <v>0</v>
      </c>
      <c r="E36" s="516">
        <f t="shared" si="4"/>
        <v>5128</v>
      </c>
      <c r="F36" s="516">
        <f t="shared" si="2"/>
        <v>5128</v>
      </c>
      <c r="G36" s="516"/>
      <c r="H36" s="516"/>
      <c r="I36" s="516"/>
      <c r="J36" s="516"/>
      <c r="K36" s="516"/>
      <c r="L36" s="516"/>
      <c r="M36" s="516"/>
      <c r="N36" s="516"/>
      <c r="O36" s="516"/>
      <c r="P36" s="516"/>
      <c r="Q36" s="516"/>
      <c r="R36" s="516"/>
      <c r="S36" s="516">
        <f t="shared" si="8"/>
        <v>8.66</v>
      </c>
      <c r="T36" s="516">
        <f t="shared" si="9"/>
        <v>225.15000000000006</v>
      </c>
      <c r="U36" s="516">
        <f t="shared" si="11"/>
        <v>1.61</v>
      </c>
      <c r="V36" s="516">
        <f t="shared" si="12"/>
        <v>41.97999999999999</v>
      </c>
      <c r="W36" s="516">
        <f t="shared" si="10"/>
        <v>1.78</v>
      </c>
      <c r="X36" s="516">
        <f t="shared" si="13"/>
        <v>46.340000000000011</v>
      </c>
      <c r="Y36" s="521"/>
      <c r="Z36" s="516"/>
      <c r="AA36" s="516"/>
      <c r="AB36" s="516"/>
      <c r="AC36" s="519">
        <v>0.875</v>
      </c>
      <c r="AD36" s="520">
        <f t="shared" si="3"/>
        <v>4487</v>
      </c>
      <c r="AE36" s="519">
        <v>0.875</v>
      </c>
      <c r="AF36" s="604">
        <f t="shared" si="0"/>
        <v>4487</v>
      </c>
      <c r="AG36" s="519">
        <v>0.79</v>
      </c>
      <c r="AH36" s="604">
        <f t="shared" si="6"/>
        <v>178</v>
      </c>
      <c r="AI36" s="522">
        <v>1.01</v>
      </c>
      <c r="AJ36" s="516">
        <v>5.4</v>
      </c>
      <c r="AK36" s="516">
        <v>300</v>
      </c>
      <c r="AL36" s="516"/>
      <c r="AM36" s="519">
        <f t="shared" si="1"/>
        <v>0.125</v>
      </c>
      <c r="AN36" s="518">
        <v>4.72424</v>
      </c>
      <c r="AO36" s="516">
        <f t="shared" si="7"/>
        <v>178</v>
      </c>
      <c r="AP36" s="516"/>
      <c r="AQ36" s="516"/>
      <c r="AR36" s="520">
        <f t="shared" si="14"/>
        <v>48</v>
      </c>
    </row>
    <row r="37" spans="1:44" ht="12.75" x14ac:dyDescent="0.2">
      <c r="A37" s="514">
        <v>2008</v>
      </c>
      <c r="B37" s="518">
        <v>0.04</v>
      </c>
      <c r="C37" s="516">
        <f t="shared" si="5"/>
        <v>205</v>
      </c>
      <c r="D37" s="516">
        <v>0</v>
      </c>
      <c r="E37" s="516">
        <f t="shared" si="4"/>
        <v>5333</v>
      </c>
      <c r="F37" s="516">
        <f t="shared" si="2"/>
        <v>5333</v>
      </c>
      <c r="G37" s="516"/>
      <c r="H37" s="516"/>
      <c r="I37" s="516"/>
      <c r="J37" s="516"/>
      <c r="K37" s="516"/>
      <c r="L37" s="516"/>
      <c r="M37" s="516"/>
      <c r="N37" s="516"/>
      <c r="O37" s="516"/>
      <c r="P37" s="516"/>
      <c r="Q37" s="516"/>
      <c r="R37" s="516"/>
      <c r="S37" s="516">
        <f t="shared" si="8"/>
        <v>9.01</v>
      </c>
      <c r="T37" s="516">
        <f t="shared" si="9"/>
        <v>234.16000000000005</v>
      </c>
      <c r="U37" s="516">
        <f t="shared" si="11"/>
        <v>1.68</v>
      </c>
      <c r="V37" s="516">
        <f t="shared" si="12"/>
        <v>43.659999999999989</v>
      </c>
      <c r="W37" s="516">
        <f t="shared" si="10"/>
        <v>1.85</v>
      </c>
      <c r="X37" s="516">
        <f t="shared" si="13"/>
        <v>48.190000000000012</v>
      </c>
      <c r="Y37" s="521"/>
      <c r="Z37" s="516"/>
      <c r="AA37" s="516"/>
      <c r="AB37" s="516"/>
      <c r="AC37" s="519">
        <v>0.875</v>
      </c>
      <c r="AD37" s="520">
        <f t="shared" si="3"/>
        <v>4666</v>
      </c>
      <c r="AE37" s="519">
        <v>0.875</v>
      </c>
      <c r="AF37" s="604">
        <f t="shared" si="0"/>
        <v>4666</v>
      </c>
      <c r="AG37" s="519">
        <v>0.79</v>
      </c>
      <c r="AH37" s="604">
        <f t="shared" si="6"/>
        <v>185</v>
      </c>
      <c r="AI37" s="522">
        <v>1.01</v>
      </c>
      <c r="AJ37" s="516">
        <v>5.4</v>
      </c>
      <c r="AK37" s="516">
        <v>300</v>
      </c>
      <c r="AL37" s="516"/>
      <c r="AM37" s="519">
        <f t="shared" si="1"/>
        <v>0.125</v>
      </c>
      <c r="AN37" s="516">
        <v>4.4445399999999999</v>
      </c>
      <c r="AO37" s="516">
        <f t="shared" si="7"/>
        <v>185</v>
      </c>
      <c r="AP37" s="516"/>
      <c r="AQ37" s="516"/>
      <c r="AR37" s="520">
        <f t="shared" si="14"/>
        <v>50</v>
      </c>
    </row>
    <row r="38" spans="1:44" ht="12.75" x14ac:dyDescent="0.2">
      <c r="A38" s="514">
        <v>2009</v>
      </c>
      <c r="B38" s="518">
        <v>0.04</v>
      </c>
      <c r="C38" s="516">
        <f t="shared" si="5"/>
        <v>213</v>
      </c>
      <c r="D38" s="516">
        <v>0</v>
      </c>
      <c r="E38" s="516">
        <f t="shared" si="4"/>
        <v>5546</v>
      </c>
      <c r="F38" s="516">
        <f t="shared" si="2"/>
        <v>5546</v>
      </c>
      <c r="G38" s="516"/>
      <c r="H38" s="516"/>
      <c r="I38" s="516"/>
      <c r="J38" s="516"/>
      <c r="K38" s="516"/>
      <c r="L38" s="516"/>
      <c r="M38" s="516"/>
      <c r="N38" s="516"/>
      <c r="O38" s="516"/>
      <c r="P38" s="516"/>
      <c r="Q38" s="516"/>
      <c r="R38" s="516"/>
      <c r="S38" s="516">
        <f t="shared" si="8"/>
        <v>9.3699999999999992</v>
      </c>
      <c r="T38" s="516">
        <f t="shared" si="9"/>
        <v>243.53000000000006</v>
      </c>
      <c r="U38" s="516">
        <f t="shared" si="11"/>
        <v>1.75</v>
      </c>
      <c r="V38" s="516">
        <f t="shared" si="12"/>
        <v>45.409999999999989</v>
      </c>
      <c r="W38" s="516">
        <f t="shared" si="10"/>
        <v>1.93</v>
      </c>
      <c r="X38" s="516">
        <f t="shared" si="13"/>
        <v>50.120000000000012</v>
      </c>
      <c r="Y38" s="521"/>
      <c r="Z38" s="516"/>
      <c r="AA38" s="516"/>
      <c r="AB38" s="516"/>
      <c r="AC38" s="519">
        <v>0.875</v>
      </c>
      <c r="AD38" s="520">
        <f t="shared" si="3"/>
        <v>4853</v>
      </c>
      <c r="AE38" s="519">
        <v>0.875</v>
      </c>
      <c r="AF38" s="604">
        <f t="shared" si="0"/>
        <v>4853</v>
      </c>
      <c r="AG38" s="519">
        <v>0.79</v>
      </c>
      <c r="AH38" s="604">
        <f t="shared" si="6"/>
        <v>192</v>
      </c>
      <c r="AI38" s="522">
        <v>1.01</v>
      </c>
      <c r="AJ38" s="516">
        <v>5.4</v>
      </c>
      <c r="AK38" s="516">
        <v>300</v>
      </c>
      <c r="AL38" s="516"/>
      <c r="AM38" s="519">
        <f t="shared" si="1"/>
        <v>0.125</v>
      </c>
      <c r="AN38" s="516">
        <v>4.1448799999999997</v>
      </c>
      <c r="AO38" s="516">
        <f t="shared" si="7"/>
        <v>192</v>
      </c>
      <c r="AP38" s="516"/>
      <c r="AQ38" s="516"/>
      <c r="AR38" s="520">
        <f t="shared" si="14"/>
        <v>52</v>
      </c>
    </row>
    <row r="39" spans="1:44" ht="12.75" x14ac:dyDescent="0.2">
      <c r="A39" s="514">
        <v>2010</v>
      </c>
      <c r="B39" s="518">
        <v>0.04</v>
      </c>
      <c r="C39" s="516">
        <f t="shared" si="5"/>
        <v>222</v>
      </c>
      <c r="D39" s="516">
        <v>0</v>
      </c>
      <c r="E39" s="516">
        <f t="shared" si="4"/>
        <v>5768</v>
      </c>
      <c r="F39" s="516">
        <f t="shared" si="2"/>
        <v>5768</v>
      </c>
      <c r="G39" s="516"/>
      <c r="H39" s="516"/>
      <c r="I39" s="525">
        <v>497.09</v>
      </c>
      <c r="J39" s="525"/>
      <c r="K39" s="525"/>
      <c r="L39" s="525">
        <v>56.29</v>
      </c>
      <c r="M39" s="525"/>
      <c r="N39" s="525"/>
      <c r="O39" s="525">
        <v>61.32</v>
      </c>
      <c r="P39" s="525"/>
      <c r="Q39" s="525"/>
      <c r="R39" s="516"/>
      <c r="S39" s="516">
        <f t="shared" si="8"/>
        <v>9.74</v>
      </c>
      <c r="T39" s="516">
        <f t="shared" si="9"/>
        <v>253.27000000000007</v>
      </c>
      <c r="U39" s="516">
        <f t="shared" si="11"/>
        <v>1.82</v>
      </c>
      <c r="V39" s="516">
        <f t="shared" si="12"/>
        <v>47.22999999999999</v>
      </c>
      <c r="W39" s="516">
        <f t="shared" si="10"/>
        <v>2</v>
      </c>
      <c r="X39" s="516">
        <f t="shared" si="13"/>
        <v>52.120000000000012</v>
      </c>
      <c r="Y39" s="521"/>
      <c r="Z39" s="525">
        <v>26.02</v>
      </c>
      <c r="AA39" s="525"/>
      <c r="AB39" s="525">
        <v>3.04</v>
      </c>
      <c r="AC39" s="519">
        <v>0.875</v>
      </c>
      <c r="AD39" s="520">
        <f t="shared" si="3"/>
        <v>5047</v>
      </c>
      <c r="AE39" s="519">
        <v>0.875</v>
      </c>
      <c r="AF39" s="604">
        <f t="shared" si="0"/>
        <v>5047</v>
      </c>
      <c r="AG39" s="519">
        <v>0.79</v>
      </c>
      <c r="AH39" s="604">
        <f t="shared" si="6"/>
        <v>200</v>
      </c>
      <c r="AI39" s="522">
        <v>1.01</v>
      </c>
      <c r="AJ39" s="516">
        <v>5.4</v>
      </c>
      <c r="AK39" s="516">
        <v>300</v>
      </c>
      <c r="AL39" s="516"/>
      <c r="AM39" s="519">
        <f t="shared" si="1"/>
        <v>0.125</v>
      </c>
      <c r="AN39" s="516">
        <v>3.9292400000000001</v>
      </c>
      <c r="AO39" s="516">
        <f t="shared" si="7"/>
        <v>200</v>
      </c>
      <c r="AP39" s="516"/>
      <c r="AQ39" s="516"/>
      <c r="AR39" s="520">
        <f t="shared" si="14"/>
        <v>54</v>
      </c>
    </row>
    <row r="40" spans="1:44" ht="12.75" x14ac:dyDescent="0.2">
      <c r="A40" s="514">
        <v>2011</v>
      </c>
      <c r="B40" s="518">
        <v>0.02</v>
      </c>
      <c r="C40" s="516">
        <f t="shared" si="5"/>
        <v>115</v>
      </c>
      <c r="D40" s="516">
        <v>0</v>
      </c>
      <c r="E40" s="516">
        <f t="shared" si="4"/>
        <v>5883</v>
      </c>
      <c r="F40" s="516">
        <f t="shared" si="2"/>
        <v>5883</v>
      </c>
      <c r="G40" s="516"/>
      <c r="H40" s="516">
        <f t="shared" ref="H40:H51" si="15">ROUND(I39*$B40,2)</f>
        <v>9.94</v>
      </c>
      <c r="I40" s="516">
        <f t="shared" ref="I40:I51" si="16">H40+I39</f>
        <v>507.03</v>
      </c>
      <c r="J40" s="516"/>
      <c r="K40" s="516">
        <f>ROUND(L39*$B40,2)</f>
        <v>1.1299999999999999</v>
      </c>
      <c r="L40" s="516">
        <f>K40+L39</f>
        <v>57.42</v>
      </c>
      <c r="M40" s="516"/>
      <c r="N40" s="516">
        <f>ROUND(O39*$B40,2)</f>
        <v>1.23</v>
      </c>
      <c r="O40" s="516">
        <f>N40+O39</f>
        <v>62.55</v>
      </c>
      <c r="P40" s="516"/>
      <c r="Q40" s="516"/>
      <c r="R40" s="516"/>
      <c r="S40" s="516">
        <f t="shared" si="8"/>
        <v>5.07</v>
      </c>
      <c r="T40" s="516">
        <f t="shared" si="9"/>
        <v>258.34000000000009</v>
      </c>
      <c r="U40" s="516">
        <f t="shared" si="11"/>
        <v>0.94</v>
      </c>
      <c r="V40" s="516">
        <f t="shared" si="12"/>
        <v>48.169999999999987</v>
      </c>
      <c r="W40" s="516">
        <f t="shared" si="10"/>
        <v>1.04</v>
      </c>
      <c r="X40" s="516">
        <f t="shared" si="13"/>
        <v>53.160000000000011</v>
      </c>
      <c r="Y40" s="516">
        <f t="shared" ref="Y40:Y50" si="17">ROUND(Z39*$B40,2)</f>
        <v>0.52</v>
      </c>
      <c r="Z40" s="516">
        <f t="shared" ref="Z40:Z50" si="18">Y40+Z39</f>
        <v>26.54</v>
      </c>
      <c r="AA40" s="516">
        <f t="shared" ref="AA40:AA50" si="19">ROUND(AB39*$B40,2)</f>
        <v>0.06</v>
      </c>
      <c r="AB40" s="516">
        <f t="shared" ref="AB40:AB50" si="20">AA40+AB39</f>
        <v>3.1</v>
      </c>
      <c r="AC40" s="519">
        <v>0.875</v>
      </c>
      <c r="AD40" s="520">
        <f t="shared" si="3"/>
        <v>5148</v>
      </c>
      <c r="AE40" s="519">
        <v>0.875</v>
      </c>
      <c r="AF40" s="604">
        <f t="shared" si="0"/>
        <v>5148</v>
      </c>
      <c r="AG40" s="519">
        <v>0.79</v>
      </c>
      <c r="AH40" s="604">
        <f t="shared" si="6"/>
        <v>204</v>
      </c>
      <c r="AI40" s="522">
        <v>1.01</v>
      </c>
      <c r="AJ40" s="516">
        <v>5.4</v>
      </c>
      <c r="AK40" s="516">
        <v>300</v>
      </c>
      <c r="AL40" s="516"/>
      <c r="AM40" s="519">
        <f t="shared" si="1"/>
        <v>0.125</v>
      </c>
      <c r="AN40" s="518">
        <v>3.2606000000000002</v>
      </c>
      <c r="AO40" s="516">
        <f t="shared" si="7"/>
        <v>204</v>
      </c>
      <c r="AP40" s="516"/>
      <c r="AQ40" s="516"/>
      <c r="AR40" s="520">
        <f t="shared" si="14"/>
        <v>55</v>
      </c>
    </row>
    <row r="41" spans="1:44" ht="12.75" x14ac:dyDescent="0.2">
      <c r="A41" s="514">
        <v>2012</v>
      </c>
      <c r="B41" s="518">
        <v>0</v>
      </c>
      <c r="C41" s="516">
        <f t="shared" si="5"/>
        <v>0</v>
      </c>
      <c r="D41" s="516">
        <v>0</v>
      </c>
      <c r="E41" s="516">
        <f t="shared" si="4"/>
        <v>5883</v>
      </c>
      <c r="F41" s="516">
        <f t="shared" si="2"/>
        <v>5883</v>
      </c>
      <c r="G41" s="516"/>
      <c r="H41" s="516">
        <f t="shared" si="15"/>
        <v>0</v>
      </c>
      <c r="I41" s="516">
        <f t="shared" si="16"/>
        <v>507.03</v>
      </c>
      <c r="J41" s="516"/>
      <c r="K41" s="516">
        <f t="shared" ref="K41:K51" si="21">ROUND(L40*$B41,2)</f>
        <v>0</v>
      </c>
      <c r="L41" s="516">
        <f t="shared" ref="L41:L51" si="22">K41+L40</f>
        <v>57.42</v>
      </c>
      <c r="M41" s="516"/>
      <c r="N41" s="516">
        <f t="shared" ref="N41:N51" si="23">ROUND(O40*$B41,2)</f>
        <v>0</v>
      </c>
      <c r="O41" s="516">
        <f t="shared" ref="O41:O51" si="24">N41+O40</f>
        <v>62.55</v>
      </c>
      <c r="P41" s="516"/>
      <c r="Q41" s="516"/>
      <c r="R41" s="516"/>
      <c r="S41" s="516">
        <f t="shared" si="8"/>
        <v>0</v>
      </c>
      <c r="T41" s="516">
        <f t="shared" si="9"/>
        <v>258.34000000000009</v>
      </c>
      <c r="U41" s="516">
        <f t="shared" si="11"/>
        <v>0</v>
      </c>
      <c r="V41" s="516">
        <f t="shared" si="12"/>
        <v>48.169999999999987</v>
      </c>
      <c r="W41" s="516">
        <f t="shared" si="10"/>
        <v>0</v>
      </c>
      <c r="X41" s="516">
        <f t="shared" si="13"/>
        <v>53.160000000000011</v>
      </c>
      <c r="Y41" s="516">
        <f t="shared" si="17"/>
        <v>0</v>
      </c>
      <c r="Z41" s="516">
        <f t="shared" si="18"/>
        <v>26.54</v>
      </c>
      <c r="AA41" s="516">
        <f t="shared" si="19"/>
        <v>0</v>
      </c>
      <c r="AB41" s="516">
        <f t="shared" si="20"/>
        <v>3.1</v>
      </c>
      <c r="AC41" s="519">
        <v>0.875</v>
      </c>
      <c r="AD41" s="520">
        <f t="shared" si="3"/>
        <v>5148</v>
      </c>
      <c r="AE41" s="519">
        <v>0.875</v>
      </c>
      <c r="AF41" s="604">
        <f t="shared" si="0"/>
        <v>5148</v>
      </c>
      <c r="AG41" s="519">
        <v>0.79</v>
      </c>
      <c r="AH41" s="604">
        <f t="shared" si="6"/>
        <v>204</v>
      </c>
      <c r="AI41" s="522">
        <v>1.01</v>
      </c>
      <c r="AJ41" s="516">
        <v>5.4</v>
      </c>
      <c r="AK41" s="516">
        <v>300</v>
      </c>
      <c r="AL41" s="516"/>
      <c r="AM41" s="519">
        <f t="shared" si="1"/>
        <v>0.125</v>
      </c>
      <c r="AN41" s="516">
        <v>3.5121600000000002</v>
      </c>
      <c r="AO41" s="516">
        <f t="shared" si="7"/>
        <v>204</v>
      </c>
      <c r="AP41" s="516"/>
      <c r="AQ41" s="516"/>
      <c r="AR41" s="520">
        <f t="shared" si="14"/>
        <v>55</v>
      </c>
    </row>
    <row r="42" spans="1:44" ht="12.75" x14ac:dyDescent="0.2">
      <c r="A42" s="514">
        <v>2013</v>
      </c>
      <c r="B42" s="518">
        <v>0.02</v>
      </c>
      <c r="C42" s="516">
        <f t="shared" si="5"/>
        <v>118</v>
      </c>
      <c r="D42" s="516">
        <v>0</v>
      </c>
      <c r="E42" s="516">
        <f t="shared" si="4"/>
        <v>6001</v>
      </c>
      <c r="F42" s="516">
        <f t="shared" si="2"/>
        <v>6001</v>
      </c>
      <c r="G42" s="516"/>
      <c r="H42" s="516">
        <f t="shared" si="15"/>
        <v>10.14</v>
      </c>
      <c r="I42" s="516">
        <f t="shared" si="16"/>
        <v>517.16999999999996</v>
      </c>
      <c r="J42" s="516"/>
      <c r="K42" s="516">
        <f t="shared" si="21"/>
        <v>1.1499999999999999</v>
      </c>
      <c r="L42" s="516">
        <f t="shared" si="22"/>
        <v>58.57</v>
      </c>
      <c r="M42" s="516"/>
      <c r="N42" s="516">
        <f t="shared" si="23"/>
        <v>1.25</v>
      </c>
      <c r="O42" s="516">
        <f t="shared" si="24"/>
        <v>63.8</v>
      </c>
      <c r="P42" s="516"/>
      <c r="Q42" s="516"/>
      <c r="R42" s="516"/>
      <c r="S42" s="516">
        <f t="shared" si="8"/>
        <v>5.17</v>
      </c>
      <c r="T42" s="516">
        <f t="shared" si="9"/>
        <v>263.5100000000001</v>
      </c>
      <c r="U42" s="516">
        <f t="shared" si="11"/>
        <v>0.96</v>
      </c>
      <c r="V42" s="516">
        <f t="shared" si="12"/>
        <v>49.129999999999988</v>
      </c>
      <c r="W42" s="516">
        <f t="shared" si="10"/>
        <v>1.06</v>
      </c>
      <c r="X42" s="516">
        <f t="shared" si="13"/>
        <v>54.220000000000013</v>
      </c>
      <c r="Y42" s="516">
        <f t="shared" si="17"/>
        <v>0.53</v>
      </c>
      <c r="Z42" s="516">
        <f t="shared" si="18"/>
        <v>27.07</v>
      </c>
      <c r="AA42" s="516">
        <f t="shared" si="19"/>
        <v>0.06</v>
      </c>
      <c r="AB42" s="516">
        <f t="shared" si="20"/>
        <v>3.16</v>
      </c>
      <c r="AC42" s="519">
        <v>0.875</v>
      </c>
      <c r="AD42" s="520">
        <f t="shared" si="3"/>
        <v>5251</v>
      </c>
      <c r="AE42" s="519">
        <v>0.875</v>
      </c>
      <c r="AF42" s="604">
        <f t="shared" si="0"/>
        <v>5251</v>
      </c>
      <c r="AG42" s="519">
        <v>0.79</v>
      </c>
      <c r="AH42" s="604">
        <f t="shared" ref="AH42:AH45" si="25">ROUND(AG42*T42,0)</f>
        <v>208</v>
      </c>
      <c r="AI42" s="522">
        <v>1.01</v>
      </c>
      <c r="AJ42" s="516">
        <v>5.4</v>
      </c>
      <c r="AK42" s="516">
        <v>300</v>
      </c>
      <c r="AL42" s="516"/>
      <c r="AM42" s="519">
        <f t="shared" si="1"/>
        <v>0.125</v>
      </c>
      <c r="AN42" s="516">
        <v>3.46875</v>
      </c>
      <c r="AO42" s="516">
        <f t="shared" si="7"/>
        <v>208</v>
      </c>
      <c r="AP42" s="516"/>
      <c r="AQ42" s="516"/>
      <c r="AR42" s="520">
        <f t="shared" si="14"/>
        <v>56</v>
      </c>
    </row>
    <row r="43" spans="1:44" ht="12.75" x14ac:dyDescent="0.2">
      <c r="A43" s="514">
        <v>2014</v>
      </c>
      <c r="B43" s="518">
        <v>0.02</v>
      </c>
      <c r="C43" s="516">
        <f t="shared" si="5"/>
        <v>120</v>
      </c>
      <c r="D43" s="516">
        <v>0</v>
      </c>
      <c r="E43" s="516">
        <f t="shared" si="4"/>
        <v>6121</v>
      </c>
      <c r="F43" s="516">
        <f t="shared" si="2"/>
        <v>6121</v>
      </c>
      <c r="G43" s="516"/>
      <c r="H43" s="516">
        <f t="shared" si="15"/>
        <v>10.34</v>
      </c>
      <c r="I43" s="516">
        <f t="shared" si="16"/>
        <v>527.51</v>
      </c>
      <c r="J43" s="516"/>
      <c r="K43" s="516">
        <f t="shared" si="21"/>
        <v>1.17</v>
      </c>
      <c r="L43" s="516">
        <f t="shared" si="22"/>
        <v>59.74</v>
      </c>
      <c r="M43" s="516"/>
      <c r="N43" s="516">
        <f t="shared" si="23"/>
        <v>1.28</v>
      </c>
      <c r="O43" s="516">
        <f t="shared" si="24"/>
        <v>65.08</v>
      </c>
      <c r="P43" s="516"/>
      <c r="Q43" s="516"/>
      <c r="R43" s="516"/>
      <c r="S43" s="516">
        <f t="shared" si="8"/>
        <v>5.27</v>
      </c>
      <c r="T43" s="516">
        <f t="shared" si="9"/>
        <v>268.78000000000009</v>
      </c>
      <c r="U43" s="516">
        <f t="shared" si="11"/>
        <v>0.98</v>
      </c>
      <c r="V43" s="516">
        <f t="shared" si="12"/>
        <v>50.109999999999985</v>
      </c>
      <c r="W43" s="516">
        <f t="shared" si="10"/>
        <v>1.08</v>
      </c>
      <c r="X43" s="516">
        <f t="shared" si="13"/>
        <v>55.300000000000011</v>
      </c>
      <c r="Y43" s="516">
        <f t="shared" si="17"/>
        <v>0.54</v>
      </c>
      <c r="Z43" s="516">
        <f t="shared" si="18"/>
        <v>27.61</v>
      </c>
      <c r="AA43" s="516">
        <f t="shared" si="19"/>
        <v>0.06</v>
      </c>
      <c r="AB43" s="516">
        <f t="shared" si="20"/>
        <v>3.22</v>
      </c>
      <c r="AC43" s="519">
        <v>0.875</v>
      </c>
      <c r="AD43" s="520">
        <f t="shared" si="3"/>
        <v>5356</v>
      </c>
      <c r="AE43" s="519">
        <v>0.875</v>
      </c>
      <c r="AF43" s="604">
        <f t="shared" si="0"/>
        <v>5356</v>
      </c>
      <c r="AG43" s="519">
        <v>0.79</v>
      </c>
      <c r="AH43" s="604">
        <f t="shared" si="25"/>
        <v>212</v>
      </c>
      <c r="AI43" s="522">
        <v>1.01</v>
      </c>
      <c r="AJ43" s="516">
        <v>5.4</v>
      </c>
      <c r="AK43" s="516">
        <v>300</v>
      </c>
      <c r="AL43" s="516">
        <v>750</v>
      </c>
      <c r="AM43" s="519">
        <f t="shared" si="1"/>
        <v>0.125</v>
      </c>
      <c r="AN43" s="516">
        <v>3.34158</v>
      </c>
      <c r="AO43" s="516">
        <f t="shared" si="7"/>
        <v>212</v>
      </c>
      <c r="AP43" s="520">
        <f>E43-AD43-AL43</f>
        <v>15</v>
      </c>
      <c r="AQ43" s="516"/>
      <c r="AR43" s="520">
        <f t="shared" si="14"/>
        <v>57</v>
      </c>
    </row>
    <row r="44" spans="1:44" ht="12.75" x14ac:dyDescent="0.2">
      <c r="A44" s="514">
        <v>2015</v>
      </c>
      <c r="B44" s="518">
        <v>0.04</v>
      </c>
      <c r="C44" s="516">
        <f t="shared" si="5"/>
        <v>245</v>
      </c>
      <c r="D44" s="516">
        <v>0</v>
      </c>
      <c r="E44" s="516">
        <f t="shared" si="4"/>
        <v>6366</v>
      </c>
      <c r="F44" s="516">
        <f t="shared" si="2"/>
        <v>6366</v>
      </c>
      <c r="G44" s="516"/>
      <c r="H44" s="516">
        <f t="shared" si="15"/>
        <v>21.1</v>
      </c>
      <c r="I44" s="516">
        <f t="shared" si="16"/>
        <v>548.61</v>
      </c>
      <c r="J44" s="516"/>
      <c r="K44" s="516">
        <f t="shared" si="21"/>
        <v>2.39</v>
      </c>
      <c r="L44" s="516">
        <f t="shared" si="22"/>
        <v>62.13</v>
      </c>
      <c r="M44" s="516"/>
      <c r="N44" s="516">
        <f t="shared" si="23"/>
        <v>2.6</v>
      </c>
      <c r="O44" s="516">
        <f t="shared" si="24"/>
        <v>67.679999999999993</v>
      </c>
      <c r="P44" s="516"/>
      <c r="Q44" s="516"/>
      <c r="R44" s="516">
        <v>308.82</v>
      </c>
      <c r="S44" s="516">
        <f t="shared" si="8"/>
        <v>10.75</v>
      </c>
      <c r="T44" s="516">
        <f t="shared" si="9"/>
        <v>279.53000000000009</v>
      </c>
      <c r="U44" s="516">
        <f t="shared" si="11"/>
        <v>2</v>
      </c>
      <c r="V44" s="516">
        <f t="shared" si="12"/>
        <v>52.109999999999985</v>
      </c>
      <c r="W44" s="516">
        <f t="shared" si="10"/>
        <v>2.21</v>
      </c>
      <c r="X44" s="516">
        <f t="shared" si="13"/>
        <v>57.510000000000012</v>
      </c>
      <c r="Y44" s="516">
        <f t="shared" si="17"/>
        <v>1.1000000000000001</v>
      </c>
      <c r="Z44" s="516">
        <f t="shared" si="18"/>
        <v>28.71</v>
      </c>
      <c r="AA44" s="516">
        <f t="shared" si="19"/>
        <v>0.13</v>
      </c>
      <c r="AB44" s="516">
        <f t="shared" si="20"/>
        <v>3.35</v>
      </c>
      <c r="AC44" s="519">
        <v>0.875</v>
      </c>
      <c r="AD44" s="520">
        <f t="shared" si="3"/>
        <v>5570</v>
      </c>
      <c r="AE44" s="519">
        <v>0.875</v>
      </c>
      <c r="AF44" s="604">
        <f t="shared" si="0"/>
        <v>5570</v>
      </c>
      <c r="AG44" s="519">
        <v>0.79</v>
      </c>
      <c r="AH44" s="604">
        <f t="shared" si="25"/>
        <v>221</v>
      </c>
      <c r="AI44" s="522">
        <v>1.01</v>
      </c>
      <c r="AJ44" s="516">
        <v>5.4</v>
      </c>
      <c r="AK44" s="516">
        <v>300</v>
      </c>
      <c r="AL44" s="516">
        <v>750</v>
      </c>
      <c r="AM44" s="519">
        <f t="shared" si="1"/>
        <v>0.125</v>
      </c>
      <c r="AN44" s="516">
        <v>3.38985</v>
      </c>
      <c r="AO44" s="516">
        <f t="shared" si="7"/>
        <v>221</v>
      </c>
      <c r="AP44" s="520">
        <f>E44-AD44-AL44</f>
        <v>46</v>
      </c>
      <c r="AQ44" s="516"/>
      <c r="AR44" s="520">
        <f t="shared" si="14"/>
        <v>59</v>
      </c>
    </row>
    <row r="45" spans="1:44" ht="12.75" x14ac:dyDescent="0.2">
      <c r="A45" s="514">
        <v>2016</v>
      </c>
      <c r="B45" s="518">
        <v>1.2500000000000001E-2</v>
      </c>
      <c r="C45" s="516">
        <f t="shared" si="5"/>
        <v>80</v>
      </c>
      <c r="D45" s="516">
        <v>0</v>
      </c>
      <c r="E45" s="516">
        <f t="shared" si="4"/>
        <v>6446</v>
      </c>
      <c r="F45" s="516">
        <f t="shared" si="2"/>
        <v>6446</v>
      </c>
      <c r="G45" s="516"/>
      <c r="H45" s="516">
        <f t="shared" si="15"/>
        <v>6.86</v>
      </c>
      <c r="I45" s="516">
        <f t="shared" si="16"/>
        <v>555.47</v>
      </c>
      <c r="J45" s="516"/>
      <c r="K45" s="516">
        <f t="shared" si="21"/>
        <v>0.78</v>
      </c>
      <c r="L45" s="516">
        <f t="shared" si="22"/>
        <v>62.910000000000004</v>
      </c>
      <c r="M45" s="516"/>
      <c r="N45" s="516">
        <f t="shared" si="23"/>
        <v>0.85</v>
      </c>
      <c r="O45" s="516">
        <f t="shared" si="24"/>
        <v>68.529999999999987</v>
      </c>
      <c r="P45" s="516"/>
      <c r="Q45" s="516">
        <f>ROUND(R44*$B45,2)</f>
        <v>3.86</v>
      </c>
      <c r="R45" s="516">
        <f>Q45+R44</f>
        <v>312.68</v>
      </c>
      <c r="S45" s="516">
        <f t="shared" si="8"/>
        <v>3.49</v>
      </c>
      <c r="T45" s="516">
        <f t="shared" si="9"/>
        <v>283.0200000000001</v>
      </c>
      <c r="U45" s="516">
        <f t="shared" si="11"/>
        <v>0.65</v>
      </c>
      <c r="V45" s="516">
        <f t="shared" si="12"/>
        <v>52.759999999999984</v>
      </c>
      <c r="W45" s="516">
        <f t="shared" si="10"/>
        <v>0.72</v>
      </c>
      <c r="X45" s="516">
        <f t="shared" si="13"/>
        <v>58.230000000000011</v>
      </c>
      <c r="Y45" s="516">
        <f t="shared" si="17"/>
        <v>0.36</v>
      </c>
      <c r="Z45" s="516">
        <f t="shared" si="18"/>
        <v>29.07</v>
      </c>
      <c r="AA45" s="516">
        <f t="shared" si="19"/>
        <v>0.04</v>
      </c>
      <c r="AB45" s="516">
        <f t="shared" si="20"/>
        <v>3.39</v>
      </c>
      <c r="AC45" s="519">
        <v>0.875</v>
      </c>
      <c r="AD45" s="520">
        <f t="shared" si="3"/>
        <v>5640</v>
      </c>
      <c r="AE45" s="519">
        <v>0.875</v>
      </c>
      <c r="AF45" s="604">
        <f t="shared" ref="AF45" si="26">ROUND(AE45*F45,0)</f>
        <v>5640</v>
      </c>
      <c r="AG45" s="519">
        <v>0.79</v>
      </c>
      <c r="AH45" s="604">
        <f t="shared" si="25"/>
        <v>224</v>
      </c>
      <c r="AI45" s="522">
        <v>1.01</v>
      </c>
      <c r="AJ45" s="516">
        <v>5.4</v>
      </c>
      <c r="AK45" s="516">
        <v>300</v>
      </c>
      <c r="AL45" s="516">
        <v>750</v>
      </c>
      <c r="AM45" s="519">
        <f t="shared" si="1"/>
        <v>0.125</v>
      </c>
      <c r="AN45" s="518">
        <v>3.4121000000000001</v>
      </c>
      <c r="AO45" s="516">
        <f t="shared" si="7"/>
        <v>224</v>
      </c>
      <c r="AP45" s="520">
        <f t="shared" ref="AP45:AP51" si="27">E45-AD45-AL45</f>
        <v>56</v>
      </c>
      <c r="AQ45" s="516"/>
      <c r="AR45" s="520">
        <f t="shared" si="14"/>
        <v>60</v>
      </c>
    </row>
    <row r="46" spans="1:44" ht="13.5" thickBot="1" x14ac:dyDescent="0.25">
      <c r="A46" s="514">
        <v>2017</v>
      </c>
      <c r="B46" s="518">
        <v>2.2499999999999999E-2</v>
      </c>
      <c r="C46" s="516">
        <f t="shared" si="5"/>
        <v>145</v>
      </c>
      <c r="D46" s="516"/>
      <c r="E46" s="516">
        <f>E45+C46+D46</f>
        <v>6591</v>
      </c>
      <c r="F46" s="516">
        <f t="shared" si="2"/>
        <v>6591</v>
      </c>
      <c r="G46" s="516"/>
      <c r="H46" s="516">
        <f t="shared" si="15"/>
        <v>12.5</v>
      </c>
      <c r="I46" s="516">
        <f>H46+I45</f>
        <v>567.97</v>
      </c>
      <c r="J46" s="516"/>
      <c r="K46" s="516">
        <f t="shared" si="21"/>
        <v>1.42</v>
      </c>
      <c r="L46" s="516">
        <f t="shared" si="22"/>
        <v>64.33</v>
      </c>
      <c r="M46" s="516"/>
      <c r="N46" s="516">
        <f t="shared" si="23"/>
        <v>1.54</v>
      </c>
      <c r="O46" s="516">
        <f t="shared" si="24"/>
        <v>70.069999999999993</v>
      </c>
      <c r="P46" s="516"/>
      <c r="Q46" s="516">
        <f t="shared" ref="Q46:Q51" si="28">ROUND(R45*$B46,2)</f>
        <v>7.04</v>
      </c>
      <c r="R46" s="517">
        <f t="shared" ref="R46:R51" si="29">Q46+R45</f>
        <v>319.72000000000003</v>
      </c>
      <c r="S46" s="516">
        <f t="shared" si="8"/>
        <v>6.37</v>
      </c>
      <c r="T46" s="516">
        <f t="shared" si="9"/>
        <v>289.3900000000001</v>
      </c>
      <c r="U46" s="516">
        <f t="shared" si="11"/>
        <v>1.19</v>
      </c>
      <c r="V46" s="516">
        <f t="shared" si="12"/>
        <v>53.949999999999982</v>
      </c>
      <c r="W46" s="516">
        <f t="shared" si="10"/>
        <v>1.31</v>
      </c>
      <c r="X46" s="516">
        <f t="shared" si="13"/>
        <v>59.540000000000013</v>
      </c>
      <c r="Y46" s="516">
        <f t="shared" si="17"/>
        <v>0.65</v>
      </c>
      <c r="Z46" s="516">
        <f t="shared" si="18"/>
        <v>29.72</v>
      </c>
      <c r="AA46" s="516">
        <f t="shared" si="19"/>
        <v>0.08</v>
      </c>
      <c r="AB46" s="516">
        <f t="shared" si="20"/>
        <v>3.47</v>
      </c>
      <c r="AC46" s="519">
        <v>0.875</v>
      </c>
      <c r="AD46" s="539">
        <f>ROUND(AC46*E46,0)</f>
        <v>5767</v>
      </c>
      <c r="AE46" s="519">
        <v>0.875</v>
      </c>
      <c r="AF46" s="539">
        <f>ROUND(AE46*F46,0)</f>
        <v>5767</v>
      </c>
      <c r="AG46" s="519">
        <v>0.79</v>
      </c>
      <c r="AH46" s="539">
        <f>ROUND(AG46*T46,0)</f>
        <v>229</v>
      </c>
      <c r="AI46" s="522">
        <f t="shared" ref="AI46:AI51" si="30">AI45</f>
        <v>1.01</v>
      </c>
      <c r="AJ46" s="516">
        <v>5.4</v>
      </c>
      <c r="AK46" s="516">
        <v>300</v>
      </c>
      <c r="AL46" s="516">
        <v>750</v>
      </c>
      <c r="AM46" s="519">
        <f t="shared" si="1"/>
        <v>0.125</v>
      </c>
      <c r="AN46" s="516">
        <v>3.2430699999999999</v>
      </c>
      <c r="AO46" s="516">
        <f t="shared" si="7"/>
        <v>229</v>
      </c>
      <c r="AP46" s="520">
        <f>E46-AD46-AL46</f>
        <v>74</v>
      </c>
      <c r="AQ46" s="516">
        <v>317587</v>
      </c>
      <c r="AR46" s="520">
        <f t="shared" si="14"/>
        <v>61</v>
      </c>
    </row>
    <row r="47" spans="1:44" s="537" customFormat="1" ht="13.5" thickBot="1" x14ac:dyDescent="0.25">
      <c r="A47" s="530">
        <v>2018</v>
      </c>
      <c r="B47" s="531">
        <f>InputsResults!D34/100</f>
        <v>0</v>
      </c>
      <c r="C47" s="532">
        <f>ROUND(E46*B47,0)</f>
        <v>0</v>
      </c>
      <c r="D47" s="533"/>
      <c r="E47" s="533">
        <f t="shared" si="4"/>
        <v>6591</v>
      </c>
      <c r="F47" s="533">
        <f t="shared" si="2"/>
        <v>6591</v>
      </c>
      <c r="G47" s="531">
        <f>InputsResults!D35/100</f>
        <v>0</v>
      </c>
      <c r="H47" s="532">
        <f>ROUND(I46*$G47,2)</f>
        <v>0</v>
      </c>
      <c r="I47" s="533">
        <f>H47+I46</f>
        <v>567.97</v>
      </c>
      <c r="J47" s="531">
        <f>InputsResults!D36/100</f>
        <v>0</v>
      </c>
      <c r="K47" s="532">
        <f>ROUND(L46*$J47,2)</f>
        <v>0</v>
      </c>
      <c r="L47" s="533">
        <f>K47+L46</f>
        <v>64.33</v>
      </c>
      <c r="M47" s="531">
        <f>InputsResults!D37/100</f>
        <v>0</v>
      </c>
      <c r="N47" s="540">
        <f>ROUND(O46*$M47,2)</f>
        <v>0</v>
      </c>
      <c r="O47" s="536">
        <f>N47+O46</f>
        <v>70.069999999999993</v>
      </c>
      <c r="P47" s="531">
        <f>InputsResults!D38/100</f>
        <v>0</v>
      </c>
      <c r="Q47" s="532">
        <f>ROUND(R46*$P47,2)</f>
        <v>0</v>
      </c>
      <c r="R47" s="533">
        <f t="shared" si="29"/>
        <v>319.72000000000003</v>
      </c>
      <c r="S47" s="533">
        <f t="shared" si="8"/>
        <v>0</v>
      </c>
      <c r="T47" s="533">
        <f t="shared" si="9"/>
        <v>289.3900000000001</v>
      </c>
      <c r="U47" s="533">
        <f t="shared" si="11"/>
        <v>0</v>
      </c>
      <c r="V47" s="533">
        <f t="shared" si="12"/>
        <v>53.949999999999982</v>
      </c>
      <c r="W47" s="533">
        <f t="shared" si="10"/>
        <v>0</v>
      </c>
      <c r="X47" s="533">
        <f t="shared" si="13"/>
        <v>59.540000000000013</v>
      </c>
      <c r="Y47" s="533">
        <f t="shared" si="17"/>
        <v>0</v>
      </c>
      <c r="Z47" s="533">
        <f t="shared" si="18"/>
        <v>29.72</v>
      </c>
      <c r="AA47" s="533">
        <f t="shared" si="19"/>
        <v>0</v>
      </c>
      <c r="AB47" s="533">
        <f t="shared" si="20"/>
        <v>3.47</v>
      </c>
      <c r="AC47" s="534">
        <v>0.875</v>
      </c>
      <c r="AD47" s="538">
        <f t="shared" si="3"/>
        <v>5767</v>
      </c>
      <c r="AE47" s="534">
        <v>0.875</v>
      </c>
      <c r="AF47" s="539">
        <f>ROUND(AE47*F47,0)</f>
        <v>5767</v>
      </c>
      <c r="AG47" s="534">
        <v>0.79</v>
      </c>
      <c r="AH47" s="539">
        <f>ROUND(AG47*T47,0)</f>
        <v>229</v>
      </c>
      <c r="AI47" s="536">
        <f t="shared" si="30"/>
        <v>1.01</v>
      </c>
      <c r="AJ47" s="533">
        <v>5.4</v>
      </c>
      <c r="AK47" s="533">
        <v>300</v>
      </c>
      <c r="AL47" s="535">
        <f>E47-AD47-$AP46</f>
        <v>750</v>
      </c>
      <c r="AM47" s="534">
        <f t="shared" si="1"/>
        <v>0.125</v>
      </c>
      <c r="AN47" s="533"/>
      <c r="AO47" s="533">
        <f t="shared" si="7"/>
        <v>229</v>
      </c>
      <c r="AP47" s="535">
        <f>E47-AD47-AL47</f>
        <v>74</v>
      </c>
      <c r="AQ47" s="533"/>
      <c r="AR47" s="535">
        <f t="shared" si="14"/>
        <v>61</v>
      </c>
    </row>
    <row r="48" spans="1:44" ht="13.5" thickBot="1" x14ac:dyDescent="0.25">
      <c r="A48" s="514">
        <v>2019</v>
      </c>
      <c r="B48" s="531">
        <v>0</v>
      </c>
      <c r="C48" s="516">
        <f t="shared" si="5"/>
        <v>0</v>
      </c>
      <c r="D48" s="516"/>
      <c r="E48" s="516">
        <f t="shared" si="4"/>
        <v>6591</v>
      </c>
      <c r="F48" s="516">
        <f t="shared" si="2"/>
        <v>6591</v>
      </c>
      <c r="G48" s="516"/>
      <c r="H48" s="516">
        <f t="shared" si="15"/>
        <v>0</v>
      </c>
      <c r="I48" s="516">
        <f t="shared" si="16"/>
        <v>567.97</v>
      </c>
      <c r="J48" s="516"/>
      <c r="K48" s="516">
        <f t="shared" si="21"/>
        <v>0</v>
      </c>
      <c r="L48" s="516">
        <f t="shared" si="22"/>
        <v>64.33</v>
      </c>
      <c r="M48" s="516"/>
      <c r="N48" s="516">
        <f t="shared" si="23"/>
        <v>0</v>
      </c>
      <c r="O48" s="516">
        <f t="shared" si="24"/>
        <v>70.069999999999993</v>
      </c>
      <c r="P48" s="516"/>
      <c r="Q48" s="516">
        <f t="shared" si="28"/>
        <v>0</v>
      </c>
      <c r="R48" s="516">
        <f t="shared" si="29"/>
        <v>319.72000000000003</v>
      </c>
      <c r="S48" s="516">
        <f t="shared" si="8"/>
        <v>0</v>
      </c>
      <c r="T48" s="516">
        <f>S48+T47</f>
        <v>289.3900000000001</v>
      </c>
      <c r="U48" s="516">
        <f t="shared" si="11"/>
        <v>0</v>
      </c>
      <c r="V48" s="516">
        <f t="shared" si="12"/>
        <v>53.949999999999982</v>
      </c>
      <c r="W48" s="516">
        <f t="shared" si="10"/>
        <v>0</v>
      </c>
      <c r="X48" s="516">
        <f t="shared" si="13"/>
        <v>59.540000000000013</v>
      </c>
      <c r="Y48" s="516">
        <f t="shared" si="17"/>
        <v>0</v>
      </c>
      <c r="Z48" s="516">
        <f t="shared" si="18"/>
        <v>29.72</v>
      </c>
      <c r="AA48" s="516">
        <f t="shared" si="19"/>
        <v>0</v>
      </c>
      <c r="AB48" s="516">
        <f t="shared" si="20"/>
        <v>3.47</v>
      </c>
      <c r="AC48" s="519">
        <v>0.875</v>
      </c>
      <c r="AD48" s="520">
        <f t="shared" si="3"/>
        <v>5767</v>
      </c>
      <c r="AE48" s="519">
        <v>0.875</v>
      </c>
      <c r="AF48" s="604">
        <f t="shared" ref="AF48:AF51" si="31">ROUND(AE48*F48,0)</f>
        <v>5767</v>
      </c>
      <c r="AG48" s="519">
        <v>0.79</v>
      </c>
      <c r="AH48" s="604">
        <f t="shared" ref="AH48:AH51" si="32">ROUND(AG48*T48,0)</f>
        <v>229</v>
      </c>
      <c r="AI48" s="522">
        <f t="shared" si="30"/>
        <v>1.01</v>
      </c>
      <c r="AJ48" s="516">
        <v>5.4</v>
      </c>
      <c r="AK48" s="516">
        <v>300</v>
      </c>
      <c r="AL48" s="520">
        <f>E48-AD48-$AP47</f>
        <v>750</v>
      </c>
      <c r="AM48" s="519">
        <f t="shared" si="1"/>
        <v>0.125</v>
      </c>
      <c r="AN48" s="516"/>
      <c r="AO48" s="516">
        <f t="shared" si="7"/>
        <v>229</v>
      </c>
      <c r="AP48" s="520">
        <f>E48-AD48-AL48</f>
        <v>74</v>
      </c>
      <c r="AQ48" s="516"/>
      <c r="AR48" s="520">
        <f t="shared" si="14"/>
        <v>61</v>
      </c>
    </row>
    <row r="49" spans="1:44" ht="13.5" thickBot="1" x14ac:dyDescent="0.25">
      <c r="A49" s="514">
        <v>2020</v>
      </c>
      <c r="B49" s="531">
        <v>0</v>
      </c>
      <c r="C49" s="516">
        <f t="shared" si="5"/>
        <v>0</v>
      </c>
      <c r="D49" s="516"/>
      <c r="E49" s="516">
        <f t="shared" si="4"/>
        <v>6591</v>
      </c>
      <c r="F49" s="516">
        <f t="shared" si="2"/>
        <v>6591</v>
      </c>
      <c r="G49" s="516"/>
      <c r="H49" s="516">
        <f t="shared" si="15"/>
        <v>0</v>
      </c>
      <c r="I49" s="516">
        <f t="shared" si="16"/>
        <v>567.97</v>
      </c>
      <c r="J49" s="516"/>
      <c r="K49" s="516">
        <f t="shared" si="21"/>
        <v>0</v>
      </c>
      <c r="L49" s="516">
        <f t="shared" si="22"/>
        <v>64.33</v>
      </c>
      <c r="M49" s="516"/>
      <c r="N49" s="516">
        <f t="shared" si="23"/>
        <v>0</v>
      </c>
      <c r="O49" s="516">
        <f t="shared" si="24"/>
        <v>70.069999999999993</v>
      </c>
      <c r="P49" s="516"/>
      <c r="Q49" s="516">
        <f t="shared" si="28"/>
        <v>0</v>
      </c>
      <c r="R49" s="516">
        <f t="shared" si="29"/>
        <v>319.72000000000003</v>
      </c>
      <c r="S49" s="516">
        <f t="shared" si="8"/>
        <v>0</v>
      </c>
      <c r="T49" s="516">
        <f t="shared" si="9"/>
        <v>289.3900000000001</v>
      </c>
      <c r="U49" s="516">
        <f t="shared" si="11"/>
        <v>0</v>
      </c>
      <c r="V49" s="516">
        <f t="shared" si="12"/>
        <v>53.949999999999982</v>
      </c>
      <c r="W49" s="516">
        <f t="shared" si="10"/>
        <v>0</v>
      </c>
      <c r="X49" s="516">
        <f t="shared" si="13"/>
        <v>59.540000000000013</v>
      </c>
      <c r="Y49" s="516">
        <f t="shared" si="17"/>
        <v>0</v>
      </c>
      <c r="Z49" s="516">
        <f t="shared" si="18"/>
        <v>29.72</v>
      </c>
      <c r="AA49" s="516">
        <f t="shared" si="19"/>
        <v>0</v>
      </c>
      <c r="AB49" s="516">
        <f t="shared" si="20"/>
        <v>3.47</v>
      </c>
      <c r="AC49" s="519">
        <v>0.875</v>
      </c>
      <c r="AD49" s="520">
        <f t="shared" si="3"/>
        <v>5767</v>
      </c>
      <c r="AE49" s="519">
        <v>0.875</v>
      </c>
      <c r="AF49" s="604">
        <f t="shared" si="31"/>
        <v>5767</v>
      </c>
      <c r="AG49" s="519">
        <v>0.79</v>
      </c>
      <c r="AH49" s="604">
        <f t="shared" si="32"/>
        <v>229</v>
      </c>
      <c r="AI49" s="522">
        <f t="shared" si="30"/>
        <v>1.01</v>
      </c>
      <c r="AJ49" s="516">
        <v>5.4</v>
      </c>
      <c r="AK49" s="516">
        <v>300</v>
      </c>
      <c r="AL49" s="520">
        <f>E49-AD49-$AP48</f>
        <v>750</v>
      </c>
      <c r="AM49" s="519">
        <f t="shared" si="1"/>
        <v>0.125</v>
      </c>
      <c r="AN49" s="516"/>
      <c r="AO49" s="516">
        <f t="shared" si="7"/>
        <v>229</v>
      </c>
      <c r="AP49" s="520">
        <f t="shared" si="27"/>
        <v>74</v>
      </c>
      <c r="AQ49" s="516"/>
      <c r="AR49" s="520">
        <f t="shared" si="14"/>
        <v>61</v>
      </c>
    </row>
    <row r="50" spans="1:44" ht="13.5" thickBot="1" x14ac:dyDescent="0.25">
      <c r="A50" s="514">
        <v>2021</v>
      </c>
      <c r="B50" s="531">
        <v>0</v>
      </c>
      <c r="C50" s="516">
        <f t="shared" si="5"/>
        <v>0</v>
      </c>
      <c r="D50" s="516"/>
      <c r="E50" s="516">
        <f t="shared" si="4"/>
        <v>6591</v>
      </c>
      <c r="F50" s="516">
        <f t="shared" si="2"/>
        <v>6591</v>
      </c>
      <c r="G50" s="516"/>
      <c r="H50" s="516">
        <f t="shared" si="15"/>
        <v>0</v>
      </c>
      <c r="I50" s="516">
        <f t="shared" si="16"/>
        <v>567.97</v>
      </c>
      <c r="J50" s="516"/>
      <c r="K50" s="516">
        <f t="shared" si="21"/>
        <v>0</v>
      </c>
      <c r="L50" s="516">
        <f t="shared" si="22"/>
        <v>64.33</v>
      </c>
      <c r="M50" s="516"/>
      <c r="N50" s="516">
        <f t="shared" si="23"/>
        <v>0</v>
      </c>
      <c r="O50" s="516">
        <f t="shared" si="24"/>
        <v>70.069999999999993</v>
      </c>
      <c r="P50" s="516"/>
      <c r="Q50" s="516">
        <f t="shared" si="28"/>
        <v>0</v>
      </c>
      <c r="R50" s="516">
        <f t="shared" si="29"/>
        <v>319.72000000000003</v>
      </c>
      <c r="S50" s="516">
        <f t="shared" si="8"/>
        <v>0</v>
      </c>
      <c r="T50" s="516">
        <f t="shared" si="9"/>
        <v>289.3900000000001</v>
      </c>
      <c r="U50" s="516">
        <f t="shared" si="11"/>
        <v>0</v>
      </c>
      <c r="V50" s="516">
        <f t="shared" si="12"/>
        <v>53.949999999999982</v>
      </c>
      <c r="W50" s="516">
        <f t="shared" si="10"/>
        <v>0</v>
      </c>
      <c r="X50" s="516">
        <f t="shared" si="13"/>
        <v>59.540000000000013</v>
      </c>
      <c r="Y50" s="516">
        <f t="shared" si="17"/>
        <v>0</v>
      </c>
      <c r="Z50" s="516">
        <f t="shared" si="18"/>
        <v>29.72</v>
      </c>
      <c r="AA50" s="516">
        <f t="shared" si="19"/>
        <v>0</v>
      </c>
      <c r="AB50" s="516">
        <f t="shared" si="20"/>
        <v>3.47</v>
      </c>
      <c r="AC50" s="519">
        <v>0.875</v>
      </c>
      <c r="AD50" s="520">
        <f t="shared" si="3"/>
        <v>5767</v>
      </c>
      <c r="AE50" s="519">
        <v>0.875</v>
      </c>
      <c r="AF50" s="604">
        <f t="shared" si="31"/>
        <v>5767</v>
      </c>
      <c r="AG50" s="519">
        <v>0.79</v>
      </c>
      <c r="AH50" s="604">
        <f t="shared" si="32"/>
        <v>229</v>
      </c>
      <c r="AI50" s="522">
        <f t="shared" si="30"/>
        <v>1.01</v>
      </c>
      <c r="AJ50" s="516">
        <v>5.4</v>
      </c>
      <c r="AK50" s="516">
        <v>300</v>
      </c>
      <c r="AL50" s="520">
        <f>E50-AD50-$AP49</f>
        <v>750</v>
      </c>
      <c r="AM50" s="519">
        <f t="shared" si="1"/>
        <v>0.125</v>
      </c>
      <c r="AN50" s="516"/>
      <c r="AO50" s="516">
        <f t="shared" si="7"/>
        <v>229</v>
      </c>
      <c r="AP50" s="520">
        <f t="shared" si="27"/>
        <v>74</v>
      </c>
      <c r="AQ50" s="516"/>
      <c r="AR50" s="520">
        <f t="shared" si="14"/>
        <v>61</v>
      </c>
    </row>
    <row r="51" spans="1:44" ht="13.5" thickBot="1" x14ac:dyDescent="0.25">
      <c r="A51" s="514">
        <v>2022</v>
      </c>
      <c r="B51" s="531">
        <v>0</v>
      </c>
      <c r="C51" s="516">
        <f t="shared" si="5"/>
        <v>0</v>
      </c>
      <c r="D51" s="516"/>
      <c r="E51" s="516">
        <f t="shared" si="4"/>
        <v>6591</v>
      </c>
      <c r="F51" s="516">
        <f t="shared" si="2"/>
        <v>6591</v>
      </c>
      <c r="G51" s="516"/>
      <c r="H51" s="516">
        <f t="shared" si="15"/>
        <v>0</v>
      </c>
      <c r="I51" s="516">
        <f t="shared" si="16"/>
        <v>567.97</v>
      </c>
      <c r="J51" s="516"/>
      <c r="K51" s="516">
        <f t="shared" si="21"/>
        <v>0</v>
      </c>
      <c r="L51" s="516">
        <f t="shared" si="22"/>
        <v>64.33</v>
      </c>
      <c r="M51" s="516"/>
      <c r="N51" s="516">
        <f t="shared" si="23"/>
        <v>0</v>
      </c>
      <c r="O51" s="516">
        <f t="shared" si="24"/>
        <v>70.069999999999993</v>
      </c>
      <c r="P51" s="516"/>
      <c r="Q51" s="516">
        <f t="shared" si="28"/>
        <v>0</v>
      </c>
      <c r="R51" s="516">
        <f t="shared" si="29"/>
        <v>319.72000000000003</v>
      </c>
      <c r="S51" s="516">
        <f t="shared" si="8"/>
        <v>0</v>
      </c>
      <c r="T51" s="516">
        <f t="shared" si="9"/>
        <v>289.3900000000001</v>
      </c>
      <c r="U51" s="516">
        <f>ROUND(V50*$B51,2)</f>
        <v>0</v>
      </c>
      <c r="V51" s="516">
        <f>U51+V50</f>
        <v>53.949999999999982</v>
      </c>
      <c r="W51" s="516">
        <f>ROUND(X50*$B51,2)</f>
        <v>0</v>
      </c>
      <c r="X51" s="516">
        <f>W51+X50</f>
        <v>59.540000000000013</v>
      </c>
      <c r="Y51" s="516">
        <f>ROUND(Z50*$B51,2)</f>
        <v>0</v>
      </c>
      <c r="Z51" s="516">
        <f>Y51+Z50</f>
        <v>29.72</v>
      </c>
      <c r="AA51" s="516">
        <f>ROUND(AB50*$B51,2)</f>
        <v>0</v>
      </c>
      <c r="AB51" s="516">
        <f>AA51+AB50</f>
        <v>3.47</v>
      </c>
      <c r="AC51" s="519">
        <v>0.875</v>
      </c>
      <c r="AD51" s="520">
        <f t="shared" si="3"/>
        <v>5767</v>
      </c>
      <c r="AE51" s="519">
        <v>0.875</v>
      </c>
      <c r="AF51" s="604">
        <f t="shared" si="31"/>
        <v>5767</v>
      </c>
      <c r="AG51" s="519">
        <v>0.79</v>
      </c>
      <c r="AH51" s="604">
        <f t="shared" si="32"/>
        <v>229</v>
      </c>
      <c r="AI51" s="522">
        <f t="shared" si="30"/>
        <v>1.01</v>
      </c>
      <c r="AJ51" s="516">
        <v>5.4</v>
      </c>
      <c r="AK51" s="516">
        <v>300</v>
      </c>
      <c r="AL51" s="520">
        <f>E51-AD51-$AP50</f>
        <v>750</v>
      </c>
      <c r="AM51" s="519">
        <f t="shared" si="1"/>
        <v>0.125</v>
      </c>
      <c r="AN51" s="516"/>
      <c r="AO51" s="516">
        <f t="shared" si="7"/>
        <v>229</v>
      </c>
      <c r="AP51" s="520">
        <f t="shared" si="27"/>
        <v>74</v>
      </c>
      <c r="AQ51" s="516"/>
      <c r="AR51" s="520">
        <f t="shared" si="14"/>
        <v>61</v>
      </c>
    </row>
    <row r="52" spans="1:44" x14ac:dyDescent="0.2">
      <c r="AF52" s="605"/>
    </row>
    <row r="55" spans="1:44" x14ac:dyDescent="0.2">
      <c r="E55">
        <v>6001</v>
      </c>
      <c r="F55">
        <f>E46</f>
        <v>6591</v>
      </c>
    </row>
    <row r="56" spans="1:44" x14ac:dyDescent="0.2">
      <c r="E56" s="529">
        <f>AD42</f>
        <v>5251</v>
      </c>
      <c r="F56" s="529">
        <f>AD46</f>
        <v>5767</v>
      </c>
    </row>
    <row r="57" spans="1:44" x14ac:dyDescent="0.2">
      <c r="E57" s="529">
        <f>E55-E56</f>
        <v>750</v>
      </c>
      <c r="F57" s="529">
        <f>F55-F56</f>
        <v>824</v>
      </c>
    </row>
    <row r="59" spans="1:44" x14ac:dyDescent="0.2">
      <c r="F59" s="529">
        <f>F57-E57</f>
        <v>74</v>
      </c>
      <c r="AD59" s="529">
        <f>E42</f>
        <v>6001</v>
      </c>
      <c r="AE59" s="263" t="s">
        <v>1877</v>
      </c>
      <c r="AF59" s="263"/>
    </row>
    <row r="60" spans="1:44" ht="12.75" x14ac:dyDescent="0.2">
      <c r="C60" s="566"/>
      <c r="AD60" s="578">
        <v>1</v>
      </c>
      <c r="AE60" s="577">
        <v>1</v>
      </c>
      <c r="AF60" s="577"/>
    </row>
    <row r="61" spans="1:44" x14ac:dyDescent="0.2">
      <c r="C61" s="566"/>
      <c r="AD61" s="529">
        <f>AD42</f>
        <v>5251</v>
      </c>
      <c r="AE61" s="263" t="s">
        <v>1878</v>
      </c>
      <c r="AF61" s="263"/>
    </row>
    <row r="62" spans="1:44" ht="12.75" x14ac:dyDescent="0.2">
      <c r="AD62">
        <f>AD59*AD60-AD61</f>
        <v>750</v>
      </c>
      <c r="AE62" s="452" t="s">
        <v>501</v>
      </c>
      <c r="AF62" s="452"/>
      <c r="AG62" s="348" t="s">
        <v>1753</v>
      </c>
      <c r="AH62" s="505"/>
    </row>
    <row r="64" spans="1:44" x14ac:dyDescent="0.2">
      <c r="C64" s="567"/>
      <c r="AD64" s="529">
        <f>E46</f>
        <v>6591</v>
      </c>
      <c r="AE64" s="263" t="s">
        <v>1879</v>
      </c>
      <c r="AF64" s="263"/>
    </row>
    <row r="65" spans="30:34" ht="12.75" x14ac:dyDescent="0.2">
      <c r="AD65" s="578">
        <v>1</v>
      </c>
      <c r="AE65" s="577">
        <v>1</v>
      </c>
      <c r="AF65" s="577"/>
    </row>
    <row r="66" spans="30:34" x14ac:dyDescent="0.2">
      <c r="AD66" s="529">
        <f>AD46</f>
        <v>5767</v>
      </c>
      <c r="AE66" s="263" t="s">
        <v>1880</v>
      </c>
      <c r="AF66" s="263"/>
    </row>
    <row r="67" spans="30:34" ht="12.75" x14ac:dyDescent="0.2">
      <c r="AD67">
        <f>AD64*AD65-AD66</f>
        <v>824</v>
      </c>
      <c r="AE67" s="452" t="s">
        <v>499</v>
      </c>
      <c r="AF67" s="452"/>
      <c r="AG67" s="576" t="s">
        <v>1749</v>
      </c>
      <c r="AH67" s="606"/>
    </row>
    <row r="70" spans="30:34" ht="12.75" x14ac:dyDescent="0.2">
      <c r="AD70">
        <f>AD67-AD62</f>
        <v>74</v>
      </c>
      <c r="AE70" s="452" t="s">
        <v>502</v>
      </c>
      <c r="AF70" s="452"/>
      <c r="AG70" s="335" t="s">
        <v>1561</v>
      </c>
      <c r="AH70" s="506"/>
    </row>
  </sheetData>
  <sheetProtection password="C47C" sheet="1" objects="1" scenarios="1"/>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60"/>
  <sheetViews>
    <sheetView workbookViewId="0">
      <selection activeCell="A2" sqref="A2"/>
    </sheetView>
  </sheetViews>
  <sheetFormatPr defaultRowHeight="11.25" x14ac:dyDescent="0.2"/>
  <cols>
    <col min="1" max="1" width="5.28515625" style="707" customWidth="1"/>
    <col min="2" max="2" width="7.42578125" style="706" customWidth="1"/>
    <col min="3" max="3" width="24.7109375" style="701" customWidth="1"/>
    <col min="4" max="4" width="11" style="705" bestFit="1" customWidth="1"/>
    <col min="5" max="5" width="10.85546875" style="704" customWidth="1"/>
    <col min="6" max="6" width="15" style="704" bestFit="1" customWidth="1"/>
    <col min="7" max="7" width="9.85546875" style="701" bestFit="1" customWidth="1"/>
    <col min="8" max="8" width="14.42578125" style="703" customWidth="1"/>
    <col min="9" max="9" width="14.42578125" style="702" customWidth="1"/>
    <col min="10" max="10" width="12.140625" style="702" customWidth="1"/>
    <col min="11" max="11" width="9.140625" style="701"/>
    <col min="12" max="14" width="14.140625" style="701" bestFit="1" customWidth="1"/>
    <col min="15" max="16384" width="9.140625" style="701"/>
  </cols>
  <sheetData>
    <row r="1" spans="1:14" s="718" customFormat="1" ht="13.5" x14ac:dyDescent="0.25">
      <c r="A1" s="760" t="s">
        <v>2046</v>
      </c>
      <c r="B1" s="758"/>
      <c r="C1" s="757"/>
      <c r="D1" s="757"/>
      <c r="E1" s="756"/>
      <c r="F1" s="755"/>
      <c r="H1" s="754"/>
      <c r="J1" s="753"/>
    </row>
    <row r="2" spans="1:14" s="718" customFormat="1" ht="13.5" x14ac:dyDescent="0.25">
      <c r="A2" s="759" t="s">
        <v>2045</v>
      </c>
      <c r="B2" s="758"/>
      <c r="C2" s="757"/>
      <c r="D2" s="757"/>
      <c r="E2" s="756"/>
      <c r="F2" s="755"/>
      <c r="H2" s="754"/>
      <c r="J2" s="753"/>
    </row>
    <row r="3" spans="1:14" s="718" customFormat="1" ht="13.5" x14ac:dyDescent="0.25">
      <c r="A3" s="752"/>
      <c r="B3" s="751"/>
      <c r="C3" s="750"/>
      <c r="D3" s="722" t="s">
        <v>2044</v>
      </c>
      <c r="E3" s="749" t="s">
        <v>2043</v>
      </c>
      <c r="F3" s="966" t="s">
        <v>2042</v>
      </c>
      <c r="G3" s="966"/>
      <c r="H3" s="748" t="s">
        <v>845</v>
      </c>
      <c r="I3" s="747" t="s">
        <v>2041</v>
      </c>
      <c r="J3" s="746" t="s">
        <v>845</v>
      </c>
    </row>
    <row r="4" spans="1:14" s="718" customFormat="1" x14ac:dyDescent="0.2">
      <c r="A4" s="743" t="s">
        <v>999</v>
      </c>
      <c r="B4" s="745" t="s">
        <v>1000</v>
      </c>
      <c r="C4" s="744"/>
      <c r="D4" s="743" t="s">
        <v>2039</v>
      </c>
      <c r="E4" s="729" t="s">
        <v>2040</v>
      </c>
      <c r="F4" s="729" t="s">
        <v>2039</v>
      </c>
      <c r="G4" s="729" t="s">
        <v>2038</v>
      </c>
      <c r="H4" s="728" t="s">
        <v>2037</v>
      </c>
      <c r="I4" s="742" t="s">
        <v>2036</v>
      </c>
      <c r="J4" s="742" t="s">
        <v>2035</v>
      </c>
    </row>
    <row r="5" spans="1:14" s="718" customFormat="1" x14ac:dyDescent="0.2">
      <c r="A5" s="722"/>
      <c r="B5" s="724"/>
      <c r="C5" s="723"/>
      <c r="D5" s="722" t="str">
        <f>SNAME[[#Headers],[line 1.1 x249]]</f>
        <v>line 1.1 x249</v>
      </c>
      <c r="E5" s="721"/>
      <c r="F5" s="721"/>
      <c r="G5" s="721"/>
      <c r="H5" s="720"/>
      <c r="I5" s="719"/>
      <c r="J5" s="719"/>
      <c r="L5" s="718" t="str">
        <f>SNAME[[#Headers],[line 3.1 x266]]</f>
        <v>line 3.1 x266</v>
      </c>
      <c r="M5" s="718" t="str">
        <f>SNAME[[#Headers],[line 3.2 x265]]</f>
        <v>line 3.2 x265</v>
      </c>
      <c r="N5" s="718" t="str">
        <f>SNAME[[#Headers],[line 3.3 x264]]</f>
        <v>line 3.3 x264</v>
      </c>
    </row>
    <row r="6" spans="1:14" s="718" customFormat="1" x14ac:dyDescent="0.2">
      <c r="A6" s="722"/>
      <c r="B6" s="724"/>
      <c r="C6" s="723"/>
      <c r="D6" s="722"/>
      <c r="E6" s="721"/>
      <c r="F6" s="721"/>
      <c r="G6" s="721"/>
      <c r="H6" s="720"/>
      <c r="I6" s="719"/>
      <c r="J6" s="719"/>
    </row>
    <row r="7" spans="1:14" s="718" customFormat="1" x14ac:dyDescent="0.2">
      <c r="A7" s="967"/>
      <c r="B7" s="967"/>
      <c r="C7" s="741" t="s">
        <v>2034</v>
      </c>
      <c r="D7" s="740"/>
      <c r="E7" s="739"/>
      <c r="F7" s="739"/>
      <c r="G7" s="739"/>
      <c r="H7" s="738"/>
      <c r="I7" s="737">
        <f>I55</f>
        <v>100.09</v>
      </c>
      <c r="J7" s="736">
        <f>J55</f>
        <v>30000</v>
      </c>
    </row>
    <row r="8" spans="1:14" s="718" customFormat="1" x14ac:dyDescent="0.2">
      <c r="A8" s="722"/>
      <c r="B8" s="724"/>
      <c r="C8" s="735" t="s">
        <v>2033</v>
      </c>
      <c r="D8" s="734"/>
      <c r="E8" s="721"/>
      <c r="F8" s="721"/>
      <c r="G8" s="721"/>
      <c r="H8" s="720"/>
      <c r="I8" s="733"/>
      <c r="J8" s="732">
        <f>J56</f>
        <v>22921</v>
      </c>
    </row>
    <row r="9" spans="1:14" s="718" customFormat="1" x14ac:dyDescent="0.2">
      <c r="A9" s="722"/>
      <c r="B9" s="724"/>
      <c r="C9" s="731" t="s">
        <v>2021</v>
      </c>
      <c r="D9" s="730"/>
      <c r="E9" s="729"/>
      <c r="F9" s="729"/>
      <c r="G9" s="729"/>
      <c r="H9" s="728"/>
      <c r="I9" s="727"/>
      <c r="J9" s="726">
        <f>J57</f>
        <v>7080</v>
      </c>
    </row>
    <row r="10" spans="1:14" s="718" customFormat="1" x14ac:dyDescent="0.2">
      <c r="A10" s="722"/>
      <c r="B10" s="724"/>
      <c r="C10" s="723"/>
      <c r="D10" s="722"/>
      <c r="E10" s="721"/>
      <c r="F10" s="721"/>
      <c r="G10" s="721"/>
      <c r="H10" s="720"/>
      <c r="I10" s="719"/>
      <c r="J10" s="719"/>
    </row>
    <row r="11" spans="1:14" s="718" customFormat="1" x14ac:dyDescent="0.2">
      <c r="A11" s="725" t="s">
        <v>2032</v>
      </c>
      <c r="B11" s="724"/>
      <c r="C11" s="723"/>
      <c r="D11" s="722"/>
      <c r="E11" s="721"/>
      <c r="F11" s="721"/>
      <c r="G11" s="721"/>
      <c r="H11" s="720"/>
      <c r="I11" s="719"/>
      <c r="J11" s="719"/>
    </row>
    <row r="12" spans="1:14" s="718" customFormat="1" x14ac:dyDescent="0.2">
      <c r="A12" s="725" t="s">
        <v>2031</v>
      </c>
      <c r="B12" s="724"/>
      <c r="C12" s="723"/>
      <c r="D12" s="722"/>
      <c r="E12" s="721"/>
      <c r="F12" s="721"/>
      <c r="G12" s="721"/>
      <c r="H12" s="720"/>
      <c r="I12" s="719"/>
      <c r="J12" s="719"/>
    </row>
    <row r="13" spans="1:14" s="718" customFormat="1" x14ac:dyDescent="0.2">
      <c r="A13" s="722"/>
      <c r="B13" s="724"/>
      <c r="C13" s="723"/>
      <c r="D13" s="722"/>
      <c r="E13" s="721"/>
      <c r="F13" s="721"/>
      <c r="G13" s="721"/>
      <c r="H13" s="720"/>
      <c r="I13" s="719"/>
      <c r="J13" s="719"/>
    </row>
    <row r="14" spans="1:14" s="718" customFormat="1" x14ac:dyDescent="0.2">
      <c r="A14" s="722"/>
      <c r="B14" s="724"/>
      <c r="C14" s="723"/>
      <c r="D14" s="722"/>
      <c r="E14" s="721"/>
      <c r="F14" s="721"/>
      <c r="G14" s="721"/>
      <c r="H14" s="720"/>
      <c r="I14" s="719"/>
      <c r="J14" s="719"/>
    </row>
    <row r="15" spans="1:14" x14ac:dyDescent="0.2">
      <c r="A15" s="707">
        <v>5</v>
      </c>
      <c r="B15" s="706" t="s">
        <v>80</v>
      </c>
      <c r="C15" s="701" t="s">
        <v>1009</v>
      </c>
      <c r="D15" s="705">
        <f>INDEX(SNAME[#Data],MATCH($B15,SNAME[DIST],0),MATCH(D$5,SNAME[#Headers],0))</f>
        <v>203.2</v>
      </c>
      <c r="E15" s="704">
        <f t="shared" ref="E15:E54" si="0">SUM(L15:N15)</f>
        <v>22.59</v>
      </c>
      <c r="F15" s="704">
        <f t="shared" ref="F15:F54" si="1">SUM(D15:E15)</f>
        <v>225.79</v>
      </c>
      <c r="G15" s="717">
        <v>299.69</v>
      </c>
      <c r="H15" s="703">
        <f t="shared" ref="H15:H54" si="2">ROUND((F15/$F$55)*30000,0)</f>
        <v>198</v>
      </c>
      <c r="I15" s="704">
        <f t="shared" ref="I15:I54" si="3">ROUND(H15/G15,2)</f>
        <v>0.66</v>
      </c>
      <c r="J15" s="703">
        <f t="shared" ref="J15:J54" si="4">ROUND(I15*G15,0)</f>
        <v>198</v>
      </c>
      <c r="L15" s="705">
        <f>INDEX(SNAME[#Data],MATCH($B15,SNAME[DIST],0),MATCH(L$5,SNAME[#Headers],0))</f>
        <v>8.64</v>
      </c>
      <c r="M15" s="705">
        <f>INDEX(SNAME[#Data],MATCH($B15,SNAME[DIST],0),MATCH(M$5,SNAME[#Headers],0))</f>
        <v>8.4700000000000006</v>
      </c>
      <c r="N15" s="705">
        <f>INDEX(SNAME[#Data],MATCH($B15,SNAME[DIST],0),MATCH(N$5,SNAME[#Headers],0))</f>
        <v>5.48</v>
      </c>
    </row>
    <row r="16" spans="1:14" x14ac:dyDescent="0.2">
      <c r="A16" s="707">
        <v>5</v>
      </c>
      <c r="B16" s="706" t="s">
        <v>84</v>
      </c>
      <c r="C16" s="701" t="s">
        <v>2030</v>
      </c>
      <c r="D16" s="705">
        <f>INDEX(SNAME[#Data],MATCH($B16,SNAME[DIST],0),MATCH(D$5,SNAME[#Headers],0))</f>
        <v>1327.9</v>
      </c>
      <c r="E16" s="704">
        <f t="shared" si="0"/>
        <v>210.77999999999997</v>
      </c>
      <c r="F16" s="704">
        <f t="shared" si="1"/>
        <v>1538.68</v>
      </c>
      <c r="G16" s="717">
        <v>299.69</v>
      </c>
      <c r="H16" s="703">
        <f t="shared" si="2"/>
        <v>1352</v>
      </c>
      <c r="I16" s="704">
        <f t="shared" si="3"/>
        <v>4.51</v>
      </c>
      <c r="J16" s="703">
        <f t="shared" si="4"/>
        <v>1352</v>
      </c>
      <c r="L16" s="705">
        <f>INDEX(SNAME[#Data],MATCH($B16,SNAME[DIST],0),MATCH(L$5,SNAME[#Headers],0))</f>
        <v>104.39999999999999</v>
      </c>
      <c r="M16" s="705">
        <f>INDEX(SNAME[#Data],MATCH($B16,SNAME[DIST],0),MATCH(M$5,SNAME[#Headers],0))</f>
        <v>55.69</v>
      </c>
      <c r="N16" s="705">
        <f>INDEX(SNAME[#Data],MATCH($B16,SNAME[DIST],0),MATCH(N$5,SNAME[#Headers],0))</f>
        <v>50.69</v>
      </c>
    </row>
    <row r="17" spans="1:14" x14ac:dyDescent="0.2">
      <c r="A17" s="707">
        <v>5</v>
      </c>
      <c r="B17" s="706" t="s">
        <v>87</v>
      </c>
      <c r="C17" s="701" t="s">
        <v>1015</v>
      </c>
      <c r="D17" s="705">
        <f>INDEX(SNAME[#Data],MATCH($B17,SNAME[DIST],0),MATCH(D$5,SNAME[#Headers],0))</f>
        <v>517.29999999999995</v>
      </c>
      <c r="E17" s="704">
        <f t="shared" si="0"/>
        <v>39.94</v>
      </c>
      <c r="F17" s="704">
        <f t="shared" si="1"/>
        <v>557.24</v>
      </c>
      <c r="G17" s="717">
        <v>299.69</v>
      </c>
      <c r="H17" s="703">
        <f t="shared" si="2"/>
        <v>489</v>
      </c>
      <c r="I17" s="704">
        <f t="shared" si="3"/>
        <v>1.63</v>
      </c>
      <c r="J17" s="703">
        <f t="shared" si="4"/>
        <v>488</v>
      </c>
      <c r="L17" s="705">
        <f>INDEX(SNAME[#Data],MATCH($B17,SNAME[DIST],0),MATCH(L$5,SNAME[#Headers],0))</f>
        <v>16.559999999999999</v>
      </c>
      <c r="M17" s="705">
        <f>INDEX(SNAME[#Data],MATCH($B17,SNAME[DIST],0),MATCH(M$5,SNAME[#Headers],0))</f>
        <v>9.68</v>
      </c>
      <c r="N17" s="705">
        <f>INDEX(SNAME[#Data],MATCH($B17,SNAME[DIST],0),MATCH(N$5,SNAME[#Headers],0))</f>
        <v>13.7</v>
      </c>
    </row>
    <row r="18" spans="1:14" x14ac:dyDescent="0.2">
      <c r="A18" s="707">
        <v>5</v>
      </c>
      <c r="B18" s="706" t="s">
        <v>93</v>
      </c>
      <c r="C18" s="701" t="s">
        <v>2029</v>
      </c>
      <c r="D18" s="705">
        <f>INDEX(SNAME[#Data],MATCH($B18,SNAME[DIST],0),MATCH(D$5,SNAME[#Headers],0))</f>
        <v>421.1</v>
      </c>
      <c r="E18" s="704">
        <f t="shared" si="0"/>
        <v>59.72</v>
      </c>
      <c r="F18" s="704">
        <f t="shared" si="1"/>
        <v>480.82000000000005</v>
      </c>
      <c r="G18" s="717">
        <v>299.69</v>
      </c>
      <c r="H18" s="703">
        <f t="shared" si="2"/>
        <v>422</v>
      </c>
      <c r="I18" s="704">
        <f t="shared" si="3"/>
        <v>1.41</v>
      </c>
      <c r="J18" s="703">
        <f t="shared" si="4"/>
        <v>423</v>
      </c>
      <c r="L18" s="705">
        <f>INDEX(SNAME[#Data],MATCH($B18,SNAME[DIST],0),MATCH(L$5,SNAME[#Headers],0))</f>
        <v>14.399999999999999</v>
      </c>
      <c r="M18" s="705">
        <f>INDEX(SNAME[#Data],MATCH($B18,SNAME[DIST],0),MATCH(M$5,SNAME[#Headers],0))</f>
        <v>30.25</v>
      </c>
      <c r="N18" s="705">
        <f>INDEX(SNAME[#Data],MATCH($B18,SNAME[DIST],0),MATCH(N$5,SNAME[#Headers],0))</f>
        <v>15.07</v>
      </c>
    </row>
    <row r="19" spans="1:14" x14ac:dyDescent="0.2">
      <c r="A19" s="707">
        <v>5</v>
      </c>
      <c r="B19" s="706" t="s">
        <v>139</v>
      </c>
      <c r="C19" s="701" t="s">
        <v>2028</v>
      </c>
      <c r="D19" s="705">
        <f>INDEX(SNAME[#Data],MATCH($B19,SNAME[DIST],0),MATCH(D$5,SNAME[#Headers],0))</f>
        <v>966.7</v>
      </c>
      <c r="E19" s="704">
        <f t="shared" si="0"/>
        <v>132.22</v>
      </c>
      <c r="F19" s="704">
        <f t="shared" si="1"/>
        <v>1098.92</v>
      </c>
      <c r="G19" s="717">
        <v>299.69</v>
      </c>
      <c r="H19" s="703">
        <f t="shared" si="2"/>
        <v>965</v>
      </c>
      <c r="I19" s="704">
        <f t="shared" si="3"/>
        <v>3.22</v>
      </c>
      <c r="J19" s="703">
        <f t="shared" si="4"/>
        <v>965</v>
      </c>
      <c r="L19" s="705">
        <f>INDEX(SNAME[#Data],MATCH($B19,SNAME[DIST],0),MATCH(L$5,SNAME[#Headers],0))</f>
        <v>56.879999999999995</v>
      </c>
      <c r="M19" s="705">
        <f>INDEX(SNAME[#Data],MATCH($B19,SNAME[DIST],0),MATCH(M$5,SNAME[#Headers],0))</f>
        <v>26.02</v>
      </c>
      <c r="N19" s="705">
        <f>INDEX(SNAME[#Data],MATCH($B19,SNAME[DIST],0),MATCH(N$5,SNAME[#Headers],0))</f>
        <v>49.32</v>
      </c>
    </row>
    <row r="20" spans="1:14" x14ac:dyDescent="0.2">
      <c r="A20" s="707">
        <v>5</v>
      </c>
      <c r="B20" s="706" t="s">
        <v>142</v>
      </c>
      <c r="C20" s="701" t="s">
        <v>1070</v>
      </c>
      <c r="D20" s="705">
        <f>INDEX(SNAME[#Data],MATCH($B20,SNAME[DIST],0),MATCH(D$5,SNAME[#Headers],0))</f>
        <v>348</v>
      </c>
      <c r="E20" s="704">
        <f t="shared" si="0"/>
        <v>51.019999999999996</v>
      </c>
      <c r="F20" s="704">
        <f t="shared" si="1"/>
        <v>399.02</v>
      </c>
      <c r="G20" s="717">
        <v>299.69</v>
      </c>
      <c r="H20" s="703">
        <f t="shared" si="2"/>
        <v>351</v>
      </c>
      <c r="I20" s="704">
        <f t="shared" si="3"/>
        <v>1.17</v>
      </c>
      <c r="J20" s="703">
        <f t="shared" si="4"/>
        <v>351</v>
      </c>
      <c r="L20" s="705">
        <f>INDEX(SNAME[#Data],MATCH($B20,SNAME[DIST],0),MATCH(L$5,SNAME[#Headers],0))</f>
        <v>11.52</v>
      </c>
      <c r="M20" s="705">
        <f>INDEX(SNAME[#Data],MATCH($B20,SNAME[DIST],0),MATCH(M$5,SNAME[#Headers],0))</f>
        <v>12.1</v>
      </c>
      <c r="N20" s="705">
        <f>INDEX(SNAME[#Data],MATCH($B20,SNAME[DIST],0),MATCH(N$5,SNAME[#Headers],0))</f>
        <v>27.4</v>
      </c>
    </row>
    <row r="21" spans="1:14" x14ac:dyDescent="0.2">
      <c r="A21" s="707">
        <v>5</v>
      </c>
      <c r="B21" s="706" t="s">
        <v>171</v>
      </c>
      <c r="C21" s="701" t="s">
        <v>1096</v>
      </c>
      <c r="D21" s="705">
        <f>INDEX(SNAME[#Data],MATCH($B21,SNAME[DIST],0),MATCH(D$5,SNAME[#Headers],0))</f>
        <v>851.7</v>
      </c>
      <c r="E21" s="704">
        <f t="shared" si="0"/>
        <v>146.73000000000002</v>
      </c>
      <c r="F21" s="704">
        <f t="shared" si="1"/>
        <v>998.43000000000006</v>
      </c>
      <c r="G21" s="717">
        <v>299.69</v>
      </c>
      <c r="H21" s="703">
        <f t="shared" si="2"/>
        <v>877</v>
      </c>
      <c r="I21" s="704">
        <f t="shared" si="3"/>
        <v>2.93</v>
      </c>
      <c r="J21" s="703">
        <f t="shared" si="4"/>
        <v>878</v>
      </c>
      <c r="L21" s="705">
        <f>INDEX(SNAME[#Data],MATCH($B21,SNAME[DIST],0),MATCH(L$5,SNAME[#Headers],0))</f>
        <v>41.04</v>
      </c>
      <c r="M21" s="705">
        <f>INDEX(SNAME[#Data],MATCH($B21,SNAME[DIST],0),MATCH(M$5,SNAME[#Headers],0))</f>
        <v>39.93</v>
      </c>
      <c r="N21" s="705">
        <f>INDEX(SNAME[#Data],MATCH($B21,SNAME[DIST],0),MATCH(N$5,SNAME[#Headers],0))</f>
        <v>65.760000000000005</v>
      </c>
    </row>
    <row r="22" spans="1:14" x14ac:dyDescent="0.2">
      <c r="A22" s="707">
        <v>5</v>
      </c>
      <c r="B22" s="706" t="s">
        <v>180</v>
      </c>
      <c r="C22" s="701" t="s">
        <v>1104</v>
      </c>
      <c r="D22" s="705">
        <f>INDEX(SNAME[#Data],MATCH($B22,SNAME[DIST],0),MATCH(D$5,SNAME[#Headers],0))</f>
        <v>698.3</v>
      </c>
      <c r="E22" s="704">
        <f t="shared" si="0"/>
        <v>110.84</v>
      </c>
      <c r="F22" s="704">
        <f t="shared" si="1"/>
        <v>809.14</v>
      </c>
      <c r="G22" s="717">
        <v>299.69</v>
      </c>
      <c r="H22" s="703">
        <f t="shared" si="2"/>
        <v>711</v>
      </c>
      <c r="I22" s="704">
        <f t="shared" si="3"/>
        <v>2.37</v>
      </c>
      <c r="J22" s="703">
        <f t="shared" si="4"/>
        <v>710</v>
      </c>
      <c r="L22" s="705">
        <f>INDEX(SNAME[#Data],MATCH($B22,SNAME[DIST],0),MATCH(L$5,SNAME[#Headers],0))</f>
        <v>45.36</v>
      </c>
      <c r="M22" s="705">
        <f>INDEX(SNAME[#Data],MATCH($B22,SNAME[DIST],0),MATCH(M$5,SNAME[#Headers],0))</f>
        <v>43.56</v>
      </c>
      <c r="N22" s="705">
        <f>INDEX(SNAME[#Data],MATCH($B22,SNAME[DIST],0),MATCH(N$5,SNAME[#Headers],0))</f>
        <v>21.92</v>
      </c>
    </row>
    <row r="23" spans="1:14" x14ac:dyDescent="0.2">
      <c r="A23" s="707">
        <v>5</v>
      </c>
      <c r="B23" s="706" t="s">
        <v>183</v>
      </c>
      <c r="C23" s="701" t="s">
        <v>1106</v>
      </c>
      <c r="D23" s="705">
        <f>INDEX(SNAME[#Data],MATCH($B23,SNAME[DIST],0),MATCH(D$5,SNAME[#Headers],0))</f>
        <v>1376.9</v>
      </c>
      <c r="E23" s="704">
        <f t="shared" si="0"/>
        <v>164.91</v>
      </c>
      <c r="F23" s="704">
        <f t="shared" si="1"/>
        <v>1541.8100000000002</v>
      </c>
      <c r="G23" s="717">
        <v>299.69</v>
      </c>
      <c r="H23" s="703">
        <f t="shared" si="2"/>
        <v>1354</v>
      </c>
      <c r="I23" s="704">
        <f t="shared" si="3"/>
        <v>4.5199999999999996</v>
      </c>
      <c r="J23" s="703">
        <f t="shared" si="4"/>
        <v>1355</v>
      </c>
      <c r="L23" s="705">
        <f>INDEX(SNAME[#Data],MATCH($B23,SNAME[DIST],0),MATCH(L$5,SNAME[#Headers],0))</f>
        <v>80.64</v>
      </c>
      <c r="M23" s="705">
        <f>INDEX(SNAME[#Data],MATCH($B23,SNAME[DIST],0),MATCH(M$5,SNAME[#Headers],0))</f>
        <v>56.87</v>
      </c>
      <c r="N23" s="705">
        <f>INDEX(SNAME[#Data],MATCH($B23,SNAME[DIST],0),MATCH(N$5,SNAME[#Headers],0))</f>
        <v>27.4</v>
      </c>
    </row>
    <row r="24" spans="1:14" x14ac:dyDescent="0.2">
      <c r="A24" s="707">
        <v>5</v>
      </c>
      <c r="B24" s="706" t="s">
        <v>188</v>
      </c>
      <c r="C24" s="701" t="s">
        <v>1110</v>
      </c>
      <c r="D24" s="705">
        <f>INDEX(SNAME[#Data],MATCH($B24,SNAME[DIST],0),MATCH(D$5,SNAME[#Headers],0))</f>
        <v>3710.6</v>
      </c>
      <c r="E24" s="704">
        <f t="shared" si="0"/>
        <v>704.78</v>
      </c>
      <c r="F24" s="704">
        <f t="shared" si="1"/>
        <v>4415.38</v>
      </c>
      <c r="G24" s="717">
        <v>299.69</v>
      </c>
      <c r="H24" s="703">
        <f t="shared" si="2"/>
        <v>3879</v>
      </c>
      <c r="I24" s="704">
        <f t="shared" si="3"/>
        <v>12.94</v>
      </c>
      <c r="J24" s="703">
        <f t="shared" si="4"/>
        <v>3878</v>
      </c>
      <c r="L24" s="705">
        <f>INDEX(SNAME[#Data],MATCH($B24,SNAME[DIST],0),MATCH(L$5,SNAME[#Headers],0))</f>
        <v>178.56</v>
      </c>
      <c r="M24" s="705">
        <f>INDEX(SNAME[#Data],MATCH($B24,SNAME[DIST],0),MATCH(M$5,SNAME[#Headers],0))</f>
        <v>170.02</v>
      </c>
      <c r="N24" s="705">
        <f>INDEX(SNAME[#Data],MATCH($B24,SNAME[DIST],0),MATCH(N$5,SNAME[#Headers],0))</f>
        <v>356.2</v>
      </c>
    </row>
    <row r="25" spans="1:14" x14ac:dyDescent="0.2">
      <c r="A25" s="707">
        <v>5</v>
      </c>
      <c r="B25" s="706" t="s">
        <v>195</v>
      </c>
      <c r="C25" s="701" t="s">
        <v>1115</v>
      </c>
      <c r="D25" s="705">
        <f>INDEX(SNAME[#Data],MATCH($B25,SNAME[DIST],0),MATCH(D$5,SNAME[#Headers],0))</f>
        <v>118</v>
      </c>
      <c r="E25" s="704">
        <f t="shared" si="0"/>
        <v>22.97</v>
      </c>
      <c r="F25" s="704">
        <f t="shared" si="1"/>
        <v>140.97</v>
      </c>
      <c r="G25" s="717">
        <v>299.69</v>
      </c>
      <c r="H25" s="703">
        <f t="shared" si="2"/>
        <v>124</v>
      </c>
      <c r="I25" s="704">
        <f t="shared" si="3"/>
        <v>0.41</v>
      </c>
      <c r="J25" s="703">
        <f t="shared" si="4"/>
        <v>123</v>
      </c>
      <c r="L25" s="705">
        <f>INDEX(SNAME[#Data],MATCH($B25,SNAME[DIST],0),MATCH(L$5,SNAME[#Headers],0))</f>
        <v>10.799999999999999</v>
      </c>
      <c r="M25" s="705">
        <f>INDEX(SNAME[#Data],MATCH($B25,SNAME[DIST],0),MATCH(M$5,SNAME[#Headers],0))</f>
        <v>1.21</v>
      </c>
      <c r="N25" s="705">
        <f>INDEX(SNAME[#Data],MATCH($B25,SNAME[DIST],0),MATCH(N$5,SNAME[#Headers],0))</f>
        <v>10.96</v>
      </c>
    </row>
    <row r="26" spans="1:14" x14ac:dyDescent="0.2">
      <c r="A26" s="707">
        <v>5</v>
      </c>
      <c r="B26" s="706" t="s">
        <v>199</v>
      </c>
      <c r="C26" s="701" t="s">
        <v>630</v>
      </c>
      <c r="D26" s="705">
        <f>INDEX(SNAME[#Data],MATCH($B26,SNAME[DIST],0),MATCH(D$5,SNAME[#Headers],0))</f>
        <v>376</v>
      </c>
      <c r="E26" s="704">
        <f t="shared" si="0"/>
        <v>34.14</v>
      </c>
      <c r="F26" s="704">
        <f t="shared" si="1"/>
        <v>410.14</v>
      </c>
      <c r="G26" s="717">
        <v>299.69</v>
      </c>
      <c r="H26" s="703">
        <f t="shared" si="2"/>
        <v>360</v>
      </c>
      <c r="I26" s="704">
        <f t="shared" si="3"/>
        <v>1.2</v>
      </c>
      <c r="J26" s="703">
        <f t="shared" si="4"/>
        <v>360</v>
      </c>
      <c r="L26" s="705">
        <f>INDEX(SNAME[#Data],MATCH($B26,SNAME[DIST],0),MATCH(L$5,SNAME[#Headers],0))</f>
        <v>16.559999999999999</v>
      </c>
      <c r="M26" s="705">
        <f>INDEX(SNAME[#Data],MATCH($B26,SNAME[DIST],0),MATCH(M$5,SNAME[#Headers],0))</f>
        <v>12.1</v>
      </c>
      <c r="N26" s="705">
        <f>INDEX(SNAME[#Data],MATCH($B26,SNAME[DIST],0),MATCH(N$5,SNAME[#Headers],0))</f>
        <v>5.48</v>
      </c>
    </row>
    <row r="27" spans="1:14" x14ac:dyDescent="0.2">
      <c r="A27" s="707">
        <v>5</v>
      </c>
      <c r="B27" s="706" t="s">
        <v>212</v>
      </c>
      <c r="C27" s="701" t="s">
        <v>1128</v>
      </c>
      <c r="D27" s="705">
        <f>INDEX(SNAME[#Data],MATCH($B27,SNAME[DIST],0),MATCH(D$5,SNAME[#Headers],0))</f>
        <v>300.10000000000002</v>
      </c>
      <c r="E27" s="704">
        <f t="shared" si="0"/>
        <v>30.89</v>
      </c>
      <c r="F27" s="704">
        <f t="shared" si="1"/>
        <v>330.99</v>
      </c>
      <c r="G27" s="717">
        <v>299.69</v>
      </c>
      <c r="H27" s="703">
        <f t="shared" si="2"/>
        <v>291</v>
      </c>
      <c r="I27" s="704">
        <f t="shared" si="3"/>
        <v>0.97</v>
      </c>
      <c r="J27" s="703">
        <f t="shared" si="4"/>
        <v>291</v>
      </c>
      <c r="L27" s="705">
        <f>INDEX(SNAME[#Data],MATCH($B27,SNAME[DIST],0),MATCH(L$5,SNAME[#Headers],0))</f>
        <v>9.36</v>
      </c>
      <c r="M27" s="705">
        <f>INDEX(SNAME[#Data],MATCH($B27,SNAME[DIST],0),MATCH(M$5,SNAME[#Headers],0))</f>
        <v>13.31</v>
      </c>
      <c r="N27" s="705">
        <f>INDEX(SNAME[#Data],MATCH($B27,SNAME[DIST],0),MATCH(N$5,SNAME[#Headers],0))</f>
        <v>8.2200000000000006</v>
      </c>
    </row>
    <row r="28" spans="1:14" x14ac:dyDescent="0.2">
      <c r="A28" s="707">
        <v>5</v>
      </c>
      <c r="B28" s="706" t="s">
        <v>219</v>
      </c>
      <c r="C28" s="701" t="s">
        <v>1135</v>
      </c>
      <c r="D28" s="705">
        <f>INDEX(SNAME[#Data],MATCH($B28,SNAME[DIST],0),MATCH(D$5,SNAME[#Headers],0))</f>
        <v>1198.0999999999999</v>
      </c>
      <c r="E28" s="704">
        <f t="shared" si="0"/>
        <v>138.42000000000002</v>
      </c>
      <c r="F28" s="704">
        <f t="shared" si="1"/>
        <v>1336.52</v>
      </c>
      <c r="G28" s="717">
        <v>299.69</v>
      </c>
      <c r="H28" s="703">
        <f t="shared" si="2"/>
        <v>1174</v>
      </c>
      <c r="I28" s="704">
        <f t="shared" si="3"/>
        <v>3.92</v>
      </c>
      <c r="J28" s="703">
        <f t="shared" si="4"/>
        <v>1175</v>
      </c>
      <c r="L28" s="705">
        <f>INDEX(SNAME[#Data],MATCH($B28,SNAME[DIST],0),MATCH(L$5,SNAME[#Headers],0))</f>
        <v>49.68</v>
      </c>
      <c r="M28" s="705">
        <f>INDEX(SNAME[#Data],MATCH($B28,SNAME[DIST],0),MATCH(M$5,SNAME[#Headers],0))</f>
        <v>28.46</v>
      </c>
      <c r="N28" s="705">
        <f>INDEX(SNAME[#Data],MATCH($B28,SNAME[DIST],0),MATCH(N$5,SNAME[#Headers],0))</f>
        <v>60.28</v>
      </c>
    </row>
    <row r="29" spans="1:14" x14ac:dyDescent="0.2">
      <c r="A29" s="707">
        <v>5</v>
      </c>
      <c r="B29" s="706" t="s">
        <v>227</v>
      </c>
      <c r="C29" s="701" t="s">
        <v>2027</v>
      </c>
      <c r="D29" s="705">
        <f>INDEX(SNAME[#Data],MATCH($B29,SNAME[DIST],0),MATCH(D$5,SNAME[#Headers],0))</f>
        <v>1248.4000000000001</v>
      </c>
      <c r="E29" s="704">
        <f t="shared" si="0"/>
        <v>177.17</v>
      </c>
      <c r="F29" s="704">
        <f t="shared" si="1"/>
        <v>1425.5700000000002</v>
      </c>
      <c r="G29" s="717">
        <v>299.69</v>
      </c>
      <c r="H29" s="703">
        <f t="shared" si="2"/>
        <v>1252</v>
      </c>
      <c r="I29" s="704">
        <f t="shared" si="3"/>
        <v>4.18</v>
      </c>
      <c r="J29" s="703">
        <f t="shared" si="4"/>
        <v>1253</v>
      </c>
      <c r="L29" s="705">
        <f>INDEX(SNAME[#Data],MATCH($B29,SNAME[DIST],0),MATCH(L$5,SNAME[#Headers],0))</f>
        <v>54.72</v>
      </c>
      <c r="M29" s="705">
        <f>INDEX(SNAME[#Data],MATCH($B29,SNAME[DIST],0),MATCH(M$5,SNAME[#Headers],0))</f>
        <v>37.51</v>
      </c>
      <c r="N29" s="705">
        <f>INDEX(SNAME[#Data],MATCH($B29,SNAME[DIST],0),MATCH(N$5,SNAME[#Headers],0))</f>
        <v>84.94</v>
      </c>
    </row>
    <row r="30" spans="1:14" x14ac:dyDescent="0.2">
      <c r="A30" s="707">
        <v>5</v>
      </c>
      <c r="B30" s="706" t="s">
        <v>236</v>
      </c>
      <c r="C30" s="701" t="s">
        <v>1154</v>
      </c>
      <c r="D30" s="705">
        <f>INDEX(SNAME[#Data],MATCH($B30,SNAME[DIST],0),MATCH(D$5,SNAME[#Headers],0))</f>
        <v>291</v>
      </c>
      <c r="E30" s="704">
        <f t="shared" si="0"/>
        <v>38.85</v>
      </c>
      <c r="F30" s="704">
        <f t="shared" si="1"/>
        <v>329.85</v>
      </c>
      <c r="G30" s="717">
        <v>299.69</v>
      </c>
      <c r="H30" s="703">
        <f t="shared" si="2"/>
        <v>290</v>
      </c>
      <c r="I30" s="704">
        <f t="shared" si="3"/>
        <v>0.97</v>
      </c>
      <c r="J30" s="703">
        <f t="shared" si="4"/>
        <v>291</v>
      </c>
      <c r="L30" s="705">
        <f>INDEX(SNAME[#Data],MATCH($B30,SNAME[DIST],0),MATCH(L$5,SNAME[#Headers],0))</f>
        <v>23.04</v>
      </c>
      <c r="M30" s="705">
        <f>INDEX(SNAME[#Data],MATCH($B30,SNAME[DIST],0),MATCH(M$5,SNAME[#Headers],0))</f>
        <v>4.8499999999999996</v>
      </c>
      <c r="N30" s="705">
        <f>INDEX(SNAME[#Data],MATCH($B30,SNAME[DIST],0),MATCH(N$5,SNAME[#Headers],0))</f>
        <v>10.96</v>
      </c>
    </row>
    <row r="31" spans="1:14" x14ac:dyDescent="0.2">
      <c r="A31" s="707">
        <v>5</v>
      </c>
      <c r="B31" s="706" t="s">
        <v>248</v>
      </c>
      <c r="C31" s="701" t="s">
        <v>1167</v>
      </c>
      <c r="D31" s="705">
        <f>INDEX(SNAME[#Data],MATCH($B31,SNAME[DIST],0),MATCH(D$5,SNAME[#Headers],0))</f>
        <v>153.5</v>
      </c>
      <c r="E31" s="704">
        <f t="shared" si="0"/>
        <v>19.169999999999998</v>
      </c>
      <c r="F31" s="704">
        <f t="shared" si="1"/>
        <v>172.67</v>
      </c>
      <c r="G31" s="717">
        <v>299.69</v>
      </c>
      <c r="H31" s="703">
        <f t="shared" si="2"/>
        <v>152</v>
      </c>
      <c r="I31" s="704">
        <f t="shared" si="3"/>
        <v>0.51</v>
      </c>
      <c r="J31" s="703">
        <f t="shared" si="4"/>
        <v>153</v>
      </c>
      <c r="L31" s="705">
        <f>INDEX(SNAME[#Data],MATCH($B31,SNAME[DIST],0),MATCH(L$5,SNAME[#Headers],0))</f>
        <v>12.959999999999999</v>
      </c>
      <c r="M31" s="705">
        <f>INDEX(SNAME[#Data],MATCH($B31,SNAME[DIST],0),MATCH(M$5,SNAME[#Headers],0))</f>
        <v>4.84</v>
      </c>
      <c r="N31" s="705">
        <f>INDEX(SNAME[#Data],MATCH($B31,SNAME[DIST],0),MATCH(N$5,SNAME[#Headers],0))</f>
        <v>1.37</v>
      </c>
    </row>
    <row r="32" spans="1:14" x14ac:dyDescent="0.2">
      <c r="A32" s="707">
        <v>5</v>
      </c>
      <c r="B32" s="706" t="s">
        <v>252</v>
      </c>
      <c r="C32" s="701" t="s">
        <v>1170</v>
      </c>
      <c r="D32" s="705">
        <f>INDEX(SNAME[#Data],MATCH($B32,SNAME[DIST],0),MATCH(D$5,SNAME[#Headers],0))</f>
        <v>649</v>
      </c>
      <c r="E32" s="704">
        <f t="shared" si="0"/>
        <v>61.8</v>
      </c>
      <c r="F32" s="704">
        <f t="shared" si="1"/>
        <v>710.8</v>
      </c>
      <c r="G32" s="717">
        <v>299.69</v>
      </c>
      <c r="H32" s="703">
        <f t="shared" si="2"/>
        <v>624</v>
      </c>
      <c r="I32" s="704">
        <f t="shared" si="3"/>
        <v>2.08</v>
      </c>
      <c r="J32" s="703">
        <f t="shared" si="4"/>
        <v>623</v>
      </c>
      <c r="L32" s="705">
        <f>INDEX(SNAME[#Data],MATCH($B32,SNAME[DIST],0),MATCH(L$5,SNAME[#Headers],0))</f>
        <v>30.959999999999997</v>
      </c>
      <c r="M32" s="705">
        <f>INDEX(SNAME[#Data],MATCH($B32,SNAME[DIST],0),MATCH(M$5,SNAME[#Headers],0))</f>
        <v>10.29</v>
      </c>
      <c r="N32" s="705">
        <f>INDEX(SNAME[#Data],MATCH($B32,SNAME[DIST],0),MATCH(N$5,SNAME[#Headers],0))</f>
        <v>20.55</v>
      </c>
    </row>
    <row r="33" spans="1:14" x14ac:dyDescent="0.2">
      <c r="A33" s="707">
        <v>5</v>
      </c>
      <c r="B33" s="706" t="s">
        <v>281</v>
      </c>
      <c r="C33" s="701" t="s">
        <v>645</v>
      </c>
      <c r="D33" s="705">
        <f>INDEX(SNAME[#Data],MATCH($B33,SNAME[DIST],0),MATCH(D$5,SNAME[#Headers],0))</f>
        <v>470.8</v>
      </c>
      <c r="E33" s="704">
        <f t="shared" si="0"/>
        <v>47.69</v>
      </c>
      <c r="F33" s="704">
        <f t="shared" si="1"/>
        <v>518.49</v>
      </c>
      <c r="G33" s="717">
        <v>299.69</v>
      </c>
      <c r="H33" s="703">
        <f t="shared" si="2"/>
        <v>455</v>
      </c>
      <c r="I33" s="704">
        <f t="shared" si="3"/>
        <v>1.52</v>
      </c>
      <c r="J33" s="703">
        <f t="shared" si="4"/>
        <v>456</v>
      </c>
      <c r="L33" s="705">
        <f>INDEX(SNAME[#Data],MATCH($B33,SNAME[DIST],0),MATCH(L$5,SNAME[#Headers],0))</f>
        <v>25.2</v>
      </c>
      <c r="M33" s="705">
        <f>INDEX(SNAME[#Data],MATCH($B33,SNAME[DIST],0),MATCH(M$5,SNAME[#Headers],0))</f>
        <v>6.05</v>
      </c>
      <c r="N33" s="705">
        <f>INDEX(SNAME[#Data],MATCH($B33,SNAME[DIST],0),MATCH(N$5,SNAME[#Headers],0))</f>
        <v>16.440000000000001</v>
      </c>
    </row>
    <row r="34" spans="1:14" x14ac:dyDescent="0.2">
      <c r="A34" s="707">
        <v>5</v>
      </c>
      <c r="B34" s="706" t="s">
        <v>288</v>
      </c>
      <c r="C34" s="701" t="s">
        <v>1200</v>
      </c>
      <c r="D34" s="705">
        <f>INDEX(SNAME[#Data],MATCH($B34,SNAME[DIST],0),MATCH(D$5,SNAME[#Headers],0))</f>
        <v>195.3</v>
      </c>
      <c r="E34" s="704">
        <f t="shared" si="0"/>
        <v>23.23</v>
      </c>
      <c r="F34" s="704">
        <f t="shared" si="1"/>
        <v>218.53</v>
      </c>
      <c r="G34" s="717">
        <v>299.69</v>
      </c>
      <c r="H34" s="703">
        <f t="shared" si="2"/>
        <v>192</v>
      </c>
      <c r="I34" s="704">
        <f t="shared" si="3"/>
        <v>0.64</v>
      </c>
      <c r="J34" s="703">
        <f t="shared" si="4"/>
        <v>192</v>
      </c>
      <c r="L34" s="705">
        <f>INDEX(SNAME[#Data],MATCH($B34,SNAME[DIST],0),MATCH(L$5,SNAME[#Headers],0))</f>
        <v>8.64</v>
      </c>
      <c r="M34" s="705">
        <f>INDEX(SNAME[#Data],MATCH($B34,SNAME[DIST],0),MATCH(M$5,SNAME[#Headers],0))</f>
        <v>3.63</v>
      </c>
      <c r="N34" s="705">
        <f>INDEX(SNAME[#Data],MATCH($B34,SNAME[DIST],0),MATCH(N$5,SNAME[#Headers],0))</f>
        <v>10.96</v>
      </c>
    </row>
    <row r="35" spans="1:14" x14ac:dyDescent="0.2">
      <c r="A35" s="707">
        <v>5</v>
      </c>
      <c r="B35" s="706" t="s">
        <v>291</v>
      </c>
      <c r="C35" s="701" t="s">
        <v>1238</v>
      </c>
      <c r="D35" s="705">
        <f>INDEX(SNAME[#Data],MATCH($B35,SNAME[DIST],0),MATCH(D$5,SNAME[#Headers],0))</f>
        <v>261.60000000000002</v>
      </c>
      <c r="E35" s="704">
        <f t="shared" si="0"/>
        <v>56.78</v>
      </c>
      <c r="F35" s="704">
        <f t="shared" si="1"/>
        <v>318.38</v>
      </c>
      <c r="G35" s="717">
        <v>299.69</v>
      </c>
      <c r="H35" s="703">
        <f t="shared" si="2"/>
        <v>280</v>
      </c>
      <c r="I35" s="704">
        <f t="shared" si="3"/>
        <v>0.93</v>
      </c>
      <c r="J35" s="703">
        <f t="shared" si="4"/>
        <v>279</v>
      </c>
      <c r="L35" s="705">
        <f>INDEX(SNAME[#Data],MATCH($B35,SNAME[DIST],0),MATCH(L$5,SNAME[#Headers],0))</f>
        <v>17.28</v>
      </c>
      <c r="M35" s="705">
        <f>INDEX(SNAME[#Data],MATCH($B35,SNAME[DIST],0),MATCH(M$5,SNAME[#Headers],0))</f>
        <v>12.1</v>
      </c>
      <c r="N35" s="705">
        <f>INDEX(SNAME[#Data],MATCH($B35,SNAME[DIST],0),MATCH(N$5,SNAME[#Headers],0))</f>
        <v>27.4</v>
      </c>
    </row>
    <row r="36" spans="1:14" x14ac:dyDescent="0.2">
      <c r="A36" s="707">
        <v>5</v>
      </c>
      <c r="B36" s="706" t="s">
        <v>299</v>
      </c>
      <c r="C36" s="701" t="s">
        <v>1249</v>
      </c>
      <c r="D36" s="705">
        <f>INDEX(SNAME[#Data],MATCH($B36,SNAME[DIST],0),MATCH(D$5,SNAME[#Headers],0))</f>
        <v>334.4</v>
      </c>
      <c r="E36" s="704">
        <f t="shared" si="0"/>
        <v>19.82</v>
      </c>
      <c r="F36" s="704">
        <f t="shared" si="1"/>
        <v>354.21999999999997</v>
      </c>
      <c r="G36" s="717">
        <v>299.69</v>
      </c>
      <c r="H36" s="703">
        <f t="shared" si="2"/>
        <v>311</v>
      </c>
      <c r="I36" s="704">
        <f t="shared" si="3"/>
        <v>1.04</v>
      </c>
      <c r="J36" s="703">
        <f t="shared" si="4"/>
        <v>312</v>
      </c>
      <c r="L36" s="705">
        <f>INDEX(SNAME[#Data],MATCH($B36,SNAME[DIST],0),MATCH(L$5,SNAME[#Headers],0))</f>
        <v>12.24</v>
      </c>
      <c r="M36" s="705">
        <f>INDEX(SNAME[#Data],MATCH($B36,SNAME[DIST],0),MATCH(M$5,SNAME[#Headers],0))</f>
        <v>4.84</v>
      </c>
      <c r="N36" s="705">
        <f>INDEX(SNAME[#Data],MATCH($B36,SNAME[DIST],0),MATCH(N$5,SNAME[#Headers],0))</f>
        <v>2.74</v>
      </c>
    </row>
    <row r="37" spans="1:14" x14ac:dyDescent="0.2">
      <c r="A37" s="707">
        <v>5</v>
      </c>
      <c r="B37" s="706" t="s">
        <v>302</v>
      </c>
      <c r="C37" s="701" t="s">
        <v>1252</v>
      </c>
      <c r="D37" s="705">
        <f>INDEX(SNAME[#Data],MATCH($B37,SNAME[DIST],0),MATCH(D$5,SNAME[#Headers],0))</f>
        <v>973.9</v>
      </c>
      <c r="E37" s="704">
        <f t="shared" si="0"/>
        <v>121.9</v>
      </c>
      <c r="F37" s="704">
        <f t="shared" si="1"/>
        <v>1095.8</v>
      </c>
      <c r="G37" s="717">
        <v>299.69</v>
      </c>
      <c r="H37" s="703">
        <f t="shared" si="2"/>
        <v>963</v>
      </c>
      <c r="I37" s="704">
        <f t="shared" si="3"/>
        <v>3.21</v>
      </c>
      <c r="J37" s="703">
        <f t="shared" si="4"/>
        <v>962</v>
      </c>
      <c r="L37" s="705">
        <f>INDEX(SNAME[#Data],MATCH($B37,SNAME[DIST],0),MATCH(L$5,SNAME[#Headers],0))</f>
        <v>32.4</v>
      </c>
      <c r="M37" s="705">
        <f>INDEX(SNAME[#Data],MATCH($B37,SNAME[DIST],0),MATCH(M$5,SNAME[#Headers],0))</f>
        <v>48.4</v>
      </c>
      <c r="N37" s="705">
        <f>INDEX(SNAME[#Data],MATCH($B37,SNAME[DIST],0),MATCH(N$5,SNAME[#Headers],0))</f>
        <v>41.1</v>
      </c>
    </row>
    <row r="38" spans="1:14" x14ac:dyDescent="0.2">
      <c r="A38" s="707">
        <v>5</v>
      </c>
      <c r="B38" s="706" t="s">
        <v>309</v>
      </c>
      <c r="C38" s="701" t="s">
        <v>1259</v>
      </c>
      <c r="D38" s="705">
        <f>INDEX(SNAME[#Data],MATCH($B38,SNAME[DIST],0),MATCH(D$5,SNAME[#Headers],0))</f>
        <v>194.3</v>
      </c>
      <c r="E38" s="704">
        <f t="shared" si="0"/>
        <v>13.66</v>
      </c>
      <c r="F38" s="704">
        <f t="shared" si="1"/>
        <v>207.96</v>
      </c>
      <c r="G38" s="717">
        <v>299.69</v>
      </c>
      <c r="H38" s="703">
        <f t="shared" si="2"/>
        <v>183</v>
      </c>
      <c r="I38" s="704">
        <f t="shared" si="3"/>
        <v>0.61</v>
      </c>
      <c r="J38" s="703">
        <f t="shared" si="4"/>
        <v>183</v>
      </c>
      <c r="L38" s="705">
        <f>INDEX(SNAME[#Data],MATCH($B38,SNAME[DIST],0),MATCH(L$5,SNAME[#Headers],0))</f>
        <v>5.76</v>
      </c>
      <c r="M38" s="705">
        <f>INDEX(SNAME[#Data],MATCH($B38,SNAME[DIST],0),MATCH(M$5,SNAME[#Headers],0))</f>
        <v>2.42</v>
      </c>
      <c r="N38" s="705">
        <f>INDEX(SNAME[#Data],MATCH($B38,SNAME[DIST],0),MATCH(N$5,SNAME[#Headers],0))</f>
        <v>5.48</v>
      </c>
    </row>
    <row r="39" spans="1:14" x14ac:dyDescent="0.2">
      <c r="A39" s="707">
        <v>5</v>
      </c>
      <c r="B39" s="706" t="s">
        <v>316</v>
      </c>
      <c r="C39" s="701" t="s">
        <v>2026</v>
      </c>
      <c r="D39" s="705">
        <f>INDEX(SNAME[#Data],MATCH($B39,SNAME[DIST],0),MATCH(D$5,SNAME[#Headers],0))</f>
        <v>695.2</v>
      </c>
      <c r="E39" s="704">
        <f t="shared" si="0"/>
        <v>83.63</v>
      </c>
      <c r="F39" s="704">
        <f t="shared" si="1"/>
        <v>778.83</v>
      </c>
      <c r="G39" s="717">
        <v>299.69</v>
      </c>
      <c r="H39" s="703">
        <f t="shared" si="2"/>
        <v>684</v>
      </c>
      <c r="I39" s="704">
        <f t="shared" si="3"/>
        <v>2.2799999999999998</v>
      </c>
      <c r="J39" s="703">
        <f t="shared" si="4"/>
        <v>683</v>
      </c>
      <c r="L39" s="705">
        <f>INDEX(SNAME[#Data],MATCH($B39,SNAME[DIST],0),MATCH(L$5,SNAME[#Headers],0))</f>
        <v>33.839999999999996</v>
      </c>
      <c r="M39" s="705">
        <f>INDEX(SNAME[#Data],MATCH($B39,SNAME[DIST],0),MATCH(M$5,SNAME[#Headers],0))</f>
        <v>22.39</v>
      </c>
      <c r="N39" s="705">
        <f>INDEX(SNAME[#Data],MATCH($B39,SNAME[DIST],0),MATCH(N$5,SNAME[#Headers],0))</f>
        <v>27.4</v>
      </c>
    </row>
    <row r="40" spans="1:14" x14ac:dyDescent="0.2">
      <c r="A40" s="707">
        <v>5</v>
      </c>
      <c r="B40" s="706" t="s">
        <v>319</v>
      </c>
      <c r="C40" s="701" t="s">
        <v>649</v>
      </c>
      <c r="D40" s="705">
        <f>INDEX(SNAME[#Data],MATCH($B40,SNAME[DIST],0),MATCH(D$5,SNAME[#Headers],0))</f>
        <v>590</v>
      </c>
      <c r="E40" s="704">
        <f t="shared" si="0"/>
        <v>62.95</v>
      </c>
      <c r="F40" s="704">
        <f t="shared" si="1"/>
        <v>652.95000000000005</v>
      </c>
      <c r="G40" s="717">
        <v>299.69</v>
      </c>
      <c r="H40" s="703">
        <f t="shared" si="2"/>
        <v>574</v>
      </c>
      <c r="I40" s="704">
        <f t="shared" si="3"/>
        <v>1.92</v>
      </c>
      <c r="J40" s="703">
        <f t="shared" si="4"/>
        <v>575</v>
      </c>
      <c r="L40" s="705">
        <f>INDEX(SNAME[#Data],MATCH($B40,SNAME[DIST],0),MATCH(L$5,SNAME[#Headers],0))</f>
        <v>27.36</v>
      </c>
      <c r="M40" s="705">
        <f>INDEX(SNAME[#Data],MATCH($B40,SNAME[DIST],0),MATCH(M$5,SNAME[#Headers],0))</f>
        <v>5.45</v>
      </c>
      <c r="N40" s="705">
        <f>INDEX(SNAME[#Data],MATCH($B40,SNAME[DIST],0),MATCH(N$5,SNAME[#Headers],0))</f>
        <v>30.14</v>
      </c>
    </row>
    <row r="41" spans="1:14" x14ac:dyDescent="0.2">
      <c r="A41" s="707">
        <v>5</v>
      </c>
      <c r="B41" s="706" t="s">
        <v>326</v>
      </c>
      <c r="C41" s="701" t="s">
        <v>1272</v>
      </c>
      <c r="D41" s="705">
        <f>INDEX(SNAME[#Data],MATCH($B41,SNAME[DIST],0),MATCH(D$5,SNAME[#Headers],0))</f>
        <v>229</v>
      </c>
      <c r="E41" s="704">
        <f t="shared" si="0"/>
        <v>35.31</v>
      </c>
      <c r="F41" s="704">
        <f t="shared" si="1"/>
        <v>264.31</v>
      </c>
      <c r="G41" s="717">
        <v>299.69</v>
      </c>
      <c r="H41" s="703">
        <f t="shared" si="2"/>
        <v>232</v>
      </c>
      <c r="I41" s="704">
        <f t="shared" si="3"/>
        <v>0.77</v>
      </c>
      <c r="J41" s="703">
        <f t="shared" si="4"/>
        <v>231</v>
      </c>
      <c r="L41" s="705">
        <f>INDEX(SNAME[#Data],MATCH($B41,SNAME[DIST],0),MATCH(L$5,SNAME[#Headers],0))</f>
        <v>10.08</v>
      </c>
      <c r="M41" s="705">
        <f>INDEX(SNAME[#Data],MATCH($B41,SNAME[DIST],0),MATCH(M$5,SNAME[#Headers],0))</f>
        <v>6.05</v>
      </c>
      <c r="N41" s="705">
        <f>INDEX(SNAME[#Data],MATCH($B41,SNAME[DIST],0),MATCH(N$5,SNAME[#Headers],0))</f>
        <v>19.18</v>
      </c>
    </row>
    <row r="42" spans="1:14" x14ac:dyDescent="0.2">
      <c r="A42" s="707">
        <v>5</v>
      </c>
      <c r="B42" s="706" t="s">
        <v>329</v>
      </c>
      <c r="C42" s="701" t="s">
        <v>650</v>
      </c>
      <c r="D42" s="705">
        <f>INDEX(SNAME[#Data],MATCH($B42,SNAME[DIST],0),MATCH(D$5,SNAME[#Headers],0))</f>
        <v>354.1</v>
      </c>
      <c r="E42" s="704">
        <f t="shared" si="0"/>
        <v>44.34</v>
      </c>
      <c r="F42" s="704">
        <f t="shared" si="1"/>
        <v>398.44000000000005</v>
      </c>
      <c r="G42" s="717">
        <v>299.69</v>
      </c>
      <c r="H42" s="703">
        <f t="shared" si="2"/>
        <v>350</v>
      </c>
      <c r="I42" s="704">
        <f t="shared" si="3"/>
        <v>1.17</v>
      </c>
      <c r="J42" s="703">
        <f t="shared" si="4"/>
        <v>351</v>
      </c>
      <c r="L42" s="705">
        <f>INDEX(SNAME[#Data],MATCH($B42,SNAME[DIST],0),MATCH(L$5,SNAME[#Headers],0))</f>
        <v>11.52</v>
      </c>
      <c r="M42" s="705">
        <f>INDEX(SNAME[#Data],MATCH($B42,SNAME[DIST],0),MATCH(M$5,SNAME[#Headers],0))</f>
        <v>10.9</v>
      </c>
      <c r="N42" s="705">
        <f>INDEX(SNAME[#Data],MATCH($B42,SNAME[DIST],0),MATCH(N$5,SNAME[#Headers],0))</f>
        <v>21.92</v>
      </c>
    </row>
    <row r="43" spans="1:14" x14ac:dyDescent="0.2">
      <c r="A43" s="707">
        <v>5</v>
      </c>
      <c r="B43" s="706" t="s">
        <v>341</v>
      </c>
      <c r="C43" s="701" t="s">
        <v>651</v>
      </c>
      <c r="D43" s="705">
        <f>INDEX(SNAME[#Data],MATCH($B43,SNAME[DIST],0),MATCH(D$5,SNAME[#Headers],0))</f>
        <v>473</v>
      </c>
      <c r="E43" s="704">
        <f t="shared" si="0"/>
        <v>69.69</v>
      </c>
      <c r="F43" s="704">
        <f t="shared" si="1"/>
        <v>542.69000000000005</v>
      </c>
      <c r="G43" s="717">
        <v>299.69</v>
      </c>
      <c r="H43" s="703">
        <f t="shared" si="2"/>
        <v>477</v>
      </c>
      <c r="I43" s="704">
        <f t="shared" si="3"/>
        <v>1.59</v>
      </c>
      <c r="J43" s="703">
        <f t="shared" si="4"/>
        <v>477</v>
      </c>
      <c r="L43" s="705">
        <f>INDEX(SNAME[#Data],MATCH($B43,SNAME[DIST],0),MATCH(L$5,SNAME[#Headers],0))</f>
        <v>25.919999999999998</v>
      </c>
      <c r="M43" s="705">
        <f>INDEX(SNAME[#Data],MATCH($B43,SNAME[DIST],0),MATCH(M$5,SNAME[#Headers],0))</f>
        <v>10.89</v>
      </c>
      <c r="N43" s="705">
        <f>INDEX(SNAME[#Data],MATCH($B43,SNAME[DIST],0),MATCH(N$5,SNAME[#Headers],0))</f>
        <v>32.880000000000003</v>
      </c>
    </row>
    <row r="44" spans="1:14" x14ac:dyDescent="0.2">
      <c r="A44" s="707">
        <v>5</v>
      </c>
      <c r="B44" s="706" t="s">
        <v>1871</v>
      </c>
      <c r="C44" s="701" t="s">
        <v>1639</v>
      </c>
      <c r="D44" s="705">
        <f>INDEX(SNAME[#Data],MATCH($B44,SNAME[DIST],0),MATCH(D$5,SNAME[#Headers],0))</f>
        <v>920.1</v>
      </c>
      <c r="E44" s="704">
        <f t="shared" si="0"/>
        <v>108.68</v>
      </c>
      <c r="F44" s="704">
        <f t="shared" si="1"/>
        <v>1028.78</v>
      </c>
      <c r="G44" s="717">
        <v>299.69</v>
      </c>
      <c r="H44" s="703">
        <f t="shared" si="2"/>
        <v>904</v>
      </c>
      <c r="I44" s="704">
        <f t="shared" si="3"/>
        <v>3.02</v>
      </c>
      <c r="J44" s="703">
        <f t="shared" si="4"/>
        <v>905</v>
      </c>
      <c r="L44" s="705">
        <f>INDEX(SNAME[#Data],MATCH($B44,SNAME[DIST],0),MATCH(L$5,SNAME[#Headers],0))</f>
        <v>55.44</v>
      </c>
      <c r="M44" s="705">
        <f>INDEX(SNAME[#Data],MATCH($B44,SNAME[DIST],0),MATCH(M$5,SNAME[#Headers],0))</f>
        <v>12.14</v>
      </c>
      <c r="N44" s="705">
        <f>INDEX(SNAME[#Data],MATCH($B44,SNAME[DIST],0),MATCH(N$5,SNAME[#Headers],0))</f>
        <v>41.1</v>
      </c>
    </row>
    <row r="45" spans="1:14" x14ac:dyDescent="0.2">
      <c r="A45" s="707">
        <v>5</v>
      </c>
      <c r="B45" s="706" t="s">
        <v>344</v>
      </c>
      <c r="C45" s="701" t="s">
        <v>1287</v>
      </c>
      <c r="D45" s="705">
        <f>INDEX(SNAME[#Data],MATCH($B45,SNAME[DIST],0),MATCH(D$5,SNAME[#Headers],0))</f>
        <v>638.20000000000005</v>
      </c>
      <c r="E45" s="704">
        <f t="shared" si="0"/>
        <v>65.41</v>
      </c>
      <c r="F45" s="704">
        <f t="shared" si="1"/>
        <v>703.61</v>
      </c>
      <c r="G45" s="717">
        <v>299.69</v>
      </c>
      <c r="H45" s="703">
        <f t="shared" si="2"/>
        <v>618</v>
      </c>
      <c r="I45" s="704">
        <f t="shared" si="3"/>
        <v>2.06</v>
      </c>
      <c r="J45" s="703">
        <f t="shared" si="4"/>
        <v>617</v>
      </c>
      <c r="L45" s="705">
        <f>INDEX(SNAME[#Data],MATCH($B45,SNAME[DIST],0),MATCH(L$5,SNAME[#Headers],0))</f>
        <v>28.08</v>
      </c>
      <c r="M45" s="705">
        <f>INDEX(SNAME[#Data],MATCH($B45,SNAME[DIST],0),MATCH(M$5,SNAME[#Headers],0))</f>
        <v>18.149999999999999</v>
      </c>
      <c r="N45" s="705">
        <f>INDEX(SNAME[#Data],MATCH($B45,SNAME[DIST],0),MATCH(N$5,SNAME[#Headers],0))</f>
        <v>19.18</v>
      </c>
    </row>
    <row r="46" spans="1:14" x14ac:dyDescent="0.2">
      <c r="A46" s="707">
        <v>5</v>
      </c>
      <c r="B46" s="706" t="s">
        <v>1469</v>
      </c>
      <c r="C46" s="701" t="s">
        <v>980</v>
      </c>
      <c r="D46" s="705">
        <f>INDEX(SNAME[#Data],MATCH($B46,SNAME[DIST],0),MATCH(D$5,SNAME[#Headers],0))</f>
        <v>547.20000000000005</v>
      </c>
      <c r="E46" s="704">
        <f t="shared" si="0"/>
        <v>68.009999999999991</v>
      </c>
      <c r="F46" s="704">
        <f t="shared" si="1"/>
        <v>615.21</v>
      </c>
      <c r="G46" s="717">
        <v>299.69</v>
      </c>
      <c r="H46" s="703">
        <f t="shared" si="2"/>
        <v>540</v>
      </c>
      <c r="I46" s="704">
        <f t="shared" si="3"/>
        <v>1.8</v>
      </c>
      <c r="J46" s="703">
        <f t="shared" si="4"/>
        <v>539</v>
      </c>
      <c r="L46" s="705">
        <f>INDEX(SNAME[#Data],MATCH($B46,SNAME[DIST],0),MATCH(L$5,SNAME[#Headers],0))</f>
        <v>30.959999999999997</v>
      </c>
      <c r="M46" s="705">
        <f>INDEX(SNAME[#Data],MATCH($B46,SNAME[DIST],0),MATCH(M$5,SNAME[#Headers],0))</f>
        <v>15.129999999999999</v>
      </c>
      <c r="N46" s="705">
        <f>INDEX(SNAME[#Data],MATCH($B46,SNAME[DIST],0),MATCH(N$5,SNAME[#Headers],0))</f>
        <v>21.92</v>
      </c>
    </row>
    <row r="47" spans="1:14" x14ac:dyDescent="0.2">
      <c r="A47" s="707">
        <v>5</v>
      </c>
      <c r="B47" s="706" t="s">
        <v>349</v>
      </c>
      <c r="C47" s="701" t="s">
        <v>1292</v>
      </c>
      <c r="D47" s="705">
        <f>INDEX(SNAME[#Data],MATCH($B47,SNAME[DIST],0),MATCH(D$5,SNAME[#Headers],0))</f>
        <v>1848.2</v>
      </c>
      <c r="E47" s="704">
        <f t="shared" si="0"/>
        <v>353.2</v>
      </c>
      <c r="F47" s="704">
        <f t="shared" si="1"/>
        <v>2201.4</v>
      </c>
      <c r="G47" s="717">
        <v>299.69</v>
      </c>
      <c r="H47" s="703">
        <f t="shared" si="2"/>
        <v>1934</v>
      </c>
      <c r="I47" s="704">
        <f t="shared" si="3"/>
        <v>6.45</v>
      </c>
      <c r="J47" s="703">
        <f t="shared" si="4"/>
        <v>1933</v>
      </c>
      <c r="L47" s="705">
        <f>INDEX(SNAME[#Data],MATCH($B47,SNAME[DIST],0),MATCH(L$5,SNAME[#Headers],0))</f>
        <v>96.47999999999999</v>
      </c>
      <c r="M47" s="705">
        <f>INDEX(SNAME[#Data],MATCH($B47,SNAME[DIST],0),MATCH(M$5,SNAME[#Headers],0))</f>
        <v>130.68</v>
      </c>
      <c r="N47" s="705">
        <f>INDEX(SNAME[#Data],MATCH($B47,SNAME[DIST],0),MATCH(N$5,SNAME[#Headers],0))</f>
        <v>126.04</v>
      </c>
    </row>
    <row r="48" spans="1:14" x14ac:dyDescent="0.2">
      <c r="A48" s="707">
        <v>5</v>
      </c>
      <c r="B48" s="706" t="s">
        <v>350</v>
      </c>
      <c r="C48" s="701" t="s">
        <v>1293</v>
      </c>
      <c r="D48" s="705">
        <f>INDEX(SNAME[#Data],MATCH($B48,SNAME[DIST],0),MATCH(D$5,SNAME[#Headers],0))</f>
        <v>1163.0999999999999</v>
      </c>
      <c r="E48" s="704">
        <f t="shared" si="0"/>
        <v>121.91</v>
      </c>
      <c r="F48" s="704">
        <f t="shared" si="1"/>
        <v>1285.01</v>
      </c>
      <c r="G48" s="717">
        <v>299.69</v>
      </c>
      <c r="H48" s="703">
        <f t="shared" si="2"/>
        <v>1129</v>
      </c>
      <c r="I48" s="704">
        <f t="shared" si="3"/>
        <v>3.77</v>
      </c>
      <c r="J48" s="703">
        <f t="shared" si="4"/>
        <v>1130</v>
      </c>
      <c r="L48" s="705">
        <f>INDEX(SNAME[#Data],MATCH($B48,SNAME[DIST],0),MATCH(L$5,SNAME[#Headers],0))</f>
        <v>42.48</v>
      </c>
      <c r="M48" s="705">
        <f>INDEX(SNAME[#Data],MATCH($B48,SNAME[DIST],0),MATCH(M$5,SNAME[#Headers],0))</f>
        <v>52.03</v>
      </c>
      <c r="N48" s="705">
        <f>INDEX(SNAME[#Data],MATCH($B48,SNAME[DIST],0),MATCH(N$5,SNAME[#Headers],0))</f>
        <v>27.4</v>
      </c>
    </row>
    <row r="49" spans="1:14" x14ac:dyDescent="0.2">
      <c r="A49" s="707">
        <v>5</v>
      </c>
      <c r="B49" s="706" t="s">
        <v>354</v>
      </c>
      <c r="C49" s="701" t="s">
        <v>1297</v>
      </c>
      <c r="D49" s="705">
        <f>INDEX(SNAME[#Data],MATCH($B49,SNAME[DIST],0),MATCH(D$5,SNAME[#Headers],0))</f>
        <v>2292.9</v>
      </c>
      <c r="E49" s="704">
        <f t="shared" si="0"/>
        <v>297.58</v>
      </c>
      <c r="F49" s="704">
        <f t="shared" si="1"/>
        <v>2590.48</v>
      </c>
      <c r="G49" s="717">
        <v>299.69</v>
      </c>
      <c r="H49" s="703">
        <f t="shared" si="2"/>
        <v>2276</v>
      </c>
      <c r="I49" s="704">
        <f t="shared" si="3"/>
        <v>7.59</v>
      </c>
      <c r="J49" s="703">
        <f t="shared" si="4"/>
        <v>2275</v>
      </c>
      <c r="L49" s="705">
        <f>INDEX(SNAME[#Data],MATCH($B49,SNAME[DIST],0),MATCH(L$5,SNAME[#Headers],0))</f>
        <v>99.36</v>
      </c>
      <c r="M49" s="705">
        <f>INDEX(SNAME[#Data],MATCH($B49,SNAME[DIST],0),MATCH(M$5,SNAME[#Headers],0))</f>
        <v>91.36</v>
      </c>
      <c r="N49" s="705">
        <f>INDEX(SNAME[#Data],MATCH($B49,SNAME[DIST],0),MATCH(N$5,SNAME[#Headers],0))</f>
        <v>106.86</v>
      </c>
    </row>
    <row r="50" spans="1:14" x14ac:dyDescent="0.2">
      <c r="A50" s="707">
        <v>5</v>
      </c>
      <c r="B50" s="706" t="s">
        <v>355</v>
      </c>
      <c r="C50" s="701" t="s">
        <v>1298</v>
      </c>
      <c r="D50" s="705">
        <f>INDEX(SNAME[#Data],MATCH($B50,SNAME[DIST],0),MATCH(D$5,SNAME[#Headers],0))</f>
        <v>160.69999999999999</v>
      </c>
      <c r="E50" s="704">
        <f t="shared" si="0"/>
        <v>24.21</v>
      </c>
      <c r="F50" s="704">
        <f t="shared" si="1"/>
        <v>184.91</v>
      </c>
      <c r="G50" s="717">
        <v>299.69</v>
      </c>
      <c r="H50" s="703">
        <f t="shared" si="2"/>
        <v>162</v>
      </c>
      <c r="I50" s="704">
        <f t="shared" si="3"/>
        <v>0.54</v>
      </c>
      <c r="J50" s="703">
        <f t="shared" si="4"/>
        <v>162</v>
      </c>
      <c r="L50" s="705">
        <f>INDEX(SNAME[#Data],MATCH($B50,SNAME[DIST],0),MATCH(L$5,SNAME[#Headers],0))</f>
        <v>7.1999999999999993</v>
      </c>
      <c r="M50" s="705">
        <f>INDEX(SNAME[#Data],MATCH($B50,SNAME[DIST],0),MATCH(M$5,SNAME[#Headers],0))</f>
        <v>6.05</v>
      </c>
      <c r="N50" s="705">
        <f>INDEX(SNAME[#Data],MATCH($B50,SNAME[DIST],0),MATCH(N$5,SNAME[#Headers],0))</f>
        <v>10.96</v>
      </c>
    </row>
    <row r="51" spans="1:14" x14ac:dyDescent="0.2">
      <c r="A51" s="707">
        <v>5</v>
      </c>
      <c r="B51" s="706" t="s">
        <v>365</v>
      </c>
      <c r="C51" s="701" t="s">
        <v>1307</v>
      </c>
      <c r="D51" s="705">
        <f>INDEX(SNAME[#Data],MATCH($B51,SNAME[DIST],0),MATCH(D$5,SNAME[#Headers],0))</f>
        <v>162</v>
      </c>
      <c r="E51" s="704">
        <f t="shared" si="0"/>
        <v>19.509999999999998</v>
      </c>
      <c r="F51" s="704">
        <f t="shared" si="1"/>
        <v>181.51</v>
      </c>
      <c r="G51" s="717">
        <v>299.69</v>
      </c>
      <c r="H51" s="703">
        <f t="shared" si="2"/>
        <v>159</v>
      </c>
      <c r="I51" s="704">
        <f t="shared" si="3"/>
        <v>0.53</v>
      </c>
      <c r="J51" s="703">
        <f t="shared" si="4"/>
        <v>159</v>
      </c>
      <c r="L51" s="705">
        <f>INDEX(SNAME[#Data],MATCH($B51,SNAME[DIST],0),MATCH(L$5,SNAME[#Headers],0))</f>
        <v>10.08</v>
      </c>
      <c r="M51" s="705">
        <f>INDEX(SNAME[#Data],MATCH($B51,SNAME[DIST],0),MATCH(M$5,SNAME[#Headers],0))</f>
        <v>1.21</v>
      </c>
      <c r="N51" s="705">
        <f>INDEX(SNAME[#Data],MATCH($B51,SNAME[DIST],0),MATCH(N$5,SNAME[#Headers],0))</f>
        <v>8.2200000000000006</v>
      </c>
    </row>
    <row r="52" spans="1:14" x14ac:dyDescent="0.2">
      <c r="A52" s="707">
        <v>5</v>
      </c>
      <c r="B52" s="706" t="s">
        <v>375</v>
      </c>
      <c r="C52" s="701" t="s">
        <v>1485</v>
      </c>
      <c r="D52" s="705">
        <f>INDEX(SNAME[#Data],MATCH($B52,SNAME[DIST],0),MATCH(D$5,SNAME[#Headers],0))</f>
        <v>870.6</v>
      </c>
      <c r="E52" s="704">
        <f t="shared" si="0"/>
        <v>98.45</v>
      </c>
      <c r="F52" s="704">
        <f t="shared" si="1"/>
        <v>969.05000000000007</v>
      </c>
      <c r="G52" s="717">
        <v>299.69</v>
      </c>
      <c r="H52" s="703">
        <f t="shared" si="2"/>
        <v>851</v>
      </c>
      <c r="I52" s="704">
        <f t="shared" si="3"/>
        <v>2.84</v>
      </c>
      <c r="J52" s="703">
        <f t="shared" si="4"/>
        <v>851</v>
      </c>
      <c r="L52" s="705">
        <f>INDEX(SNAME[#Data],MATCH($B52,SNAME[DIST],0),MATCH(L$5,SNAME[#Headers],0))</f>
        <v>51.12</v>
      </c>
      <c r="M52" s="705">
        <f>INDEX(SNAME[#Data],MATCH($B52,SNAME[DIST],0),MATCH(M$5,SNAME[#Headers],0))</f>
        <v>25.41</v>
      </c>
      <c r="N52" s="705">
        <f>INDEX(SNAME[#Data],MATCH($B52,SNAME[DIST],0),MATCH(N$5,SNAME[#Headers],0))</f>
        <v>21.92</v>
      </c>
    </row>
    <row r="53" spans="1:14" x14ac:dyDescent="0.2">
      <c r="A53" s="707">
        <v>5</v>
      </c>
      <c r="B53" s="706" t="s">
        <v>383</v>
      </c>
      <c r="C53" s="701" t="s">
        <v>1344</v>
      </c>
      <c r="D53" s="705">
        <f>INDEX(SNAME[#Data],MATCH($B53,SNAME[DIST],0),MATCH(D$5,SNAME[#Headers],0))</f>
        <v>1543.7</v>
      </c>
      <c r="E53" s="704">
        <f t="shared" si="0"/>
        <v>200.09</v>
      </c>
      <c r="F53" s="704">
        <f t="shared" si="1"/>
        <v>1743.79</v>
      </c>
      <c r="G53" s="717">
        <v>299.69</v>
      </c>
      <c r="H53" s="703">
        <f t="shared" si="2"/>
        <v>1532</v>
      </c>
      <c r="I53" s="704">
        <f t="shared" si="3"/>
        <v>5.1100000000000003</v>
      </c>
      <c r="J53" s="703">
        <f t="shared" si="4"/>
        <v>1531</v>
      </c>
      <c r="L53" s="705">
        <f>INDEX(SNAME[#Data],MATCH($B53,SNAME[DIST],0),MATCH(L$5,SNAME[#Headers],0))</f>
        <v>84.24</v>
      </c>
      <c r="M53" s="705">
        <f>INDEX(SNAME[#Data],MATCH($B53,SNAME[DIST],0),MATCH(M$5,SNAME[#Headers],0))</f>
        <v>45.98</v>
      </c>
      <c r="N53" s="705">
        <f>INDEX(SNAME[#Data],MATCH($B53,SNAME[DIST],0),MATCH(N$5,SNAME[#Headers],0))</f>
        <v>69.87</v>
      </c>
    </row>
    <row r="54" spans="1:14" x14ac:dyDescent="0.2">
      <c r="A54" s="707">
        <v>5</v>
      </c>
      <c r="B54" s="706" t="s">
        <v>384</v>
      </c>
      <c r="C54" s="701" t="s">
        <v>653</v>
      </c>
      <c r="D54" s="705">
        <f>INDEX(SNAME[#Data],MATCH($B54,SNAME[DIST],0),MATCH(D$5,SNAME[#Headers],0))</f>
        <v>317.89999999999998</v>
      </c>
      <c r="E54" s="704">
        <f t="shared" si="0"/>
        <v>57.47</v>
      </c>
      <c r="F54" s="704">
        <f t="shared" si="1"/>
        <v>375.37</v>
      </c>
      <c r="G54" s="717">
        <v>299.69</v>
      </c>
      <c r="H54" s="703">
        <f t="shared" si="2"/>
        <v>330</v>
      </c>
      <c r="I54" s="704">
        <f t="shared" si="3"/>
        <v>1.1000000000000001</v>
      </c>
      <c r="J54" s="703">
        <f t="shared" si="4"/>
        <v>330</v>
      </c>
      <c r="L54" s="705">
        <f>INDEX(SNAME[#Data],MATCH($B54,SNAME[DIST],0),MATCH(L$5,SNAME[#Headers],0))</f>
        <v>18</v>
      </c>
      <c r="M54" s="705">
        <f>INDEX(SNAME[#Data],MATCH($B54,SNAME[DIST],0),MATCH(M$5,SNAME[#Headers],0))</f>
        <v>17.55</v>
      </c>
      <c r="N54" s="705">
        <f>INDEX(SNAME[#Data],MATCH($B54,SNAME[DIST],0),MATCH(N$5,SNAME[#Headers],0))</f>
        <v>21.92</v>
      </c>
    </row>
    <row r="55" spans="1:14" ht="12" thickBot="1" x14ac:dyDescent="0.25">
      <c r="B55" s="716" t="s">
        <v>2025</v>
      </c>
      <c r="D55" s="715">
        <f>SUM(D15:D54)</f>
        <v>29992</v>
      </c>
      <c r="E55" s="714">
        <f>SUM(E15:E54)</f>
        <v>4160.4600000000009</v>
      </c>
      <c r="F55" s="714">
        <f>SUM(F15:F54)</f>
        <v>34152.46</v>
      </c>
      <c r="H55" s="713">
        <f>SUM(H15:H54)</f>
        <v>30001</v>
      </c>
      <c r="I55" s="714">
        <f>SUM(I15:I54)</f>
        <v>100.09</v>
      </c>
      <c r="J55" s="713">
        <f>SUM(J15:J54)</f>
        <v>30000</v>
      </c>
    </row>
    <row r="56" spans="1:14" ht="12" thickTop="1" x14ac:dyDescent="0.2">
      <c r="C56" s="701" t="s">
        <v>2024</v>
      </c>
      <c r="F56" s="702"/>
      <c r="G56" s="702">
        <v>13</v>
      </c>
      <c r="H56" s="711"/>
      <c r="I56" s="710" t="s">
        <v>2023</v>
      </c>
      <c r="J56" s="709">
        <f>ROUND(I55*229,0)</f>
        <v>22921</v>
      </c>
    </row>
    <row r="57" spans="1:14" x14ac:dyDescent="0.2">
      <c r="C57" s="701" t="s">
        <v>2022</v>
      </c>
      <c r="G57" s="712">
        <f>ROUND(G54*G56,0)</f>
        <v>3896</v>
      </c>
      <c r="H57" s="711"/>
      <c r="I57" s="710" t="s">
        <v>2021</v>
      </c>
      <c r="J57" s="709">
        <f>H55-J56</f>
        <v>7080</v>
      </c>
    </row>
    <row r="58" spans="1:14" x14ac:dyDescent="0.2">
      <c r="G58" s="708"/>
      <c r="I58" s="704"/>
    </row>
    <row r="59" spans="1:14" x14ac:dyDescent="0.2">
      <c r="G59" s="708"/>
      <c r="I59" s="704"/>
    </row>
    <row r="60" spans="1:14" x14ac:dyDescent="0.2">
      <c r="G60" s="708"/>
      <c r="I60" s="704"/>
    </row>
  </sheetData>
  <sheetProtection password="C47C" sheet="1" objects="1" scenarios="1"/>
  <mergeCells count="2">
    <mergeCell ref="F3:G3"/>
    <mergeCell ref="A7:B7"/>
  </mergeCells>
  <pageMargins left="0.45" right="0.2" top="0.5" bottom="0.5" header="0.3" footer="0.3"/>
  <pageSetup scale="7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C29"/>
  <sheetViews>
    <sheetView workbookViewId="0">
      <selection activeCell="A2" sqref="A2"/>
    </sheetView>
  </sheetViews>
  <sheetFormatPr defaultRowHeight="11.25" x14ac:dyDescent="0.2"/>
  <cols>
    <col min="1" max="1" width="47.28515625" bestFit="1" customWidth="1"/>
  </cols>
  <sheetData>
    <row r="1" spans="1:3" x14ac:dyDescent="0.2">
      <c r="A1" s="500" t="s">
        <v>1791</v>
      </c>
    </row>
    <row r="2" spans="1:3" x14ac:dyDescent="0.2">
      <c r="A2" s="504" t="s">
        <v>1792</v>
      </c>
    </row>
    <row r="5" spans="1:3" x14ac:dyDescent="0.2">
      <c r="A5" s="500" t="s">
        <v>1794</v>
      </c>
      <c r="B5">
        <f>B6-1</f>
        <v>2017</v>
      </c>
      <c r="C5" t="str">
        <f t="shared" ref="C5:C10" si="0">CONCATENATE("FY",RIGHT(B5,2))</f>
        <v>FY17</v>
      </c>
    </row>
    <row r="6" spans="1:3" x14ac:dyDescent="0.2">
      <c r="A6" s="500" t="s">
        <v>1793</v>
      </c>
      <c r="B6" s="503">
        <v>2018</v>
      </c>
      <c r="C6" t="str">
        <f t="shared" si="0"/>
        <v>FY18</v>
      </c>
    </row>
    <row r="7" spans="1:3" x14ac:dyDescent="0.2">
      <c r="A7" s="263" t="s">
        <v>1872</v>
      </c>
      <c r="B7">
        <f>B6+1</f>
        <v>2019</v>
      </c>
      <c r="C7" t="str">
        <f t="shared" si="0"/>
        <v>FY19</v>
      </c>
    </row>
    <row r="8" spans="1:3" x14ac:dyDescent="0.2">
      <c r="A8" s="263" t="s">
        <v>1873</v>
      </c>
      <c r="B8">
        <f>B7+1</f>
        <v>2020</v>
      </c>
      <c r="C8" t="str">
        <f t="shared" si="0"/>
        <v>FY20</v>
      </c>
    </row>
    <row r="9" spans="1:3" x14ac:dyDescent="0.2">
      <c r="A9" s="263" t="s">
        <v>1874</v>
      </c>
      <c r="B9">
        <f>B8+1</f>
        <v>2021</v>
      </c>
      <c r="C9" t="str">
        <f t="shared" si="0"/>
        <v>FY21</v>
      </c>
    </row>
    <row r="10" spans="1:3" x14ac:dyDescent="0.2">
      <c r="A10" s="263" t="s">
        <v>1875</v>
      </c>
      <c r="B10">
        <f>B9+1</f>
        <v>2022</v>
      </c>
      <c r="C10" t="str">
        <f t="shared" si="0"/>
        <v>FY22</v>
      </c>
    </row>
    <row r="13" spans="1:3" x14ac:dyDescent="0.2">
      <c r="A13" t="s">
        <v>2050</v>
      </c>
    </row>
    <row r="14" spans="1:3" x14ac:dyDescent="0.2">
      <c r="A14" t="s">
        <v>2051</v>
      </c>
    </row>
    <row r="15" spans="1:3" x14ac:dyDescent="0.2">
      <c r="A15" t="s">
        <v>2052</v>
      </c>
    </row>
    <row r="16" spans="1:3" x14ac:dyDescent="0.2">
      <c r="A16" t="s">
        <v>2053</v>
      </c>
    </row>
    <row r="18" spans="1:1" x14ac:dyDescent="0.2">
      <c r="A18" t="s">
        <v>2054</v>
      </c>
    </row>
    <row r="19" spans="1:1" x14ac:dyDescent="0.2">
      <c r="A19" t="s">
        <v>2055</v>
      </c>
    </row>
    <row r="20" spans="1:1" x14ac:dyDescent="0.2">
      <c r="A20" t="s">
        <v>2056</v>
      </c>
    </row>
    <row r="21" spans="1:1" x14ac:dyDescent="0.2">
      <c r="A21" t="s">
        <v>2058</v>
      </c>
    </row>
    <row r="22" spans="1:1" x14ac:dyDescent="0.2">
      <c r="A22" t="s">
        <v>2057</v>
      </c>
    </row>
    <row r="26" spans="1:1" x14ac:dyDescent="0.2">
      <c r="A26" s="263" t="s">
        <v>2093</v>
      </c>
    </row>
    <row r="27" spans="1:1" x14ac:dyDescent="0.2">
      <c r="A27" s="263" t="s">
        <v>2094</v>
      </c>
    </row>
    <row r="28" spans="1:1" x14ac:dyDescent="0.2">
      <c r="A28" s="867" t="s">
        <v>2095</v>
      </c>
    </row>
    <row r="29" spans="1:1" x14ac:dyDescent="0.2">
      <c r="A29" s="263" t="s">
        <v>2096</v>
      </c>
    </row>
  </sheetData>
  <sheetProtection password="C47C"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H150"/>
  <sheetViews>
    <sheetView workbookViewId="0">
      <pane ySplit="1" topLeftCell="A113" activePane="bottomLeft" state="frozen"/>
      <selection activeCell="A2" sqref="A2"/>
      <selection pane="bottomLeft" activeCell="A2" sqref="A2"/>
    </sheetView>
  </sheetViews>
  <sheetFormatPr defaultRowHeight="11.25" x14ac:dyDescent="0.2"/>
  <sheetData>
    <row r="1" spans="1:8" ht="15" x14ac:dyDescent="0.2">
      <c r="A1" s="526" t="s">
        <v>1799</v>
      </c>
      <c r="B1" s="527" t="s">
        <v>999</v>
      </c>
      <c r="C1" s="526" t="s">
        <v>1846</v>
      </c>
      <c r="D1" s="526" t="s">
        <v>1847</v>
      </c>
      <c r="E1" s="526" t="s">
        <v>1848</v>
      </c>
      <c r="F1" s="526" t="s">
        <v>1849</v>
      </c>
      <c r="G1" s="526" t="s">
        <v>1850</v>
      </c>
      <c r="H1" s="526" t="s">
        <v>1851</v>
      </c>
    </row>
    <row r="2" spans="1:8" ht="15" x14ac:dyDescent="0.2">
      <c r="A2" s="526" t="s">
        <v>1837</v>
      </c>
      <c r="B2" s="527">
        <v>1</v>
      </c>
      <c r="C2" s="526" t="s">
        <v>1852</v>
      </c>
      <c r="D2" s="528">
        <v>239.7</v>
      </c>
      <c r="E2" s="528">
        <v>42.23</v>
      </c>
      <c r="F2" s="528">
        <v>47.27</v>
      </c>
      <c r="G2" s="528"/>
      <c r="H2" s="528"/>
    </row>
    <row r="3" spans="1:8" ht="15" x14ac:dyDescent="0.2">
      <c r="A3" s="526" t="s">
        <v>1837</v>
      </c>
      <c r="B3" s="527">
        <v>5</v>
      </c>
      <c r="C3" s="526" t="s">
        <v>1853</v>
      </c>
      <c r="D3" s="528">
        <v>235.45</v>
      </c>
      <c r="E3" s="528">
        <v>42.31</v>
      </c>
      <c r="F3" s="528">
        <v>47.74</v>
      </c>
      <c r="G3" s="528"/>
      <c r="H3" s="528"/>
    </row>
    <row r="4" spans="1:8" ht="15" x14ac:dyDescent="0.2">
      <c r="A4" s="526" t="s">
        <v>1837</v>
      </c>
      <c r="B4" s="527">
        <v>7</v>
      </c>
      <c r="C4" s="526" t="s">
        <v>1854</v>
      </c>
      <c r="D4" s="528">
        <v>228.82</v>
      </c>
      <c r="E4" s="528">
        <v>42.26</v>
      </c>
      <c r="F4" s="528">
        <v>47.36</v>
      </c>
      <c r="G4" s="528"/>
      <c r="H4" s="528"/>
    </row>
    <row r="5" spans="1:8" ht="15" x14ac:dyDescent="0.2">
      <c r="A5" s="526" t="s">
        <v>1837</v>
      </c>
      <c r="B5" s="527">
        <v>9</v>
      </c>
      <c r="C5" s="526" t="s">
        <v>1855</v>
      </c>
      <c r="D5" s="528">
        <v>226.46</v>
      </c>
      <c r="E5" s="528">
        <v>41.77</v>
      </c>
      <c r="F5" s="528">
        <v>45.44</v>
      </c>
      <c r="G5" s="528"/>
      <c r="H5" s="528"/>
    </row>
    <row r="6" spans="1:8" ht="15" x14ac:dyDescent="0.2">
      <c r="A6" s="526" t="s">
        <v>1837</v>
      </c>
      <c r="B6" s="527">
        <v>10</v>
      </c>
      <c r="C6" s="526" t="s">
        <v>1856</v>
      </c>
      <c r="D6" s="528">
        <v>224.54</v>
      </c>
      <c r="E6" s="528">
        <v>41.95</v>
      </c>
      <c r="F6" s="528">
        <v>46.04</v>
      </c>
      <c r="G6" s="528"/>
      <c r="H6" s="528"/>
    </row>
    <row r="7" spans="1:8" ht="15" x14ac:dyDescent="0.2">
      <c r="A7" s="526" t="s">
        <v>1837</v>
      </c>
      <c r="B7" s="527">
        <v>11</v>
      </c>
      <c r="C7" s="526" t="s">
        <v>1857</v>
      </c>
      <c r="D7" s="528">
        <v>217.44</v>
      </c>
      <c r="E7" s="528">
        <v>41.83</v>
      </c>
      <c r="F7" s="528">
        <v>45.86</v>
      </c>
      <c r="G7" s="528"/>
      <c r="H7" s="528"/>
    </row>
    <row r="8" spans="1:8" ht="15" x14ac:dyDescent="0.2">
      <c r="A8" s="526" t="s">
        <v>1837</v>
      </c>
      <c r="B8" s="527">
        <v>12</v>
      </c>
      <c r="C8" s="526" t="s">
        <v>1858</v>
      </c>
      <c r="D8" s="528">
        <v>232.08</v>
      </c>
      <c r="E8" s="528">
        <v>42.24</v>
      </c>
      <c r="F8" s="528">
        <v>47.64</v>
      </c>
      <c r="G8" s="528"/>
      <c r="H8" s="528"/>
    </row>
    <row r="9" spans="1:8" ht="15" x14ac:dyDescent="0.2">
      <c r="A9" s="526" t="s">
        <v>1837</v>
      </c>
      <c r="B9" s="527">
        <v>13</v>
      </c>
      <c r="C9" s="526" t="s">
        <v>1859</v>
      </c>
      <c r="D9" s="528">
        <v>220.97</v>
      </c>
      <c r="E9" s="528">
        <v>41.96</v>
      </c>
      <c r="F9" s="528">
        <v>46.44</v>
      </c>
      <c r="G9" s="528"/>
      <c r="H9" s="528"/>
    </row>
    <row r="10" spans="1:8" ht="15" x14ac:dyDescent="0.2">
      <c r="A10" s="526" t="s">
        <v>1837</v>
      </c>
      <c r="B10" s="527">
        <v>14</v>
      </c>
      <c r="C10" s="526" t="s">
        <v>1860</v>
      </c>
      <c r="D10" s="528">
        <v>230.18</v>
      </c>
      <c r="E10" s="528">
        <v>41.91</v>
      </c>
      <c r="F10" s="528">
        <v>46.04</v>
      </c>
      <c r="G10" s="528"/>
      <c r="H10" s="528"/>
    </row>
    <row r="11" spans="1:8" ht="15" x14ac:dyDescent="0.2">
      <c r="A11" s="526" t="s">
        <v>1837</v>
      </c>
      <c r="B11" s="527">
        <v>15</v>
      </c>
      <c r="C11" s="526" t="s">
        <v>1861</v>
      </c>
      <c r="D11" s="528">
        <v>219.59</v>
      </c>
      <c r="E11" s="528">
        <v>41.89</v>
      </c>
      <c r="F11" s="528">
        <v>46.01</v>
      </c>
      <c r="G11" s="528"/>
      <c r="H11" s="528"/>
    </row>
    <row r="12" spans="1:8" ht="15" x14ac:dyDescent="0.2">
      <c r="A12" s="526" t="s">
        <v>1837</v>
      </c>
      <c r="B12" s="527">
        <v>16</v>
      </c>
      <c r="C12" s="526" t="s">
        <v>1862</v>
      </c>
      <c r="D12" s="528">
        <v>224.41</v>
      </c>
      <c r="E12" s="528">
        <v>41.93</v>
      </c>
      <c r="F12" s="528">
        <v>45.72</v>
      </c>
      <c r="G12" s="528"/>
      <c r="H12" s="528"/>
    </row>
    <row r="13" spans="1:8" ht="15" x14ac:dyDescent="0.2">
      <c r="A13" s="526" t="s">
        <v>1838</v>
      </c>
      <c r="B13" s="527">
        <v>1</v>
      </c>
      <c r="C13" s="526" t="s">
        <v>1852</v>
      </c>
      <c r="D13" s="528">
        <v>248.71</v>
      </c>
      <c r="E13" s="528">
        <v>43.91</v>
      </c>
      <c r="F13" s="528">
        <v>49.12</v>
      </c>
      <c r="G13" s="528"/>
      <c r="H13" s="528"/>
    </row>
    <row r="14" spans="1:8" ht="15" x14ac:dyDescent="0.2">
      <c r="A14" s="526" t="s">
        <v>1838</v>
      </c>
      <c r="B14" s="527">
        <v>5</v>
      </c>
      <c r="C14" s="526" t="s">
        <v>1853</v>
      </c>
      <c r="D14" s="528">
        <v>244.46</v>
      </c>
      <c r="E14" s="528">
        <v>43.99</v>
      </c>
      <c r="F14" s="528">
        <v>49.59</v>
      </c>
      <c r="G14" s="528"/>
      <c r="H14" s="528"/>
    </row>
    <row r="15" spans="1:8" ht="15" x14ac:dyDescent="0.2">
      <c r="A15" s="526" t="s">
        <v>1838</v>
      </c>
      <c r="B15" s="527">
        <v>7</v>
      </c>
      <c r="C15" s="526" t="s">
        <v>1854</v>
      </c>
      <c r="D15" s="528">
        <v>237.83</v>
      </c>
      <c r="E15" s="528">
        <v>43.94</v>
      </c>
      <c r="F15" s="528">
        <v>49.21</v>
      </c>
      <c r="G15" s="528"/>
      <c r="H15" s="528"/>
    </row>
    <row r="16" spans="1:8" ht="15" x14ac:dyDescent="0.2">
      <c r="A16" s="526" t="s">
        <v>1838</v>
      </c>
      <c r="B16" s="527">
        <v>9</v>
      </c>
      <c r="C16" s="526" t="s">
        <v>1855</v>
      </c>
      <c r="D16" s="528">
        <v>235.47</v>
      </c>
      <c r="E16" s="528">
        <v>43.45</v>
      </c>
      <c r="F16" s="528">
        <v>47.29</v>
      </c>
      <c r="G16" s="528"/>
      <c r="H16" s="528"/>
    </row>
    <row r="17" spans="1:8" ht="15" x14ac:dyDescent="0.2">
      <c r="A17" s="526" t="s">
        <v>1838</v>
      </c>
      <c r="B17" s="527">
        <v>10</v>
      </c>
      <c r="C17" s="526" t="s">
        <v>1856</v>
      </c>
      <c r="D17" s="528">
        <v>233.55</v>
      </c>
      <c r="E17" s="528">
        <v>43.63</v>
      </c>
      <c r="F17" s="528">
        <v>47.89</v>
      </c>
      <c r="G17" s="528"/>
      <c r="H17" s="528"/>
    </row>
    <row r="18" spans="1:8" ht="15" x14ac:dyDescent="0.2">
      <c r="A18" s="526" t="s">
        <v>1838</v>
      </c>
      <c r="B18" s="527">
        <v>11</v>
      </c>
      <c r="C18" s="526" t="s">
        <v>1857</v>
      </c>
      <c r="D18" s="528">
        <v>226.45</v>
      </c>
      <c r="E18" s="528">
        <v>43.51</v>
      </c>
      <c r="F18" s="528">
        <v>47.71</v>
      </c>
      <c r="G18" s="528"/>
      <c r="H18" s="528"/>
    </row>
    <row r="19" spans="1:8" ht="15" x14ac:dyDescent="0.2">
      <c r="A19" s="526" t="s">
        <v>1838</v>
      </c>
      <c r="B19" s="527">
        <v>12</v>
      </c>
      <c r="C19" s="526" t="s">
        <v>1863</v>
      </c>
      <c r="D19" s="528">
        <v>241.09</v>
      </c>
      <c r="E19" s="528">
        <v>43.92</v>
      </c>
      <c r="F19" s="528">
        <v>49.49</v>
      </c>
      <c r="G19" s="528"/>
      <c r="H19" s="528"/>
    </row>
    <row r="20" spans="1:8" ht="15" x14ac:dyDescent="0.2">
      <c r="A20" s="526" t="s">
        <v>1838</v>
      </c>
      <c r="B20" s="527">
        <v>13</v>
      </c>
      <c r="C20" s="526" t="s">
        <v>1859</v>
      </c>
      <c r="D20" s="528">
        <v>229.98</v>
      </c>
      <c r="E20" s="528">
        <v>43.64</v>
      </c>
      <c r="F20" s="528">
        <v>48.29</v>
      </c>
      <c r="G20" s="528"/>
      <c r="H20" s="528"/>
    </row>
    <row r="21" spans="1:8" ht="15" x14ac:dyDescent="0.2">
      <c r="A21" s="526" t="s">
        <v>1838</v>
      </c>
      <c r="B21" s="527">
        <v>14</v>
      </c>
      <c r="C21" s="526" t="s">
        <v>1860</v>
      </c>
      <c r="D21" s="528">
        <v>239.19</v>
      </c>
      <c r="E21" s="528">
        <v>43.59</v>
      </c>
      <c r="F21" s="528">
        <v>47.89</v>
      </c>
      <c r="G21" s="528"/>
      <c r="H21" s="528"/>
    </row>
    <row r="22" spans="1:8" ht="15" x14ac:dyDescent="0.2">
      <c r="A22" s="526" t="s">
        <v>1838</v>
      </c>
      <c r="B22" s="527">
        <v>15</v>
      </c>
      <c r="C22" s="526" t="s">
        <v>1864</v>
      </c>
      <c r="D22" s="528">
        <v>231.87</v>
      </c>
      <c r="E22" s="528">
        <v>43.61</v>
      </c>
      <c r="F22" s="528">
        <v>47.86</v>
      </c>
      <c r="G22" s="528"/>
      <c r="H22" s="528"/>
    </row>
    <row r="23" spans="1:8" ht="15" x14ac:dyDescent="0.2">
      <c r="A23" s="526" t="s">
        <v>1839</v>
      </c>
      <c r="B23" s="527">
        <v>1</v>
      </c>
      <c r="C23" s="526" t="s">
        <v>1852</v>
      </c>
      <c r="D23" s="528">
        <v>258.08</v>
      </c>
      <c r="E23" s="528">
        <v>45.66</v>
      </c>
      <c r="F23" s="528">
        <v>51.05</v>
      </c>
      <c r="G23" s="528"/>
      <c r="H23" s="528"/>
    </row>
    <row r="24" spans="1:8" ht="15" x14ac:dyDescent="0.2">
      <c r="A24" s="526" t="s">
        <v>1839</v>
      </c>
      <c r="B24" s="527">
        <v>5</v>
      </c>
      <c r="C24" s="526" t="s">
        <v>1853</v>
      </c>
      <c r="D24" s="528">
        <v>253.83</v>
      </c>
      <c r="E24" s="528">
        <v>45.74</v>
      </c>
      <c r="F24" s="528">
        <v>51.52</v>
      </c>
      <c r="G24" s="528"/>
      <c r="H24" s="528"/>
    </row>
    <row r="25" spans="1:8" ht="15" x14ac:dyDescent="0.2">
      <c r="A25" s="526" t="s">
        <v>1839</v>
      </c>
      <c r="B25" s="527">
        <v>7</v>
      </c>
      <c r="C25" s="526" t="s">
        <v>1854</v>
      </c>
      <c r="D25" s="528">
        <v>247.2</v>
      </c>
      <c r="E25" s="528">
        <v>45.69</v>
      </c>
      <c r="F25" s="528">
        <v>51.14</v>
      </c>
      <c r="G25" s="528"/>
      <c r="H25" s="528"/>
    </row>
    <row r="26" spans="1:8" ht="15" x14ac:dyDescent="0.2">
      <c r="A26" s="526" t="s">
        <v>1839</v>
      </c>
      <c r="B26" s="527">
        <v>9</v>
      </c>
      <c r="C26" s="526" t="s">
        <v>1855</v>
      </c>
      <c r="D26" s="528">
        <v>244.84</v>
      </c>
      <c r="E26" s="528">
        <v>45.2</v>
      </c>
      <c r="F26" s="528">
        <v>49.22</v>
      </c>
      <c r="G26" s="528"/>
      <c r="H26" s="528"/>
    </row>
    <row r="27" spans="1:8" ht="15" x14ac:dyDescent="0.2">
      <c r="A27" s="526" t="s">
        <v>1839</v>
      </c>
      <c r="B27" s="527">
        <v>10</v>
      </c>
      <c r="C27" s="526" t="s">
        <v>1856</v>
      </c>
      <c r="D27" s="528">
        <v>242.92</v>
      </c>
      <c r="E27" s="528">
        <v>45.38</v>
      </c>
      <c r="F27" s="528">
        <v>49.82</v>
      </c>
      <c r="G27" s="528"/>
      <c r="H27" s="528"/>
    </row>
    <row r="28" spans="1:8" ht="15" x14ac:dyDescent="0.2">
      <c r="A28" s="526" t="s">
        <v>1839</v>
      </c>
      <c r="B28" s="527">
        <v>11</v>
      </c>
      <c r="C28" s="526" t="s">
        <v>1857</v>
      </c>
      <c r="D28" s="528">
        <v>235.82</v>
      </c>
      <c r="E28" s="528">
        <v>45.26</v>
      </c>
      <c r="F28" s="528">
        <v>49.64</v>
      </c>
      <c r="G28" s="528"/>
      <c r="H28" s="528"/>
    </row>
    <row r="29" spans="1:8" ht="15" x14ac:dyDescent="0.2">
      <c r="A29" s="526" t="s">
        <v>1839</v>
      </c>
      <c r="B29" s="527">
        <v>12</v>
      </c>
      <c r="C29" s="526" t="s">
        <v>1863</v>
      </c>
      <c r="D29" s="528">
        <v>250.46</v>
      </c>
      <c r="E29" s="528">
        <v>45.67</v>
      </c>
      <c r="F29" s="528">
        <v>51.42</v>
      </c>
      <c r="G29" s="528"/>
      <c r="H29" s="528"/>
    </row>
    <row r="30" spans="1:8" ht="15" x14ac:dyDescent="0.2">
      <c r="A30" s="526" t="s">
        <v>1839</v>
      </c>
      <c r="B30" s="527">
        <v>13</v>
      </c>
      <c r="C30" s="526" t="s">
        <v>1859</v>
      </c>
      <c r="D30" s="528">
        <v>239.35</v>
      </c>
      <c r="E30" s="528">
        <v>45.39</v>
      </c>
      <c r="F30" s="528">
        <v>50.22</v>
      </c>
      <c r="G30" s="528"/>
      <c r="H30" s="528"/>
    </row>
    <row r="31" spans="1:8" ht="15" x14ac:dyDescent="0.2">
      <c r="A31" s="526" t="s">
        <v>1839</v>
      </c>
      <c r="B31" s="527">
        <v>14</v>
      </c>
      <c r="C31" s="526" t="s">
        <v>1860</v>
      </c>
      <c r="D31" s="528">
        <v>248.56</v>
      </c>
      <c r="E31" s="528">
        <v>45.34</v>
      </c>
      <c r="F31" s="528">
        <v>49.82</v>
      </c>
      <c r="G31" s="528"/>
      <c r="H31" s="528"/>
    </row>
    <row r="32" spans="1:8" ht="15" x14ac:dyDescent="0.2">
      <c r="A32" s="526" t="s">
        <v>1839</v>
      </c>
      <c r="B32" s="527">
        <v>15</v>
      </c>
      <c r="C32" s="526" t="s">
        <v>1864</v>
      </c>
      <c r="D32" s="528">
        <v>241.24</v>
      </c>
      <c r="E32" s="528">
        <v>45.36</v>
      </c>
      <c r="F32" s="528">
        <v>49.79</v>
      </c>
      <c r="G32" s="528"/>
      <c r="H32" s="528"/>
    </row>
    <row r="33" spans="1:8" ht="15" x14ac:dyDescent="0.2">
      <c r="A33" s="526" t="s">
        <v>1840</v>
      </c>
      <c r="B33" s="527">
        <v>1</v>
      </c>
      <c r="C33" s="526" t="s">
        <v>1865</v>
      </c>
      <c r="D33" s="528">
        <v>267.82</v>
      </c>
      <c r="E33" s="528">
        <v>47.48</v>
      </c>
      <c r="F33" s="528">
        <v>53.05</v>
      </c>
      <c r="G33" s="528">
        <v>26.23</v>
      </c>
      <c r="H33" s="528">
        <v>2.78</v>
      </c>
    </row>
    <row r="34" spans="1:8" ht="15" x14ac:dyDescent="0.2">
      <c r="A34" s="526" t="s">
        <v>1840</v>
      </c>
      <c r="B34" s="527">
        <v>5</v>
      </c>
      <c r="C34" s="526" t="s">
        <v>1853</v>
      </c>
      <c r="D34" s="528">
        <v>263.57</v>
      </c>
      <c r="E34" s="528">
        <v>47.56</v>
      </c>
      <c r="F34" s="528">
        <v>53.52</v>
      </c>
      <c r="G34" s="528">
        <v>28.19</v>
      </c>
      <c r="H34" s="528">
        <v>3.37</v>
      </c>
    </row>
    <row r="35" spans="1:8" ht="15" x14ac:dyDescent="0.2">
      <c r="A35" s="526" t="s">
        <v>1840</v>
      </c>
      <c r="B35" s="527">
        <v>7</v>
      </c>
      <c r="C35" s="526" t="s">
        <v>1854</v>
      </c>
      <c r="D35" s="528">
        <v>256.94</v>
      </c>
      <c r="E35" s="528">
        <v>47.51</v>
      </c>
      <c r="F35" s="528">
        <v>53.14</v>
      </c>
      <c r="G35" s="528">
        <v>43.1</v>
      </c>
      <c r="H35" s="528">
        <v>4.95</v>
      </c>
    </row>
    <row r="36" spans="1:8" ht="15" x14ac:dyDescent="0.2">
      <c r="A36" s="526" t="s">
        <v>1840</v>
      </c>
      <c r="B36" s="527">
        <v>9</v>
      </c>
      <c r="C36" s="526" t="s">
        <v>1855</v>
      </c>
      <c r="D36" s="528">
        <v>254.58</v>
      </c>
      <c r="E36" s="528">
        <v>47.02</v>
      </c>
      <c r="F36" s="528">
        <v>51.22</v>
      </c>
      <c r="G36" s="528">
        <v>22.53</v>
      </c>
      <c r="H36" s="528">
        <v>2.65</v>
      </c>
    </row>
    <row r="37" spans="1:8" ht="15" x14ac:dyDescent="0.2">
      <c r="A37" s="526" t="s">
        <v>1840</v>
      </c>
      <c r="B37" s="527">
        <v>10</v>
      </c>
      <c r="C37" s="526" t="s">
        <v>1856</v>
      </c>
      <c r="D37" s="528">
        <v>252.66</v>
      </c>
      <c r="E37" s="528">
        <v>47.2</v>
      </c>
      <c r="F37" s="528">
        <v>51.82</v>
      </c>
      <c r="G37" s="528">
        <v>23.28</v>
      </c>
      <c r="H37" s="528">
        <v>2.71</v>
      </c>
    </row>
    <row r="38" spans="1:8" ht="15" x14ac:dyDescent="0.2">
      <c r="A38" s="526" t="s">
        <v>1840</v>
      </c>
      <c r="B38" s="527">
        <v>11</v>
      </c>
      <c r="C38" s="526" t="s">
        <v>1857</v>
      </c>
      <c r="D38" s="528">
        <v>245.56</v>
      </c>
      <c r="E38" s="528">
        <v>47.08</v>
      </c>
      <c r="F38" s="528">
        <v>51.64</v>
      </c>
      <c r="G38" s="528">
        <v>19.510000000000002</v>
      </c>
      <c r="H38" s="528">
        <v>2.52</v>
      </c>
    </row>
    <row r="39" spans="1:8" ht="15" x14ac:dyDescent="0.2">
      <c r="A39" s="526" t="s">
        <v>1840</v>
      </c>
      <c r="B39" s="527">
        <v>12</v>
      </c>
      <c r="C39" s="526" t="s">
        <v>1863</v>
      </c>
      <c r="D39" s="528">
        <v>260.2</v>
      </c>
      <c r="E39" s="528">
        <v>47.49</v>
      </c>
      <c r="F39" s="528">
        <v>53.42</v>
      </c>
      <c r="G39" s="528">
        <v>26.07</v>
      </c>
      <c r="H39" s="528">
        <v>3.13</v>
      </c>
    </row>
    <row r="40" spans="1:8" ht="15" x14ac:dyDescent="0.2">
      <c r="A40" s="526" t="s">
        <v>1840</v>
      </c>
      <c r="B40" s="527">
        <v>13</v>
      </c>
      <c r="C40" s="526" t="s">
        <v>1859</v>
      </c>
      <c r="D40" s="528">
        <v>249.09</v>
      </c>
      <c r="E40" s="528">
        <v>47.21</v>
      </c>
      <c r="F40" s="528">
        <v>52.22</v>
      </c>
      <c r="G40" s="528">
        <v>25.17</v>
      </c>
      <c r="H40" s="528">
        <v>2.58</v>
      </c>
    </row>
    <row r="41" spans="1:8" ht="15" x14ac:dyDescent="0.2">
      <c r="A41" s="526" t="s">
        <v>1840</v>
      </c>
      <c r="B41" s="527">
        <v>14</v>
      </c>
      <c r="C41" s="526" t="s">
        <v>1860</v>
      </c>
      <c r="D41" s="528">
        <v>258.3</v>
      </c>
      <c r="E41" s="528">
        <v>47.16</v>
      </c>
      <c r="F41" s="528">
        <v>51.82</v>
      </c>
      <c r="G41" s="528">
        <v>28.68</v>
      </c>
      <c r="H41" s="528">
        <v>3.21</v>
      </c>
    </row>
    <row r="42" spans="1:8" ht="15" x14ac:dyDescent="0.2">
      <c r="A42" s="526" t="s">
        <v>1840</v>
      </c>
      <c r="B42" s="527">
        <v>15</v>
      </c>
      <c r="C42" s="526" t="s">
        <v>1864</v>
      </c>
      <c r="D42" s="528">
        <v>250.98</v>
      </c>
      <c r="E42" s="528">
        <v>47.18</v>
      </c>
      <c r="F42" s="528">
        <v>51.79</v>
      </c>
      <c r="G42" s="528">
        <v>25.06</v>
      </c>
      <c r="H42" s="528">
        <v>2.69</v>
      </c>
    </row>
    <row r="43" spans="1:8" ht="15" x14ac:dyDescent="0.2">
      <c r="A43" s="526" t="s">
        <v>1841</v>
      </c>
      <c r="B43" s="527">
        <v>1</v>
      </c>
      <c r="C43" s="526" t="s">
        <v>1865</v>
      </c>
      <c r="D43" s="528">
        <v>272.89</v>
      </c>
      <c r="E43" s="528">
        <v>48.42</v>
      </c>
      <c r="F43" s="528">
        <v>54.09</v>
      </c>
      <c r="G43" s="528">
        <v>26.75</v>
      </c>
      <c r="H43" s="528">
        <v>2.84</v>
      </c>
    </row>
    <row r="44" spans="1:8" ht="15" x14ac:dyDescent="0.2">
      <c r="A44" s="526" t="s">
        <v>1841</v>
      </c>
      <c r="B44" s="527">
        <v>5</v>
      </c>
      <c r="C44" s="526" t="s">
        <v>1853</v>
      </c>
      <c r="D44" s="528">
        <v>268.64</v>
      </c>
      <c r="E44" s="528">
        <v>48.5</v>
      </c>
      <c r="F44" s="528">
        <v>54.56</v>
      </c>
      <c r="G44" s="528">
        <v>28.71</v>
      </c>
      <c r="H44" s="528">
        <v>3.43</v>
      </c>
    </row>
    <row r="45" spans="1:8" ht="15" x14ac:dyDescent="0.2">
      <c r="A45" s="526" t="s">
        <v>1841</v>
      </c>
      <c r="B45" s="527">
        <v>7</v>
      </c>
      <c r="C45" s="526" t="s">
        <v>1854</v>
      </c>
      <c r="D45" s="528">
        <v>262.01</v>
      </c>
      <c r="E45" s="528">
        <v>48.45</v>
      </c>
      <c r="F45" s="528">
        <v>54.18</v>
      </c>
      <c r="G45" s="528">
        <v>43.62</v>
      </c>
      <c r="H45" s="528">
        <v>5.01</v>
      </c>
    </row>
    <row r="46" spans="1:8" ht="15" x14ac:dyDescent="0.2">
      <c r="A46" s="526" t="s">
        <v>1841</v>
      </c>
      <c r="B46" s="527">
        <v>9</v>
      </c>
      <c r="C46" s="526" t="s">
        <v>1855</v>
      </c>
      <c r="D46" s="528">
        <v>259.64999999999998</v>
      </c>
      <c r="E46" s="528">
        <v>47.96</v>
      </c>
      <c r="F46" s="528">
        <v>52.26</v>
      </c>
      <c r="G46" s="528">
        <v>23.05</v>
      </c>
      <c r="H46" s="528">
        <v>2.71</v>
      </c>
    </row>
    <row r="47" spans="1:8" ht="15" x14ac:dyDescent="0.2">
      <c r="A47" s="526" t="s">
        <v>1841</v>
      </c>
      <c r="B47" s="527">
        <v>10</v>
      </c>
      <c r="C47" s="526" t="s">
        <v>1856</v>
      </c>
      <c r="D47" s="528">
        <v>257.73</v>
      </c>
      <c r="E47" s="528">
        <v>48.14</v>
      </c>
      <c r="F47" s="528">
        <v>52.86</v>
      </c>
      <c r="G47" s="528">
        <v>23.8</v>
      </c>
      <c r="H47" s="528">
        <v>2.77</v>
      </c>
    </row>
    <row r="48" spans="1:8" ht="15" x14ac:dyDescent="0.2">
      <c r="A48" s="526" t="s">
        <v>1841</v>
      </c>
      <c r="B48" s="527">
        <v>11</v>
      </c>
      <c r="C48" s="526" t="s">
        <v>1857</v>
      </c>
      <c r="D48" s="528">
        <v>250.63</v>
      </c>
      <c r="E48" s="528">
        <v>48.02</v>
      </c>
      <c r="F48" s="528">
        <v>52.68</v>
      </c>
      <c r="G48" s="528">
        <v>20.03</v>
      </c>
      <c r="H48" s="528">
        <v>2.58</v>
      </c>
    </row>
    <row r="49" spans="1:8" ht="15" x14ac:dyDescent="0.2">
      <c r="A49" s="526" t="s">
        <v>1841</v>
      </c>
      <c r="B49" s="527">
        <v>12</v>
      </c>
      <c r="C49" s="526" t="s">
        <v>1863</v>
      </c>
      <c r="D49" s="528">
        <v>265.27</v>
      </c>
      <c r="E49" s="528">
        <v>48.43</v>
      </c>
      <c r="F49" s="528">
        <v>54.46</v>
      </c>
      <c r="G49" s="528">
        <v>26.59</v>
      </c>
      <c r="H49" s="528">
        <v>3.19</v>
      </c>
    </row>
    <row r="50" spans="1:8" ht="15" x14ac:dyDescent="0.2">
      <c r="A50" s="526" t="s">
        <v>1841</v>
      </c>
      <c r="B50" s="527">
        <v>13</v>
      </c>
      <c r="C50" s="526" t="s">
        <v>1859</v>
      </c>
      <c r="D50" s="528">
        <v>258.69</v>
      </c>
      <c r="E50" s="528">
        <v>48.15</v>
      </c>
      <c r="F50" s="528">
        <v>53.26</v>
      </c>
      <c r="G50" s="528">
        <v>26.57</v>
      </c>
      <c r="H50" s="528">
        <v>2.8</v>
      </c>
    </row>
    <row r="51" spans="1:8" ht="15" x14ac:dyDescent="0.2">
      <c r="A51" s="526" t="s">
        <v>1841</v>
      </c>
      <c r="B51" s="527">
        <v>15</v>
      </c>
      <c r="C51" s="526" t="s">
        <v>1864</v>
      </c>
      <c r="D51" s="528">
        <v>256.05</v>
      </c>
      <c r="E51" s="528">
        <v>48.12</v>
      </c>
      <c r="F51" s="528">
        <v>52.83</v>
      </c>
      <c r="G51" s="528">
        <v>25.58</v>
      </c>
      <c r="H51" s="528">
        <v>2.75</v>
      </c>
    </row>
    <row r="52" spans="1:8" ht="15" x14ac:dyDescent="0.2">
      <c r="A52" s="526" t="s">
        <v>1842</v>
      </c>
      <c r="B52" s="527">
        <v>1</v>
      </c>
      <c r="C52" s="526" t="s">
        <v>1865</v>
      </c>
      <c r="D52" s="528">
        <v>272.89</v>
      </c>
      <c r="E52" s="528">
        <v>48.42</v>
      </c>
      <c r="F52" s="528">
        <v>54.09</v>
      </c>
      <c r="G52" s="528">
        <v>26.75</v>
      </c>
      <c r="H52" s="528">
        <v>2.84</v>
      </c>
    </row>
    <row r="53" spans="1:8" ht="15" x14ac:dyDescent="0.2">
      <c r="A53" s="526" t="s">
        <v>1842</v>
      </c>
      <c r="B53" s="527">
        <v>5</v>
      </c>
      <c r="C53" s="526" t="s">
        <v>1853</v>
      </c>
      <c r="D53" s="528">
        <v>268.64</v>
      </c>
      <c r="E53" s="528">
        <v>48.5</v>
      </c>
      <c r="F53" s="528">
        <v>54.56</v>
      </c>
      <c r="G53" s="528">
        <v>28.71</v>
      </c>
      <c r="H53" s="528">
        <v>3.43</v>
      </c>
    </row>
    <row r="54" spans="1:8" ht="15" x14ac:dyDescent="0.2">
      <c r="A54" s="526" t="s">
        <v>1842</v>
      </c>
      <c r="B54" s="527">
        <v>7</v>
      </c>
      <c r="C54" s="526" t="s">
        <v>1854</v>
      </c>
      <c r="D54" s="528">
        <v>262.01</v>
      </c>
      <c r="E54" s="528">
        <v>48.45</v>
      </c>
      <c r="F54" s="528">
        <v>54.18</v>
      </c>
      <c r="G54" s="528">
        <v>43.62</v>
      </c>
      <c r="H54" s="528">
        <v>5.01</v>
      </c>
    </row>
    <row r="55" spans="1:8" ht="15" x14ac:dyDescent="0.2">
      <c r="A55" s="526" t="s">
        <v>1842</v>
      </c>
      <c r="B55" s="527">
        <v>9</v>
      </c>
      <c r="C55" s="526" t="s">
        <v>1855</v>
      </c>
      <c r="D55" s="528">
        <v>259.64999999999998</v>
      </c>
      <c r="E55" s="528">
        <v>47.96</v>
      </c>
      <c r="F55" s="528">
        <v>52.26</v>
      </c>
      <c r="G55" s="528">
        <v>23.05</v>
      </c>
      <c r="H55" s="528">
        <v>2.71</v>
      </c>
    </row>
    <row r="56" spans="1:8" ht="15" x14ac:dyDescent="0.2">
      <c r="A56" s="526" t="s">
        <v>1842</v>
      </c>
      <c r="B56" s="527">
        <v>10</v>
      </c>
      <c r="C56" s="526" t="s">
        <v>1856</v>
      </c>
      <c r="D56" s="528">
        <v>257.73</v>
      </c>
      <c r="E56" s="528">
        <v>48.14</v>
      </c>
      <c r="F56" s="528">
        <v>52.86</v>
      </c>
      <c r="G56" s="528">
        <v>23.8</v>
      </c>
      <c r="H56" s="528">
        <v>2.77</v>
      </c>
    </row>
    <row r="57" spans="1:8" ht="15" x14ac:dyDescent="0.2">
      <c r="A57" s="526" t="s">
        <v>1842</v>
      </c>
      <c r="B57" s="527">
        <v>11</v>
      </c>
      <c r="C57" s="526" t="s">
        <v>1857</v>
      </c>
      <c r="D57" s="528">
        <v>250.63</v>
      </c>
      <c r="E57" s="528">
        <v>48.02</v>
      </c>
      <c r="F57" s="528">
        <v>52.68</v>
      </c>
      <c r="G57" s="528">
        <v>20.03</v>
      </c>
      <c r="H57" s="528">
        <v>2.58</v>
      </c>
    </row>
    <row r="58" spans="1:8" ht="15" x14ac:dyDescent="0.2">
      <c r="A58" s="526" t="s">
        <v>1842</v>
      </c>
      <c r="B58" s="527">
        <v>12</v>
      </c>
      <c r="C58" s="526" t="s">
        <v>1863</v>
      </c>
      <c r="D58" s="528">
        <v>265.27</v>
      </c>
      <c r="E58" s="528">
        <v>48.43</v>
      </c>
      <c r="F58" s="528">
        <v>54.46</v>
      </c>
      <c r="G58" s="528">
        <v>26.59</v>
      </c>
      <c r="H58" s="528">
        <v>3.19</v>
      </c>
    </row>
    <row r="59" spans="1:8" ht="15" x14ac:dyDescent="0.2">
      <c r="A59" s="526" t="s">
        <v>1842</v>
      </c>
      <c r="B59" s="527">
        <v>13</v>
      </c>
      <c r="C59" s="526" t="s">
        <v>1866</v>
      </c>
      <c r="D59" s="528">
        <v>258.69</v>
      </c>
      <c r="E59" s="528">
        <v>48.15</v>
      </c>
      <c r="F59" s="528">
        <v>53.26</v>
      </c>
      <c r="G59" s="528">
        <v>26.57</v>
      </c>
      <c r="H59" s="528">
        <v>2.8</v>
      </c>
    </row>
    <row r="60" spans="1:8" ht="15" x14ac:dyDescent="0.2">
      <c r="A60" s="526" t="s">
        <v>1842</v>
      </c>
      <c r="B60" s="527">
        <v>15</v>
      </c>
      <c r="C60" s="526" t="s">
        <v>1864</v>
      </c>
      <c r="D60" s="528">
        <v>256.05</v>
      </c>
      <c r="E60" s="528">
        <v>48.12</v>
      </c>
      <c r="F60" s="528">
        <v>52.83</v>
      </c>
      <c r="G60" s="528">
        <v>25.58</v>
      </c>
      <c r="H60" s="528">
        <v>2.75</v>
      </c>
    </row>
    <row r="61" spans="1:8" ht="15" x14ac:dyDescent="0.2">
      <c r="A61" s="526" t="s">
        <v>1843</v>
      </c>
      <c r="B61" s="527">
        <v>1</v>
      </c>
      <c r="C61" s="526" t="s">
        <v>1865</v>
      </c>
      <c r="D61" s="528">
        <v>278.06</v>
      </c>
      <c r="E61" s="528">
        <v>49.38</v>
      </c>
      <c r="F61" s="528">
        <v>55.15</v>
      </c>
      <c r="G61" s="528">
        <v>27.28</v>
      </c>
      <c r="H61" s="528">
        <v>2.9</v>
      </c>
    </row>
    <row r="62" spans="1:8" ht="15" x14ac:dyDescent="0.2">
      <c r="A62" s="526" t="s">
        <v>1843</v>
      </c>
      <c r="B62" s="527">
        <v>5</v>
      </c>
      <c r="C62" s="526" t="s">
        <v>1853</v>
      </c>
      <c r="D62" s="528">
        <v>273.81</v>
      </c>
      <c r="E62" s="528">
        <v>49.46</v>
      </c>
      <c r="F62" s="528">
        <v>55.62</v>
      </c>
      <c r="G62" s="528">
        <v>29.24</v>
      </c>
      <c r="H62" s="528">
        <v>3.49</v>
      </c>
    </row>
    <row r="63" spans="1:8" ht="15" x14ac:dyDescent="0.2">
      <c r="A63" s="526" t="s">
        <v>1843</v>
      </c>
      <c r="B63" s="527">
        <v>7</v>
      </c>
      <c r="C63" s="526" t="s">
        <v>1854</v>
      </c>
      <c r="D63" s="528">
        <v>267.18</v>
      </c>
      <c r="E63" s="528">
        <v>49.41</v>
      </c>
      <c r="F63" s="528">
        <v>55.24</v>
      </c>
      <c r="G63" s="528">
        <v>34.51</v>
      </c>
      <c r="H63" s="528">
        <v>3.96</v>
      </c>
    </row>
    <row r="64" spans="1:8" ht="15" x14ac:dyDescent="0.2">
      <c r="A64" s="526" t="s">
        <v>1843</v>
      </c>
      <c r="B64" s="527">
        <v>9</v>
      </c>
      <c r="C64" s="526" t="s">
        <v>1855</v>
      </c>
      <c r="D64" s="528">
        <v>264.82</v>
      </c>
      <c r="E64" s="528">
        <v>48.92</v>
      </c>
      <c r="F64" s="528">
        <v>53.32</v>
      </c>
      <c r="G64" s="528">
        <v>23.58</v>
      </c>
      <c r="H64" s="528">
        <v>2.77</v>
      </c>
    </row>
    <row r="65" spans="1:8" ht="15" x14ac:dyDescent="0.2">
      <c r="A65" s="526" t="s">
        <v>1843</v>
      </c>
      <c r="B65" s="527">
        <v>10</v>
      </c>
      <c r="C65" s="526" t="s">
        <v>1856</v>
      </c>
      <c r="D65" s="528">
        <v>262.89999999999998</v>
      </c>
      <c r="E65" s="528">
        <v>49.1</v>
      </c>
      <c r="F65" s="528">
        <v>53.92</v>
      </c>
      <c r="G65" s="528">
        <v>24.33</v>
      </c>
      <c r="H65" s="528">
        <v>2.83</v>
      </c>
    </row>
    <row r="66" spans="1:8" ht="15" x14ac:dyDescent="0.2">
      <c r="A66" s="526" t="s">
        <v>1843</v>
      </c>
      <c r="B66" s="527">
        <v>11</v>
      </c>
      <c r="C66" s="526" t="s">
        <v>1857</v>
      </c>
      <c r="D66" s="528">
        <v>255.8</v>
      </c>
      <c r="E66" s="528">
        <v>48.98</v>
      </c>
      <c r="F66" s="528">
        <v>53.74</v>
      </c>
      <c r="G66" s="528">
        <v>20.56</v>
      </c>
      <c r="H66" s="528">
        <v>2.64</v>
      </c>
    </row>
    <row r="67" spans="1:8" ht="15" x14ac:dyDescent="0.2">
      <c r="A67" s="526" t="s">
        <v>1843</v>
      </c>
      <c r="B67" s="527">
        <v>12</v>
      </c>
      <c r="C67" s="526" t="s">
        <v>1863</v>
      </c>
      <c r="D67" s="528">
        <v>270.44</v>
      </c>
      <c r="E67" s="528">
        <v>49.39</v>
      </c>
      <c r="F67" s="528">
        <v>55.52</v>
      </c>
      <c r="G67" s="528">
        <v>27.12</v>
      </c>
      <c r="H67" s="528">
        <v>3.25</v>
      </c>
    </row>
    <row r="68" spans="1:8" ht="15" x14ac:dyDescent="0.2">
      <c r="A68" s="526" t="s">
        <v>1843</v>
      </c>
      <c r="B68" s="527">
        <v>13</v>
      </c>
      <c r="C68" s="526" t="s">
        <v>1866</v>
      </c>
      <c r="D68" s="528">
        <v>263.86</v>
      </c>
      <c r="E68" s="528">
        <v>49.11</v>
      </c>
      <c r="F68" s="528">
        <v>54.32</v>
      </c>
      <c r="G68" s="528">
        <v>27.1</v>
      </c>
      <c r="H68" s="528">
        <v>2.86</v>
      </c>
    </row>
    <row r="69" spans="1:8" ht="15" x14ac:dyDescent="0.2">
      <c r="A69" s="526" t="s">
        <v>1843</v>
      </c>
      <c r="B69" s="527">
        <v>15</v>
      </c>
      <c r="C69" s="526" t="s">
        <v>1864</v>
      </c>
      <c r="D69" s="528">
        <v>261.22000000000003</v>
      </c>
      <c r="E69" s="528">
        <v>49.08</v>
      </c>
      <c r="F69" s="528">
        <v>53.89</v>
      </c>
      <c r="G69" s="528">
        <v>26.11</v>
      </c>
      <c r="H69" s="528">
        <v>2.81</v>
      </c>
    </row>
    <row r="70" spans="1:8" ht="15" x14ac:dyDescent="0.2">
      <c r="A70" s="526" t="s">
        <v>1844</v>
      </c>
      <c r="B70" s="527">
        <v>1</v>
      </c>
      <c r="C70" s="526" t="s">
        <v>1865</v>
      </c>
      <c r="D70" s="528">
        <v>283.33</v>
      </c>
      <c r="E70" s="528">
        <v>50.36</v>
      </c>
      <c r="F70" s="528">
        <v>56.23</v>
      </c>
      <c r="G70" s="528">
        <v>27.82</v>
      </c>
      <c r="H70" s="528">
        <v>2.96</v>
      </c>
    </row>
    <row r="71" spans="1:8" ht="15" x14ac:dyDescent="0.2">
      <c r="A71" s="526" t="s">
        <v>1844</v>
      </c>
      <c r="B71" s="527">
        <v>5</v>
      </c>
      <c r="C71" s="526" t="s">
        <v>1853</v>
      </c>
      <c r="D71" s="528">
        <v>279.08</v>
      </c>
      <c r="E71" s="528">
        <v>50.44</v>
      </c>
      <c r="F71" s="528">
        <v>56.7</v>
      </c>
      <c r="G71" s="528">
        <v>29.78</v>
      </c>
      <c r="H71" s="528">
        <v>3.55</v>
      </c>
    </row>
    <row r="72" spans="1:8" ht="15" x14ac:dyDescent="0.2">
      <c r="A72" s="526" t="s">
        <v>1844</v>
      </c>
      <c r="B72" s="527">
        <v>7</v>
      </c>
      <c r="C72" s="526" t="s">
        <v>1854</v>
      </c>
      <c r="D72" s="528">
        <v>272.45</v>
      </c>
      <c r="E72" s="528">
        <v>50.39</v>
      </c>
      <c r="F72" s="528">
        <v>56.32</v>
      </c>
      <c r="G72" s="528">
        <v>35.049999999999997</v>
      </c>
      <c r="H72" s="528">
        <v>4.0199999999999996</v>
      </c>
    </row>
    <row r="73" spans="1:8" ht="15" x14ac:dyDescent="0.2">
      <c r="A73" s="526" t="s">
        <v>1844</v>
      </c>
      <c r="B73" s="527">
        <v>9</v>
      </c>
      <c r="C73" s="526" t="s">
        <v>1855</v>
      </c>
      <c r="D73" s="528">
        <v>270.08999999999997</v>
      </c>
      <c r="E73" s="528">
        <v>49.9</v>
      </c>
      <c r="F73" s="528">
        <v>54.4</v>
      </c>
      <c r="G73" s="528">
        <v>24.12</v>
      </c>
      <c r="H73" s="528">
        <v>2.83</v>
      </c>
    </row>
    <row r="74" spans="1:8" ht="15" x14ac:dyDescent="0.2">
      <c r="A74" s="526" t="s">
        <v>1844</v>
      </c>
      <c r="B74" s="527">
        <v>10</v>
      </c>
      <c r="C74" s="526" t="s">
        <v>1856</v>
      </c>
      <c r="D74" s="528">
        <v>268.17</v>
      </c>
      <c r="E74" s="528">
        <v>50.08</v>
      </c>
      <c r="F74" s="528">
        <v>55</v>
      </c>
      <c r="G74" s="528">
        <v>24.87</v>
      </c>
      <c r="H74" s="528">
        <v>2.89</v>
      </c>
    </row>
    <row r="75" spans="1:8" ht="15" x14ac:dyDescent="0.2">
      <c r="A75" s="526" t="s">
        <v>1844</v>
      </c>
      <c r="B75" s="527">
        <v>11</v>
      </c>
      <c r="C75" s="526" t="s">
        <v>1857</v>
      </c>
      <c r="D75" s="528">
        <v>261.07</v>
      </c>
      <c r="E75" s="528">
        <v>49.96</v>
      </c>
      <c r="F75" s="528">
        <v>54.82</v>
      </c>
      <c r="G75" s="528">
        <v>21.1</v>
      </c>
      <c r="H75" s="528">
        <v>2.7</v>
      </c>
    </row>
    <row r="76" spans="1:8" ht="15" x14ac:dyDescent="0.2">
      <c r="A76" s="526" t="s">
        <v>1844</v>
      </c>
      <c r="B76" s="527">
        <v>12</v>
      </c>
      <c r="C76" s="526" t="s">
        <v>1863</v>
      </c>
      <c r="D76" s="528">
        <v>275.70999999999998</v>
      </c>
      <c r="E76" s="528">
        <v>50.37</v>
      </c>
      <c r="F76" s="528">
        <v>56.6</v>
      </c>
      <c r="G76" s="528">
        <v>27.66</v>
      </c>
      <c r="H76" s="528">
        <v>3.31</v>
      </c>
    </row>
    <row r="77" spans="1:8" ht="15" x14ac:dyDescent="0.2">
      <c r="A77" s="526" t="s">
        <v>1844</v>
      </c>
      <c r="B77" s="527">
        <v>13</v>
      </c>
      <c r="C77" s="526" t="s">
        <v>1866</v>
      </c>
      <c r="D77" s="528">
        <v>269.13</v>
      </c>
      <c r="E77" s="528">
        <v>50.09</v>
      </c>
      <c r="F77" s="528">
        <v>55.4</v>
      </c>
      <c r="G77" s="528">
        <v>27.64</v>
      </c>
      <c r="H77" s="528">
        <v>2.92</v>
      </c>
    </row>
    <row r="78" spans="1:8" ht="15" x14ac:dyDescent="0.2">
      <c r="A78" s="526" t="s">
        <v>1844</v>
      </c>
      <c r="B78" s="527">
        <v>15</v>
      </c>
      <c r="C78" s="526" t="s">
        <v>1864</v>
      </c>
      <c r="D78" s="528">
        <v>266.49</v>
      </c>
      <c r="E78" s="528">
        <v>50.06</v>
      </c>
      <c r="F78" s="528">
        <v>54.97</v>
      </c>
      <c r="G78" s="528">
        <v>26.65</v>
      </c>
      <c r="H78" s="528">
        <v>2.87</v>
      </c>
    </row>
    <row r="79" spans="1:8" ht="15" x14ac:dyDescent="0.2">
      <c r="A79" s="526" t="s">
        <v>1845</v>
      </c>
      <c r="B79" s="527">
        <v>1</v>
      </c>
      <c r="C79" s="526" t="s">
        <v>1865</v>
      </c>
      <c r="D79" s="528">
        <v>294.08</v>
      </c>
      <c r="E79" s="528">
        <v>52.36</v>
      </c>
      <c r="F79" s="528">
        <v>58.44</v>
      </c>
      <c r="G79" s="528">
        <v>28.92</v>
      </c>
      <c r="H79" s="528">
        <v>3.09</v>
      </c>
    </row>
    <row r="80" spans="1:8" ht="15" x14ac:dyDescent="0.2">
      <c r="A80" s="526" t="s">
        <v>1845</v>
      </c>
      <c r="B80" s="527">
        <v>5</v>
      </c>
      <c r="C80" s="526" t="s">
        <v>1853</v>
      </c>
      <c r="D80" s="528">
        <v>289.83</v>
      </c>
      <c r="E80" s="528">
        <v>52.44</v>
      </c>
      <c r="F80" s="528">
        <v>58.91</v>
      </c>
      <c r="G80" s="528">
        <v>30.88</v>
      </c>
      <c r="H80" s="528">
        <v>3.68</v>
      </c>
    </row>
    <row r="81" spans="1:8" ht="15" x14ac:dyDescent="0.2">
      <c r="A81" s="526" t="s">
        <v>1845</v>
      </c>
      <c r="B81" s="527">
        <v>7</v>
      </c>
      <c r="C81" s="526" t="s">
        <v>1854</v>
      </c>
      <c r="D81" s="528">
        <v>283.2</v>
      </c>
      <c r="E81" s="528">
        <v>52.39</v>
      </c>
      <c r="F81" s="528">
        <v>58.53</v>
      </c>
      <c r="G81" s="528">
        <v>36.15</v>
      </c>
      <c r="H81" s="528">
        <v>4.1500000000000004</v>
      </c>
    </row>
    <row r="82" spans="1:8" ht="15" x14ac:dyDescent="0.2">
      <c r="A82" s="526" t="s">
        <v>1845</v>
      </c>
      <c r="B82" s="527">
        <v>9</v>
      </c>
      <c r="C82" s="526" t="s">
        <v>1855</v>
      </c>
      <c r="D82" s="528">
        <v>280.83999999999997</v>
      </c>
      <c r="E82" s="528">
        <v>51.9</v>
      </c>
      <c r="F82" s="528">
        <v>56.61</v>
      </c>
      <c r="G82" s="528">
        <v>25.22</v>
      </c>
      <c r="H82" s="528">
        <v>2.96</v>
      </c>
    </row>
    <row r="83" spans="1:8" ht="15" x14ac:dyDescent="0.2">
      <c r="A83" s="526" t="s">
        <v>1845</v>
      </c>
      <c r="B83" s="527">
        <v>10</v>
      </c>
      <c r="C83" s="526" t="s">
        <v>1856</v>
      </c>
      <c r="D83" s="528">
        <v>278.92</v>
      </c>
      <c r="E83" s="528">
        <v>52.08</v>
      </c>
      <c r="F83" s="528">
        <v>57.21</v>
      </c>
      <c r="G83" s="528">
        <v>25.97</v>
      </c>
      <c r="H83" s="528">
        <v>3.02</v>
      </c>
    </row>
    <row r="84" spans="1:8" ht="15" x14ac:dyDescent="0.2">
      <c r="A84" s="526" t="s">
        <v>1845</v>
      </c>
      <c r="B84" s="527">
        <v>11</v>
      </c>
      <c r="C84" s="526" t="s">
        <v>1857</v>
      </c>
      <c r="D84" s="528">
        <v>271.82</v>
      </c>
      <c r="E84" s="528">
        <v>51.96</v>
      </c>
      <c r="F84" s="528">
        <v>57.03</v>
      </c>
      <c r="G84" s="528">
        <v>22.2</v>
      </c>
      <c r="H84" s="528">
        <v>2.83</v>
      </c>
    </row>
    <row r="85" spans="1:8" ht="15" x14ac:dyDescent="0.2">
      <c r="A85" s="526" t="s">
        <v>1845</v>
      </c>
      <c r="B85" s="527">
        <v>12</v>
      </c>
      <c r="C85" s="526" t="s">
        <v>1863</v>
      </c>
      <c r="D85" s="528">
        <v>286.45999999999998</v>
      </c>
      <c r="E85" s="528">
        <v>52.37</v>
      </c>
      <c r="F85" s="528">
        <v>58.81</v>
      </c>
      <c r="G85" s="528">
        <v>28.76</v>
      </c>
      <c r="H85" s="528">
        <v>3.44</v>
      </c>
    </row>
    <row r="86" spans="1:8" ht="15" x14ac:dyDescent="0.2">
      <c r="A86" s="526" t="s">
        <v>1845</v>
      </c>
      <c r="B86" s="527">
        <v>13</v>
      </c>
      <c r="C86" s="526" t="s">
        <v>1866</v>
      </c>
      <c r="D86" s="528">
        <v>279.88</v>
      </c>
      <c r="E86" s="528">
        <v>52.09</v>
      </c>
      <c r="F86" s="528">
        <v>57.61</v>
      </c>
      <c r="G86" s="528">
        <v>28.74</v>
      </c>
      <c r="H86" s="528">
        <v>3.05</v>
      </c>
    </row>
    <row r="87" spans="1:8" ht="15" x14ac:dyDescent="0.2">
      <c r="A87" s="526" t="s">
        <v>1845</v>
      </c>
      <c r="B87" s="527">
        <v>15</v>
      </c>
      <c r="C87" s="526" t="s">
        <v>1864</v>
      </c>
      <c r="D87" s="528">
        <v>277.24</v>
      </c>
      <c r="E87" s="528">
        <v>52.06</v>
      </c>
      <c r="F87" s="528">
        <v>57.18</v>
      </c>
      <c r="G87" s="528">
        <v>27.75</v>
      </c>
      <c r="H87" s="528">
        <v>3</v>
      </c>
    </row>
    <row r="88" spans="1:8" ht="15" x14ac:dyDescent="0.2">
      <c r="A88" s="526">
        <v>2016</v>
      </c>
      <c r="B88" s="527">
        <v>1</v>
      </c>
      <c r="C88" s="526" t="s">
        <v>1865</v>
      </c>
      <c r="D88" s="528">
        <v>297.57</v>
      </c>
      <c r="E88" s="528">
        <v>53.01</v>
      </c>
      <c r="F88" s="528">
        <v>59.16</v>
      </c>
      <c r="G88" s="528">
        <v>29.28</v>
      </c>
      <c r="H88" s="528">
        <v>3.13</v>
      </c>
    </row>
    <row r="89" spans="1:8" ht="15" x14ac:dyDescent="0.2">
      <c r="A89" s="526">
        <v>2016</v>
      </c>
      <c r="B89" s="527">
        <v>5</v>
      </c>
      <c r="C89" s="526" t="s">
        <v>1853</v>
      </c>
      <c r="D89" s="528">
        <v>293.32</v>
      </c>
      <c r="E89" s="528">
        <v>53.09</v>
      </c>
      <c r="F89" s="528">
        <v>59.63</v>
      </c>
      <c r="G89" s="528">
        <v>31.24</v>
      </c>
      <c r="H89" s="528">
        <v>3.72</v>
      </c>
    </row>
    <row r="90" spans="1:8" ht="15" x14ac:dyDescent="0.2">
      <c r="A90" s="526">
        <v>2016</v>
      </c>
      <c r="B90" s="527">
        <v>7</v>
      </c>
      <c r="C90" s="526" t="s">
        <v>1854</v>
      </c>
      <c r="D90" s="528">
        <v>286.69</v>
      </c>
      <c r="E90" s="528">
        <v>53.04</v>
      </c>
      <c r="F90" s="528">
        <v>59.25</v>
      </c>
      <c r="G90" s="528">
        <v>36.51</v>
      </c>
      <c r="H90" s="528">
        <v>4.1900000000000004</v>
      </c>
    </row>
    <row r="91" spans="1:8" ht="15" x14ac:dyDescent="0.2">
      <c r="A91" s="526">
        <v>2016</v>
      </c>
      <c r="B91" s="527">
        <v>9</v>
      </c>
      <c r="C91" s="526" t="s">
        <v>1855</v>
      </c>
      <c r="D91" s="528">
        <v>284.33</v>
      </c>
      <c r="E91" s="528">
        <v>52.55</v>
      </c>
      <c r="F91" s="528">
        <v>57.33</v>
      </c>
      <c r="G91" s="528">
        <v>25.58</v>
      </c>
      <c r="H91" s="528">
        <v>3</v>
      </c>
    </row>
    <row r="92" spans="1:8" ht="15" x14ac:dyDescent="0.2">
      <c r="A92" s="526">
        <v>2016</v>
      </c>
      <c r="B92" s="527">
        <v>10</v>
      </c>
      <c r="C92" s="526" t="s">
        <v>1856</v>
      </c>
      <c r="D92" s="528">
        <v>282.41000000000003</v>
      </c>
      <c r="E92" s="528">
        <v>52.73</v>
      </c>
      <c r="F92" s="528">
        <v>57.93</v>
      </c>
      <c r="G92" s="528">
        <v>26.33</v>
      </c>
      <c r="H92" s="528">
        <v>3.06</v>
      </c>
    </row>
    <row r="93" spans="1:8" ht="15" x14ac:dyDescent="0.2">
      <c r="A93" s="526">
        <v>2016</v>
      </c>
      <c r="B93" s="527">
        <v>11</v>
      </c>
      <c r="C93" s="526" t="s">
        <v>1857</v>
      </c>
      <c r="D93" s="528">
        <v>275.31</v>
      </c>
      <c r="E93" s="528">
        <v>52.61</v>
      </c>
      <c r="F93" s="528">
        <v>57.75</v>
      </c>
      <c r="G93" s="528">
        <v>22.56</v>
      </c>
      <c r="H93" s="528">
        <v>2.87</v>
      </c>
    </row>
    <row r="94" spans="1:8" ht="15" x14ac:dyDescent="0.2">
      <c r="A94" s="526">
        <v>2016</v>
      </c>
      <c r="B94" s="527">
        <v>12</v>
      </c>
      <c r="C94" s="526" t="s">
        <v>1863</v>
      </c>
      <c r="D94" s="528">
        <v>289.95</v>
      </c>
      <c r="E94" s="528">
        <v>53.02</v>
      </c>
      <c r="F94" s="528">
        <v>59.53</v>
      </c>
      <c r="G94" s="528">
        <v>29.12</v>
      </c>
      <c r="H94" s="528">
        <v>3.48</v>
      </c>
    </row>
    <row r="95" spans="1:8" ht="15" x14ac:dyDescent="0.2">
      <c r="A95" s="526">
        <v>2016</v>
      </c>
      <c r="B95" s="527">
        <v>13</v>
      </c>
      <c r="C95" s="526" t="s">
        <v>1866</v>
      </c>
      <c r="D95" s="528">
        <v>283.37</v>
      </c>
      <c r="E95" s="528">
        <v>52.74</v>
      </c>
      <c r="F95" s="528">
        <v>58.33</v>
      </c>
      <c r="G95" s="528">
        <v>29.1</v>
      </c>
      <c r="H95" s="528">
        <v>3.09</v>
      </c>
    </row>
    <row r="96" spans="1:8" ht="15" x14ac:dyDescent="0.2">
      <c r="A96" s="526">
        <v>2016</v>
      </c>
      <c r="B96" s="527">
        <v>15</v>
      </c>
      <c r="C96" s="526" t="s">
        <v>1864</v>
      </c>
      <c r="D96" s="528">
        <v>280.73</v>
      </c>
      <c r="E96" s="528">
        <v>52.71</v>
      </c>
      <c r="F96" s="528">
        <v>57.9</v>
      </c>
      <c r="G96" s="528">
        <v>28.11</v>
      </c>
      <c r="H96" s="528">
        <v>3.04</v>
      </c>
    </row>
    <row r="97" spans="1:8" x14ac:dyDescent="0.2">
      <c r="A97">
        <f>A88+1</f>
        <v>2017</v>
      </c>
      <c r="B97" s="529">
        <f>B88</f>
        <v>1</v>
      </c>
      <c r="C97" t="str">
        <f>C88</f>
        <v>KEYSTONE AEA 1</v>
      </c>
      <c r="D97" s="394">
        <f>INDEX(Constants!$A$2:$AR$100,MATCH(AEA_CPP!$A97,Constants!$A$2:$A$100,0),19)+D88</f>
        <v>303.94</v>
      </c>
      <c r="E97" s="394">
        <f>INDEX(Constants!$A$2:$AR$100,MATCH(AEA_CPP!$A97,Constants!$A$2:$A$100,0),21)+E88</f>
        <v>54.199999999999996</v>
      </c>
      <c r="F97" s="394">
        <f>INDEX(Constants!$A$2:$AR$100,MATCH(AEA_CPP!$A97,Constants!$A$2:$A$100,0),23)+F88</f>
        <v>60.47</v>
      </c>
      <c r="G97" s="394">
        <f>INDEX(Constants!$A$2:$AR$100,MATCH(AEA_CPP!$A97,Constants!$A$2:$A$100,0),25)+G88</f>
        <v>29.93</v>
      </c>
      <c r="H97" s="394">
        <f>INDEX(Constants!$A$2:$AR$100,MATCH(AEA_CPP!$A97,Constants!$A$2:$A$100,0),27)+H88</f>
        <v>3.21</v>
      </c>
    </row>
    <row r="98" spans="1:8" x14ac:dyDescent="0.2">
      <c r="A98">
        <f t="shared" ref="A98:A150" si="0">A89+1</f>
        <v>2017</v>
      </c>
      <c r="B98" s="529">
        <f t="shared" ref="B98:C113" si="1">B89</f>
        <v>5</v>
      </c>
      <c r="C98" t="str">
        <f t="shared" si="1"/>
        <v>PRAIRIE LAKES AEA 8</v>
      </c>
      <c r="D98" s="394">
        <f>INDEX(Constants!$A$2:$AR$100,MATCH(AEA_CPP!$A98,Constants!$A$2:$A$100,0),19)+D89</f>
        <v>299.69</v>
      </c>
      <c r="E98" s="394">
        <f>INDEX(Constants!$A$2:$AR$100,MATCH(AEA_CPP!$A98,Constants!$A$2:$A$100,0),21)+E89</f>
        <v>54.28</v>
      </c>
      <c r="F98" s="394">
        <f>INDEX(Constants!$A$2:$AR$100,MATCH(AEA_CPP!$A98,Constants!$A$2:$A$100,0),23)+F89</f>
        <v>60.940000000000005</v>
      </c>
      <c r="G98" s="394">
        <f>INDEX(Constants!$A$2:$AR$100,MATCH(AEA_CPP!$A98,Constants!$A$2:$A$100,0),25)+G89</f>
        <v>31.889999999999997</v>
      </c>
      <c r="H98" s="394">
        <f>INDEX(Constants!$A$2:$AR$100,MATCH(AEA_CPP!$A98,Constants!$A$2:$A$100,0),27)+H89</f>
        <v>3.8000000000000003</v>
      </c>
    </row>
    <row r="99" spans="1:8" x14ac:dyDescent="0.2">
      <c r="A99">
        <f t="shared" si="0"/>
        <v>2017</v>
      </c>
      <c r="B99" s="529">
        <f t="shared" si="1"/>
        <v>7</v>
      </c>
      <c r="C99" t="str">
        <f t="shared" si="1"/>
        <v>AEA 267</v>
      </c>
      <c r="D99" s="394">
        <f>INDEX(Constants!$A$2:$AR$100,MATCH(AEA_CPP!$A99,Constants!$A$2:$A$100,0),19)+D90</f>
        <v>293.06</v>
      </c>
      <c r="E99" s="394">
        <f>INDEX(Constants!$A$2:$AR$100,MATCH(AEA_CPP!$A99,Constants!$A$2:$A$100,0),21)+E90</f>
        <v>54.23</v>
      </c>
      <c r="F99" s="394">
        <f>INDEX(Constants!$A$2:$AR$100,MATCH(AEA_CPP!$A99,Constants!$A$2:$A$100,0),23)+F90</f>
        <v>60.56</v>
      </c>
      <c r="G99" s="394">
        <f>INDEX(Constants!$A$2:$AR$100,MATCH(AEA_CPP!$A99,Constants!$A$2:$A$100,0),25)+G90</f>
        <v>37.159999999999997</v>
      </c>
      <c r="H99" s="394">
        <f>INDEX(Constants!$A$2:$AR$100,MATCH(AEA_CPP!$A99,Constants!$A$2:$A$100,0),27)+H90</f>
        <v>4.2700000000000005</v>
      </c>
    </row>
    <row r="100" spans="1:8" x14ac:dyDescent="0.2">
      <c r="A100">
        <f t="shared" si="0"/>
        <v>2017</v>
      </c>
      <c r="B100" s="529">
        <f t="shared" si="1"/>
        <v>9</v>
      </c>
      <c r="C100" t="str">
        <f t="shared" si="1"/>
        <v>MISSISSIPPI BEND AEA 9</v>
      </c>
      <c r="D100" s="394">
        <f>INDEX(Constants!$A$2:$AR$100,MATCH(AEA_CPP!$A100,Constants!$A$2:$A$100,0),19)+D91</f>
        <v>290.7</v>
      </c>
      <c r="E100" s="394">
        <f>INDEX(Constants!$A$2:$AR$100,MATCH(AEA_CPP!$A100,Constants!$A$2:$A$100,0),21)+E91</f>
        <v>53.739999999999995</v>
      </c>
      <c r="F100" s="394">
        <f>INDEX(Constants!$A$2:$AR$100,MATCH(AEA_CPP!$A100,Constants!$A$2:$A$100,0),23)+F91</f>
        <v>58.64</v>
      </c>
      <c r="G100" s="394">
        <f>INDEX(Constants!$A$2:$AR$100,MATCH(AEA_CPP!$A100,Constants!$A$2:$A$100,0),25)+G91</f>
        <v>26.229999999999997</v>
      </c>
      <c r="H100" s="394">
        <f>INDEX(Constants!$A$2:$AR$100,MATCH(AEA_CPP!$A100,Constants!$A$2:$A$100,0),27)+H91</f>
        <v>3.08</v>
      </c>
    </row>
    <row r="101" spans="1:8" x14ac:dyDescent="0.2">
      <c r="A101">
        <f t="shared" si="0"/>
        <v>2017</v>
      </c>
      <c r="B101" s="529">
        <f t="shared" si="1"/>
        <v>10</v>
      </c>
      <c r="C101" t="str">
        <f t="shared" si="1"/>
        <v>GRANT WOOD AEA 10</v>
      </c>
      <c r="D101" s="394">
        <f>INDEX(Constants!$A$2:$AR$100,MATCH(AEA_CPP!$A101,Constants!$A$2:$A$100,0),19)+D92</f>
        <v>288.78000000000003</v>
      </c>
      <c r="E101" s="394">
        <f>INDEX(Constants!$A$2:$AR$100,MATCH(AEA_CPP!$A101,Constants!$A$2:$A$100,0),21)+E92</f>
        <v>53.919999999999995</v>
      </c>
      <c r="F101" s="394">
        <f>INDEX(Constants!$A$2:$AR$100,MATCH(AEA_CPP!$A101,Constants!$A$2:$A$100,0),23)+F92</f>
        <v>59.24</v>
      </c>
      <c r="G101" s="394">
        <f>INDEX(Constants!$A$2:$AR$100,MATCH(AEA_CPP!$A101,Constants!$A$2:$A$100,0),25)+G92</f>
        <v>26.979999999999997</v>
      </c>
      <c r="H101" s="394">
        <f>INDEX(Constants!$A$2:$AR$100,MATCH(AEA_CPP!$A101,Constants!$A$2:$A$100,0),27)+H92</f>
        <v>3.14</v>
      </c>
    </row>
    <row r="102" spans="1:8" x14ac:dyDescent="0.2">
      <c r="A102">
        <f t="shared" si="0"/>
        <v>2017</v>
      </c>
      <c r="B102" s="529">
        <f t="shared" si="1"/>
        <v>11</v>
      </c>
      <c r="C102" t="str">
        <f t="shared" si="1"/>
        <v>HEARTLAND AEA 11</v>
      </c>
      <c r="D102" s="394">
        <f>INDEX(Constants!$A$2:$AR$100,MATCH(AEA_CPP!$A102,Constants!$A$2:$A$100,0),19)+D93</f>
        <v>281.68</v>
      </c>
      <c r="E102" s="394">
        <f>INDEX(Constants!$A$2:$AR$100,MATCH(AEA_CPP!$A102,Constants!$A$2:$A$100,0),21)+E93</f>
        <v>53.8</v>
      </c>
      <c r="F102" s="394">
        <f>INDEX(Constants!$A$2:$AR$100,MATCH(AEA_CPP!$A102,Constants!$A$2:$A$100,0),23)+F93</f>
        <v>59.06</v>
      </c>
      <c r="G102" s="394">
        <f>INDEX(Constants!$A$2:$AR$100,MATCH(AEA_CPP!$A102,Constants!$A$2:$A$100,0),25)+G93</f>
        <v>23.209999999999997</v>
      </c>
      <c r="H102" s="394">
        <f>INDEX(Constants!$A$2:$AR$100,MATCH(AEA_CPP!$A102,Constants!$A$2:$A$100,0),27)+H93</f>
        <v>2.95</v>
      </c>
    </row>
    <row r="103" spans="1:8" x14ac:dyDescent="0.2">
      <c r="A103">
        <f t="shared" si="0"/>
        <v>2017</v>
      </c>
      <c r="B103" s="529">
        <f t="shared" si="1"/>
        <v>12</v>
      </c>
      <c r="C103" t="str">
        <f t="shared" si="1"/>
        <v>NORTHWEST AEA</v>
      </c>
      <c r="D103" s="394">
        <f>INDEX(Constants!$A$2:$AR$100,MATCH(AEA_CPP!$A103,Constants!$A$2:$A$100,0),19)+D94</f>
        <v>296.32</v>
      </c>
      <c r="E103" s="394">
        <f>INDEX(Constants!$A$2:$AR$100,MATCH(AEA_CPP!$A103,Constants!$A$2:$A$100,0),21)+E94</f>
        <v>54.21</v>
      </c>
      <c r="F103" s="394">
        <f>INDEX(Constants!$A$2:$AR$100,MATCH(AEA_CPP!$A103,Constants!$A$2:$A$100,0),23)+F94</f>
        <v>60.84</v>
      </c>
      <c r="G103" s="394">
        <f>INDEX(Constants!$A$2:$AR$100,MATCH(AEA_CPP!$A103,Constants!$A$2:$A$100,0),25)+G94</f>
        <v>29.77</v>
      </c>
      <c r="H103" s="394">
        <f>INDEX(Constants!$A$2:$AR$100,MATCH(AEA_CPP!$A103,Constants!$A$2:$A$100,0),27)+H94</f>
        <v>3.56</v>
      </c>
    </row>
    <row r="104" spans="1:8" x14ac:dyDescent="0.2">
      <c r="A104">
        <f t="shared" si="0"/>
        <v>2017</v>
      </c>
      <c r="B104" s="529">
        <f t="shared" si="1"/>
        <v>13</v>
      </c>
      <c r="C104" t="str">
        <f t="shared" si="1"/>
        <v>GREEN HILLS AEA 13</v>
      </c>
      <c r="D104" s="394">
        <f>INDEX(Constants!$A$2:$AR$100,MATCH(AEA_CPP!$A104,Constants!$A$2:$A$100,0),19)+D95</f>
        <v>289.74</v>
      </c>
      <c r="E104" s="394">
        <f>INDEX(Constants!$A$2:$AR$100,MATCH(AEA_CPP!$A104,Constants!$A$2:$A$100,0),21)+E95</f>
        <v>53.93</v>
      </c>
      <c r="F104" s="394">
        <f>INDEX(Constants!$A$2:$AR$100,MATCH(AEA_CPP!$A104,Constants!$A$2:$A$100,0),23)+F95</f>
        <v>59.64</v>
      </c>
      <c r="G104" s="394">
        <f>INDEX(Constants!$A$2:$AR$100,MATCH(AEA_CPP!$A104,Constants!$A$2:$A$100,0),25)+G95</f>
        <v>29.75</v>
      </c>
      <c r="H104" s="394">
        <f>INDEX(Constants!$A$2:$AR$100,MATCH(AEA_CPP!$A104,Constants!$A$2:$A$100,0),27)+H95</f>
        <v>3.17</v>
      </c>
    </row>
    <row r="105" spans="1:8" x14ac:dyDescent="0.2">
      <c r="A105">
        <f t="shared" si="0"/>
        <v>2017</v>
      </c>
      <c r="B105" s="529">
        <f t="shared" si="1"/>
        <v>15</v>
      </c>
      <c r="C105" t="str">
        <f t="shared" si="1"/>
        <v>GREAT PRAIRIE AEA 15</v>
      </c>
      <c r="D105" s="394">
        <f>INDEX(Constants!$A$2:$AR$100,MATCH(AEA_CPP!$A105,Constants!$A$2:$A$100,0),19)+D96</f>
        <v>287.10000000000002</v>
      </c>
      <c r="E105" s="394">
        <f>INDEX(Constants!$A$2:$AR$100,MATCH(AEA_CPP!$A105,Constants!$A$2:$A$100,0),21)+E96</f>
        <v>53.9</v>
      </c>
      <c r="F105" s="394">
        <f>INDEX(Constants!$A$2:$AR$100,MATCH(AEA_CPP!$A105,Constants!$A$2:$A$100,0),23)+F96</f>
        <v>59.21</v>
      </c>
      <c r="G105" s="394">
        <f>INDEX(Constants!$A$2:$AR$100,MATCH(AEA_CPP!$A105,Constants!$A$2:$A$100,0),25)+G96</f>
        <v>28.759999999999998</v>
      </c>
      <c r="H105" s="394">
        <f>INDEX(Constants!$A$2:$AR$100,MATCH(AEA_CPP!$A105,Constants!$A$2:$A$100,0),27)+H96</f>
        <v>3.12</v>
      </c>
    </row>
    <row r="106" spans="1:8" x14ac:dyDescent="0.2">
      <c r="A106">
        <f t="shared" si="0"/>
        <v>2018</v>
      </c>
      <c r="B106" s="529">
        <f t="shared" si="1"/>
        <v>1</v>
      </c>
      <c r="C106" t="str">
        <f t="shared" si="1"/>
        <v>KEYSTONE AEA 1</v>
      </c>
      <c r="D106" s="394">
        <f>INDEX(Constants!$A$2:$AR$100,MATCH(AEA_CPP!$A106,Constants!$A$2:$A$100,0),19)+D97</f>
        <v>303.94</v>
      </c>
      <c r="E106" s="394">
        <f>INDEX(Constants!$A$2:$AR$100,MATCH(AEA_CPP!$A106,Constants!$A$2:$A$100,0),21)+E97</f>
        <v>54.199999999999996</v>
      </c>
      <c r="F106" s="394">
        <f>INDEX(Constants!$A$2:$AR$100,MATCH(AEA_CPP!$A106,Constants!$A$2:$A$100,0),23)+F97</f>
        <v>60.47</v>
      </c>
      <c r="G106" s="394">
        <f>INDEX(Constants!$A$2:$AR$100,MATCH(AEA_CPP!$A106,Constants!$A$2:$A$100,0),25)+G97</f>
        <v>29.93</v>
      </c>
      <c r="H106" s="394">
        <f>INDEX(Constants!$A$2:$AR$100,MATCH(AEA_CPP!$A106,Constants!$A$2:$A$100,0),27)+H97</f>
        <v>3.21</v>
      </c>
    </row>
    <row r="107" spans="1:8" x14ac:dyDescent="0.2">
      <c r="A107">
        <f t="shared" si="0"/>
        <v>2018</v>
      </c>
      <c r="B107" s="529">
        <f t="shared" si="1"/>
        <v>5</v>
      </c>
      <c r="C107" t="str">
        <f t="shared" si="1"/>
        <v>PRAIRIE LAKES AEA 8</v>
      </c>
      <c r="D107" s="394">
        <f>INDEX(Constants!$A$2:$AR$100,MATCH(AEA_CPP!$A107,Constants!$A$2:$A$100,0),19)+D98</f>
        <v>299.69</v>
      </c>
      <c r="E107" s="394">
        <f>INDEX(Constants!$A$2:$AR$100,MATCH(AEA_CPP!$A107,Constants!$A$2:$A$100,0),21)+E98</f>
        <v>54.28</v>
      </c>
      <c r="F107" s="394">
        <f>INDEX(Constants!$A$2:$AR$100,MATCH(AEA_CPP!$A107,Constants!$A$2:$A$100,0),23)+F98</f>
        <v>60.940000000000005</v>
      </c>
      <c r="G107" s="394">
        <f>INDEX(Constants!$A$2:$AR$100,MATCH(AEA_CPP!$A107,Constants!$A$2:$A$100,0),25)+G98</f>
        <v>31.889999999999997</v>
      </c>
      <c r="H107" s="394">
        <f>INDEX(Constants!$A$2:$AR$100,MATCH(AEA_CPP!$A107,Constants!$A$2:$A$100,0),27)+H98</f>
        <v>3.8000000000000003</v>
      </c>
    </row>
    <row r="108" spans="1:8" x14ac:dyDescent="0.2">
      <c r="A108">
        <f t="shared" si="0"/>
        <v>2018</v>
      </c>
      <c r="B108" s="529">
        <f t="shared" si="1"/>
        <v>7</v>
      </c>
      <c r="C108" t="str">
        <f t="shared" si="1"/>
        <v>AEA 267</v>
      </c>
      <c r="D108" s="394">
        <f>INDEX(Constants!$A$2:$AR$100,MATCH(AEA_CPP!$A108,Constants!$A$2:$A$100,0),19)+D99</f>
        <v>293.06</v>
      </c>
      <c r="E108" s="394">
        <f>INDEX(Constants!$A$2:$AR$100,MATCH(AEA_CPP!$A108,Constants!$A$2:$A$100,0),21)+E99</f>
        <v>54.23</v>
      </c>
      <c r="F108" s="394">
        <f>INDEX(Constants!$A$2:$AR$100,MATCH(AEA_CPP!$A108,Constants!$A$2:$A$100,0),23)+F99</f>
        <v>60.56</v>
      </c>
      <c r="G108" s="394">
        <f>INDEX(Constants!$A$2:$AR$100,MATCH(AEA_CPP!$A108,Constants!$A$2:$A$100,0),25)+G99</f>
        <v>37.159999999999997</v>
      </c>
      <c r="H108" s="394">
        <f>INDEX(Constants!$A$2:$AR$100,MATCH(AEA_CPP!$A108,Constants!$A$2:$A$100,0),27)+H99</f>
        <v>4.2700000000000005</v>
      </c>
    </row>
    <row r="109" spans="1:8" x14ac:dyDescent="0.2">
      <c r="A109">
        <f t="shared" si="0"/>
        <v>2018</v>
      </c>
      <c r="B109" s="529">
        <f t="shared" si="1"/>
        <v>9</v>
      </c>
      <c r="C109" t="str">
        <f t="shared" si="1"/>
        <v>MISSISSIPPI BEND AEA 9</v>
      </c>
      <c r="D109" s="394">
        <f>INDEX(Constants!$A$2:$AR$100,MATCH(AEA_CPP!$A109,Constants!$A$2:$A$100,0),19)+D100</f>
        <v>290.7</v>
      </c>
      <c r="E109" s="394">
        <f>INDEX(Constants!$A$2:$AR$100,MATCH(AEA_CPP!$A109,Constants!$A$2:$A$100,0),21)+E100</f>
        <v>53.739999999999995</v>
      </c>
      <c r="F109" s="394">
        <f>INDEX(Constants!$A$2:$AR$100,MATCH(AEA_CPP!$A109,Constants!$A$2:$A$100,0),23)+F100</f>
        <v>58.64</v>
      </c>
      <c r="G109" s="394">
        <f>INDEX(Constants!$A$2:$AR$100,MATCH(AEA_CPP!$A109,Constants!$A$2:$A$100,0),25)+G100</f>
        <v>26.229999999999997</v>
      </c>
      <c r="H109" s="394">
        <f>INDEX(Constants!$A$2:$AR$100,MATCH(AEA_CPP!$A109,Constants!$A$2:$A$100,0),27)+H100</f>
        <v>3.08</v>
      </c>
    </row>
    <row r="110" spans="1:8" x14ac:dyDescent="0.2">
      <c r="A110">
        <f t="shared" si="0"/>
        <v>2018</v>
      </c>
      <c r="B110" s="529">
        <f t="shared" si="1"/>
        <v>10</v>
      </c>
      <c r="C110" t="str">
        <f t="shared" si="1"/>
        <v>GRANT WOOD AEA 10</v>
      </c>
      <c r="D110" s="394">
        <f>INDEX(Constants!$A$2:$AR$100,MATCH(AEA_CPP!$A110,Constants!$A$2:$A$100,0),19)+D101</f>
        <v>288.78000000000003</v>
      </c>
      <c r="E110" s="394">
        <f>INDEX(Constants!$A$2:$AR$100,MATCH(AEA_CPP!$A110,Constants!$A$2:$A$100,0),21)+E101</f>
        <v>53.919999999999995</v>
      </c>
      <c r="F110" s="394">
        <f>INDEX(Constants!$A$2:$AR$100,MATCH(AEA_CPP!$A110,Constants!$A$2:$A$100,0),23)+F101</f>
        <v>59.24</v>
      </c>
      <c r="G110" s="394">
        <f>INDEX(Constants!$A$2:$AR$100,MATCH(AEA_CPP!$A110,Constants!$A$2:$A$100,0),25)+G101</f>
        <v>26.979999999999997</v>
      </c>
      <c r="H110" s="394">
        <f>INDEX(Constants!$A$2:$AR$100,MATCH(AEA_CPP!$A110,Constants!$A$2:$A$100,0),27)+H101</f>
        <v>3.14</v>
      </c>
    </row>
    <row r="111" spans="1:8" x14ac:dyDescent="0.2">
      <c r="A111">
        <f t="shared" si="0"/>
        <v>2018</v>
      </c>
      <c r="B111" s="529">
        <f t="shared" si="1"/>
        <v>11</v>
      </c>
      <c r="C111" t="str">
        <f t="shared" si="1"/>
        <v>HEARTLAND AEA 11</v>
      </c>
      <c r="D111" s="394">
        <f>INDEX(Constants!$A$2:$AR$100,MATCH(AEA_CPP!$A111,Constants!$A$2:$A$100,0),19)+D102</f>
        <v>281.68</v>
      </c>
      <c r="E111" s="394">
        <f>INDEX(Constants!$A$2:$AR$100,MATCH(AEA_CPP!$A111,Constants!$A$2:$A$100,0),21)+E102</f>
        <v>53.8</v>
      </c>
      <c r="F111" s="394">
        <f>INDEX(Constants!$A$2:$AR$100,MATCH(AEA_CPP!$A111,Constants!$A$2:$A$100,0),23)+F102</f>
        <v>59.06</v>
      </c>
      <c r="G111" s="394">
        <f>INDEX(Constants!$A$2:$AR$100,MATCH(AEA_CPP!$A111,Constants!$A$2:$A$100,0),25)+G102</f>
        <v>23.209999999999997</v>
      </c>
      <c r="H111" s="394">
        <f>INDEX(Constants!$A$2:$AR$100,MATCH(AEA_CPP!$A111,Constants!$A$2:$A$100,0),27)+H102</f>
        <v>2.95</v>
      </c>
    </row>
    <row r="112" spans="1:8" x14ac:dyDescent="0.2">
      <c r="A112">
        <f t="shared" si="0"/>
        <v>2018</v>
      </c>
      <c r="B112" s="529">
        <f t="shared" si="1"/>
        <v>12</v>
      </c>
      <c r="C112" t="str">
        <f t="shared" si="1"/>
        <v>NORTHWEST AEA</v>
      </c>
      <c r="D112" s="394">
        <f>INDEX(Constants!$A$2:$AR$100,MATCH(AEA_CPP!$A112,Constants!$A$2:$A$100,0),19)+D103</f>
        <v>296.32</v>
      </c>
      <c r="E112" s="394">
        <f>INDEX(Constants!$A$2:$AR$100,MATCH(AEA_CPP!$A112,Constants!$A$2:$A$100,0),21)+E103</f>
        <v>54.21</v>
      </c>
      <c r="F112" s="394">
        <f>INDEX(Constants!$A$2:$AR$100,MATCH(AEA_CPP!$A112,Constants!$A$2:$A$100,0),23)+F103</f>
        <v>60.84</v>
      </c>
      <c r="G112" s="394">
        <f>INDEX(Constants!$A$2:$AR$100,MATCH(AEA_CPP!$A112,Constants!$A$2:$A$100,0),25)+G103</f>
        <v>29.77</v>
      </c>
      <c r="H112" s="394">
        <f>INDEX(Constants!$A$2:$AR$100,MATCH(AEA_CPP!$A112,Constants!$A$2:$A$100,0),27)+H103</f>
        <v>3.56</v>
      </c>
    </row>
    <row r="113" spans="1:8" x14ac:dyDescent="0.2">
      <c r="A113">
        <f t="shared" si="0"/>
        <v>2018</v>
      </c>
      <c r="B113" s="529">
        <f t="shared" si="1"/>
        <v>13</v>
      </c>
      <c r="C113" t="str">
        <f t="shared" si="1"/>
        <v>GREEN HILLS AEA 13</v>
      </c>
      <c r="D113" s="394">
        <f>INDEX(Constants!$A$2:$AR$100,MATCH(AEA_CPP!$A113,Constants!$A$2:$A$100,0),19)+D104</f>
        <v>289.74</v>
      </c>
      <c r="E113" s="394">
        <f>INDEX(Constants!$A$2:$AR$100,MATCH(AEA_CPP!$A113,Constants!$A$2:$A$100,0),21)+E104</f>
        <v>53.93</v>
      </c>
      <c r="F113" s="394">
        <f>INDEX(Constants!$A$2:$AR$100,MATCH(AEA_CPP!$A113,Constants!$A$2:$A$100,0),23)+F104</f>
        <v>59.64</v>
      </c>
      <c r="G113" s="394">
        <f>INDEX(Constants!$A$2:$AR$100,MATCH(AEA_CPP!$A113,Constants!$A$2:$A$100,0),25)+G104</f>
        <v>29.75</v>
      </c>
      <c r="H113" s="394">
        <f>INDEX(Constants!$A$2:$AR$100,MATCH(AEA_CPP!$A113,Constants!$A$2:$A$100,0),27)+H104</f>
        <v>3.17</v>
      </c>
    </row>
    <row r="114" spans="1:8" x14ac:dyDescent="0.2">
      <c r="A114">
        <f t="shared" si="0"/>
        <v>2018</v>
      </c>
      <c r="B114" s="529">
        <f t="shared" ref="B114:C129" si="2">B105</f>
        <v>15</v>
      </c>
      <c r="C114" t="str">
        <f t="shared" si="2"/>
        <v>GREAT PRAIRIE AEA 15</v>
      </c>
      <c r="D114" s="394">
        <f>INDEX(Constants!$A$2:$AR$100,MATCH(AEA_CPP!$A114,Constants!$A$2:$A$100,0),19)+D105</f>
        <v>287.10000000000002</v>
      </c>
      <c r="E114" s="394">
        <f>INDEX(Constants!$A$2:$AR$100,MATCH(AEA_CPP!$A114,Constants!$A$2:$A$100,0),21)+E105</f>
        <v>53.9</v>
      </c>
      <c r="F114" s="394">
        <f>INDEX(Constants!$A$2:$AR$100,MATCH(AEA_CPP!$A114,Constants!$A$2:$A$100,0),23)+F105</f>
        <v>59.21</v>
      </c>
      <c r="G114" s="394">
        <f>INDEX(Constants!$A$2:$AR$100,MATCH(AEA_CPP!$A114,Constants!$A$2:$A$100,0),25)+G105</f>
        <v>28.759999999999998</v>
      </c>
      <c r="H114" s="394">
        <f>INDEX(Constants!$A$2:$AR$100,MATCH(AEA_CPP!$A114,Constants!$A$2:$A$100,0),27)+H105</f>
        <v>3.12</v>
      </c>
    </row>
    <row r="115" spans="1:8" x14ac:dyDescent="0.2">
      <c r="A115">
        <f t="shared" si="0"/>
        <v>2019</v>
      </c>
      <c r="B115" s="529">
        <f t="shared" si="2"/>
        <v>1</v>
      </c>
      <c r="C115" t="str">
        <f t="shared" si="2"/>
        <v>KEYSTONE AEA 1</v>
      </c>
      <c r="D115" s="394">
        <f>INDEX(Constants!$A$2:$AR$100,MATCH(AEA_CPP!$A115,Constants!$A$2:$A$100,0),19)+D106</f>
        <v>303.94</v>
      </c>
      <c r="E115" s="394">
        <f>INDEX(Constants!$A$2:$AR$100,MATCH(AEA_CPP!$A115,Constants!$A$2:$A$100,0),21)+E106</f>
        <v>54.199999999999996</v>
      </c>
      <c r="F115" s="394">
        <f>INDEX(Constants!$A$2:$AR$100,MATCH(AEA_CPP!$A115,Constants!$A$2:$A$100,0),23)+F106</f>
        <v>60.47</v>
      </c>
      <c r="G115" s="394">
        <f>INDEX(Constants!$A$2:$AR$100,MATCH(AEA_CPP!$A115,Constants!$A$2:$A$100,0),25)+G106</f>
        <v>29.93</v>
      </c>
      <c r="H115" s="394">
        <f>INDEX(Constants!$A$2:$AR$100,MATCH(AEA_CPP!$A115,Constants!$A$2:$A$100,0),27)+H106</f>
        <v>3.21</v>
      </c>
    </row>
    <row r="116" spans="1:8" x14ac:dyDescent="0.2">
      <c r="A116">
        <f t="shared" si="0"/>
        <v>2019</v>
      </c>
      <c r="B116" s="529">
        <f t="shared" si="2"/>
        <v>5</v>
      </c>
      <c r="C116" t="str">
        <f t="shared" si="2"/>
        <v>PRAIRIE LAKES AEA 8</v>
      </c>
      <c r="D116" s="394">
        <f>INDEX(Constants!$A$2:$AR$100,MATCH(AEA_CPP!$A116,Constants!$A$2:$A$100,0),19)+D107</f>
        <v>299.69</v>
      </c>
      <c r="E116" s="394">
        <f>INDEX(Constants!$A$2:$AR$100,MATCH(AEA_CPP!$A116,Constants!$A$2:$A$100,0),21)+E107</f>
        <v>54.28</v>
      </c>
      <c r="F116" s="394">
        <f>INDEX(Constants!$A$2:$AR$100,MATCH(AEA_CPP!$A116,Constants!$A$2:$A$100,0),23)+F107</f>
        <v>60.940000000000005</v>
      </c>
      <c r="G116" s="394">
        <f>INDEX(Constants!$A$2:$AR$100,MATCH(AEA_CPP!$A116,Constants!$A$2:$A$100,0),25)+G107</f>
        <v>31.889999999999997</v>
      </c>
      <c r="H116" s="394">
        <f>INDEX(Constants!$A$2:$AR$100,MATCH(AEA_CPP!$A116,Constants!$A$2:$A$100,0),27)+H107</f>
        <v>3.8000000000000003</v>
      </c>
    </row>
    <row r="117" spans="1:8" x14ac:dyDescent="0.2">
      <c r="A117">
        <f t="shared" si="0"/>
        <v>2019</v>
      </c>
      <c r="B117" s="529">
        <f t="shared" si="2"/>
        <v>7</v>
      </c>
      <c r="C117" t="str">
        <f t="shared" si="2"/>
        <v>AEA 267</v>
      </c>
      <c r="D117" s="394">
        <f>INDEX(Constants!$A$2:$AR$100,MATCH(AEA_CPP!$A117,Constants!$A$2:$A$100,0),19)+D108</f>
        <v>293.06</v>
      </c>
      <c r="E117" s="394">
        <f>INDEX(Constants!$A$2:$AR$100,MATCH(AEA_CPP!$A117,Constants!$A$2:$A$100,0),21)+E108</f>
        <v>54.23</v>
      </c>
      <c r="F117" s="394">
        <f>INDEX(Constants!$A$2:$AR$100,MATCH(AEA_CPP!$A117,Constants!$A$2:$A$100,0),23)+F108</f>
        <v>60.56</v>
      </c>
      <c r="G117" s="394">
        <f>INDEX(Constants!$A$2:$AR$100,MATCH(AEA_CPP!$A117,Constants!$A$2:$A$100,0),25)+G108</f>
        <v>37.159999999999997</v>
      </c>
      <c r="H117" s="394">
        <f>INDEX(Constants!$A$2:$AR$100,MATCH(AEA_CPP!$A117,Constants!$A$2:$A$100,0),27)+H108</f>
        <v>4.2700000000000005</v>
      </c>
    </row>
    <row r="118" spans="1:8" x14ac:dyDescent="0.2">
      <c r="A118">
        <f t="shared" si="0"/>
        <v>2019</v>
      </c>
      <c r="B118" s="529">
        <f t="shared" si="2"/>
        <v>9</v>
      </c>
      <c r="C118" t="str">
        <f t="shared" si="2"/>
        <v>MISSISSIPPI BEND AEA 9</v>
      </c>
      <c r="D118" s="394">
        <f>INDEX(Constants!$A$2:$AR$100,MATCH(AEA_CPP!$A118,Constants!$A$2:$A$100,0),19)+D109</f>
        <v>290.7</v>
      </c>
      <c r="E118" s="394">
        <f>INDEX(Constants!$A$2:$AR$100,MATCH(AEA_CPP!$A118,Constants!$A$2:$A$100,0),21)+E109</f>
        <v>53.739999999999995</v>
      </c>
      <c r="F118" s="394">
        <f>INDEX(Constants!$A$2:$AR$100,MATCH(AEA_CPP!$A118,Constants!$A$2:$A$100,0),23)+F109</f>
        <v>58.64</v>
      </c>
      <c r="G118" s="394">
        <f>INDEX(Constants!$A$2:$AR$100,MATCH(AEA_CPP!$A118,Constants!$A$2:$A$100,0),25)+G109</f>
        <v>26.229999999999997</v>
      </c>
      <c r="H118" s="394">
        <f>INDEX(Constants!$A$2:$AR$100,MATCH(AEA_CPP!$A118,Constants!$A$2:$A$100,0),27)+H109</f>
        <v>3.08</v>
      </c>
    </row>
    <row r="119" spans="1:8" x14ac:dyDescent="0.2">
      <c r="A119">
        <f t="shared" si="0"/>
        <v>2019</v>
      </c>
      <c r="B119" s="529">
        <f t="shared" si="2"/>
        <v>10</v>
      </c>
      <c r="C119" t="str">
        <f t="shared" si="2"/>
        <v>GRANT WOOD AEA 10</v>
      </c>
      <c r="D119" s="394">
        <f>INDEX(Constants!$A$2:$AR$100,MATCH(AEA_CPP!$A119,Constants!$A$2:$A$100,0),19)+D110</f>
        <v>288.78000000000003</v>
      </c>
      <c r="E119" s="394">
        <f>INDEX(Constants!$A$2:$AR$100,MATCH(AEA_CPP!$A119,Constants!$A$2:$A$100,0),21)+E110</f>
        <v>53.919999999999995</v>
      </c>
      <c r="F119" s="394">
        <f>INDEX(Constants!$A$2:$AR$100,MATCH(AEA_CPP!$A119,Constants!$A$2:$A$100,0),23)+F110</f>
        <v>59.24</v>
      </c>
      <c r="G119" s="394">
        <f>INDEX(Constants!$A$2:$AR$100,MATCH(AEA_CPP!$A119,Constants!$A$2:$A$100,0),25)+G110</f>
        <v>26.979999999999997</v>
      </c>
      <c r="H119" s="394">
        <f>INDEX(Constants!$A$2:$AR$100,MATCH(AEA_CPP!$A119,Constants!$A$2:$A$100,0),27)+H110</f>
        <v>3.14</v>
      </c>
    </row>
    <row r="120" spans="1:8" x14ac:dyDescent="0.2">
      <c r="A120">
        <f t="shared" si="0"/>
        <v>2019</v>
      </c>
      <c r="B120" s="529">
        <f t="shared" si="2"/>
        <v>11</v>
      </c>
      <c r="C120" t="str">
        <f t="shared" si="2"/>
        <v>HEARTLAND AEA 11</v>
      </c>
      <c r="D120" s="394">
        <f>INDEX(Constants!$A$2:$AR$100,MATCH(AEA_CPP!$A120,Constants!$A$2:$A$100,0),19)+D111</f>
        <v>281.68</v>
      </c>
      <c r="E120" s="394">
        <f>INDEX(Constants!$A$2:$AR$100,MATCH(AEA_CPP!$A120,Constants!$A$2:$A$100,0),21)+E111</f>
        <v>53.8</v>
      </c>
      <c r="F120" s="394">
        <f>INDEX(Constants!$A$2:$AR$100,MATCH(AEA_CPP!$A120,Constants!$A$2:$A$100,0),23)+F111</f>
        <v>59.06</v>
      </c>
      <c r="G120" s="394">
        <f>INDEX(Constants!$A$2:$AR$100,MATCH(AEA_CPP!$A120,Constants!$A$2:$A$100,0),25)+G111</f>
        <v>23.209999999999997</v>
      </c>
      <c r="H120" s="394">
        <f>INDEX(Constants!$A$2:$AR$100,MATCH(AEA_CPP!$A120,Constants!$A$2:$A$100,0),27)+H111</f>
        <v>2.95</v>
      </c>
    </row>
    <row r="121" spans="1:8" x14ac:dyDescent="0.2">
      <c r="A121">
        <f t="shared" si="0"/>
        <v>2019</v>
      </c>
      <c r="B121" s="529">
        <f t="shared" si="2"/>
        <v>12</v>
      </c>
      <c r="C121" t="str">
        <f t="shared" si="2"/>
        <v>NORTHWEST AEA</v>
      </c>
      <c r="D121" s="394">
        <f>INDEX(Constants!$A$2:$AR$100,MATCH(AEA_CPP!$A121,Constants!$A$2:$A$100,0),19)+D112</f>
        <v>296.32</v>
      </c>
      <c r="E121" s="394">
        <f>INDEX(Constants!$A$2:$AR$100,MATCH(AEA_CPP!$A121,Constants!$A$2:$A$100,0),21)+E112</f>
        <v>54.21</v>
      </c>
      <c r="F121" s="394">
        <f>INDEX(Constants!$A$2:$AR$100,MATCH(AEA_CPP!$A121,Constants!$A$2:$A$100,0),23)+F112</f>
        <v>60.84</v>
      </c>
      <c r="G121" s="394">
        <f>INDEX(Constants!$A$2:$AR$100,MATCH(AEA_CPP!$A121,Constants!$A$2:$A$100,0),25)+G112</f>
        <v>29.77</v>
      </c>
      <c r="H121" s="394">
        <f>INDEX(Constants!$A$2:$AR$100,MATCH(AEA_CPP!$A121,Constants!$A$2:$A$100,0),27)+H112</f>
        <v>3.56</v>
      </c>
    </row>
    <row r="122" spans="1:8" x14ac:dyDescent="0.2">
      <c r="A122">
        <f t="shared" si="0"/>
        <v>2019</v>
      </c>
      <c r="B122" s="529">
        <f t="shared" si="2"/>
        <v>13</v>
      </c>
      <c r="C122" t="str">
        <f t="shared" si="2"/>
        <v>GREEN HILLS AEA 13</v>
      </c>
      <c r="D122" s="394">
        <f>INDEX(Constants!$A$2:$AR$100,MATCH(AEA_CPP!$A122,Constants!$A$2:$A$100,0),19)+D113</f>
        <v>289.74</v>
      </c>
      <c r="E122" s="394">
        <f>INDEX(Constants!$A$2:$AR$100,MATCH(AEA_CPP!$A122,Constants!$A$2:$A$100,0),21)+E113</f>
        <v>53.93</v>
      </c>
      <c r="F122" s="394">
        <f>INDEX(Constants!$A$2:$AR$100,MATCH(AEA_CPP!$A122,Constants!$A$2:$A$100,0),23)+F113</f>
        <v>59.64</v>
      </c>
      <c r="G122" s="394">
        <f>INDEX(Constants!$A$2:$AR$100,MATCH(AEA_CPP!$A122,Constants!$A$2:$A$100,0),25)+G113</f>
        <v>29.75</v>
      </c>
      <c r="H122" s="394">
        <f>INDEX(Constants!$A$2:$AR$100,MATCH(AEA_CPP!$A122,Constants!$A$2:$A$100,0),27)+H113</f>
        <v>3.17</v>
      </c>
    </row>
    <row r="123" spans="1:8" x14ac:dyDescent="0.2">
      <c r="A123">
        <f t="shared" si="0"/>
        <v>2019</v>
      </c>
      <c r="B123" s="529">
        <f t="shared" si="2"/>
        <v>15</v>
      </c>
      <c r="C123" t="str">
        <f t="shared" si="2"/>
        <v>GREAT PRAIRIE AEA 15</v>
      </c>
      <c r="D123" s="394">
        <f>INDEX(Constants!$A$2:$AR$100,MATCH(AEA_CPP!$A123,Constants!$A$2:$A$100,0),19)+D114</f>
        <v>287.10000000000002</v>
      </c>
      <c r="E123" s="394">
        <f>INDEX(Constants!$A$2:$AR$100,MATCH(AEA_CPP!$A123,Constants!$A$2:$A$100,0),21)+E114</f>
        <v>53.9</v>
      </c>
      <c r="F123" s="394">
        <f>INDEX(Constants!$A$2:$AR$100,MATCH(AEA_CPP!$A123,Constants!$A$2:$A$100,0),23)+F114</f>
        <v>59.21</v>
      </c>
      <c r="G123" s="394">
        <f>INDEX(Constants!$A$2:$AR$100,MATCH(AEA_CPP!$A123,Constants!$A$2:$A$100,0),25)+G114</f>
        <v>28.759999999999998</v>
      </c>
      <c r="H123" s="394">
        <f>INDEX(Constants!$A$2:$AR$100,MATCH(AEA_CPP!$A123,Constants!$A$2:$A$100,0),27)+H114</f>
        <v>3.12</v>
      </c>
    </row>
    <row r="124" spans="1:8" x14ac:dyDescent="0.2">
      <c r="A124">
        <f t="shared" si="0"/>
        <v>2020</v>
      </c>
      <c r="B124" s="529">
        <f t="shared" si="2"/>
        <v>1</v>
      </c>
      <c r="C124" t="str">
        <f t="shared" si="2"/>
        <v>KEYSTONE AEA 1</v>
      </c>
      <c r="D124" s="394">
        <f>INDEX(Constants!$A$2:$AR$100,MATCH(AEA_CPP!$A124,Constants!$A$2:$A$100,0),19)+D115</f>
        <v>303.94</v>
      </c>
      <c r="E124" s="394">
        <f>INDEX(Constants!$A$2:$AR$100,MATCH(AEA_CPP!$A124,Constants!$A$2:$A$100,0),21)+E115</f>
        <v>54.199999999999996</v>
      </c>
      <c r="F124" s="394">
        <f>INDEX(Constants!$A$2:$AR$100,MATCH(AEA_CPP!$A124,Constants!$A$2:$A$100,0),23)+F115</f>
        <v>60.47</v>
      </c>
      <c r="G124" s="394">
        <f>INDEX(Constants!$A$2:$AR$100,MATCH(AEA_CPP!$A124,Constants!$A$2:$A$100,0),25)+G115</f>
        <v>29.93</v>
      </c>
      <c r="H124" s="394">
        <f>INDEX(Constants!$A$2:$AR$100,MATCH(AEA_CPP!$A124,Constants!$A$2:$A$100,0),27)+H115</f>
        <v>3.21</v>
      </c>
    </row>
    <row r="125" spans="1:8" x14ac:dyDescent="0.2">
      <c r="A125">
        <f t="shared" si="0"/>
        <v>2020</v>
      </c>
      <c r="B125" s="529">
        <f t="shared" si="2"/>
        <v>5</v>
      </c>
      <c r="C125" t="str">
        <f t="shared" si="2"/>
        <v>PRAIRIE LAKES AEA 8</v>
      </c>
      <c r="D125" s="394">
        <f>INDEX(Constants!$A$2:$AR$100,MATCH(AEA_CPP!$A125,Constants!$A$2:$A$100,0),19)+D116</f>
        <v>299.69</v>
      </c>
      <c r="E125" s="394">
        <f>INDEX(Constants!$A$2:$AR$100,MATCH(AEA_CPP!$A125,Constants!$A$2:$A$100,0),21)+E116</f>
        <v>54.28</v>
      </c>
      <c r="F125" s="394">
        <f>INDEX(Constants!$A$2:$AR$100,MATCH(AEA_CPP!$A125,Constants!$A$2:$A$100,0),23)+F116</f>
        <v>60.940000000000005</v>
      </c>
      <c r="G125" s="394">
        <f>INDEX(Constants!$A$2:$AR$100,MATCH(AEA_CPP!$A125,Constants!$A$2:$A$100,0),25)+G116</f>
        <v>31.889999999999997</v>
      </c>
      <c r="H125" s="394">
        <f>INDEX(Constants!$A$2:$AR$100,MATCH(AEA_CPP!$A125,Constants!$A$2:$A$100,0),27)+H116</f>
        <v>3.8000000000000003</v>
      </c>
    </row>
    <row r="126" spans="1:8" x14ac:dyDescent="0.2">
      <c r="A126">
        <f t="shared" si="0"/>
        <v>2020</v>
      </c>
      <c r="B126" s="529">
        <f t="shared" si="2"/>
        <v>7</v>
      </c>
      <c r="C126" t="str">
        <f t="shared" si="2"/>
        <v>AEA 267</v>
      </c>
      <c r="D126" s="394">
        <f>INDEX(Constants!$A$2:$AR$100,MATCH(AEA_CPP!$A126,Constants!$A$2:$A$100,0),19)+D117</f>
        <v>293.06</v>
      </c>
      <c r="E126" s="394">
        <f>INDEX(Constants!$A$2:$AR$100,MATCH(AEA_CPP!$A126,Constants!$A$2:$A$100,0),21)+E117</f>
        <v>54.23</v>
      </c>
      <c r="F126" s="394">
        <f>INDEX(Constants!$A$2:$AR$100,MATCH(AEA_CPP!$A126,Constants!$A$2:$A$100,0),23)+F117</f>
        <v>60.56</v>
      </c>
      <c r="G126" s="394">
        <f>INDEX(Constants!$A$2:$AR$100,MATCH(AEA_CPP!$A126,Constants!$A$2:$A$100,0),25)+G117</f>
        <v>37.159999999999997</v>
      </c>
      <c r="H126" s="394">
        <f>INDEX(Constants!$A$2:$AR$100,MATCH(AEA_CPP!$A126,Constants!$A$2:$A$100,0),27)+H117</f>
        <v>4.2700000000000005</v>
      </c>
    </row>
    <row r="127" spans="1:8" x14ac:dyDescent="0.2">
      <c r="A127">
        <f t="shared" si="0"/>
        <v>2020</v>
      </c>
      <c r="B127" s="529">
        <f t="shared" si="2"/>
        <v>9</v>
      </c>
      <c r="C127" t="str">
        <f t="shared" si="2"/>
        <v>MISSISSIPPI BEND AEA 9</v>
      </c>
      <c r="D127" s="394">
        <f>INDEX(Constants!$A$2:$AR$100,MATCH(AEA_CPP!$A127,Constants!$A$2:$A$100,0),19)+D118</f>
        <v>290.7</v>
      </c>
      <c r="E127" s="394">
        <f>INDEX(Constants!$A$2:$AR$100,MATCH(AEA_CPP!$A127,Constants!$A$2:$A$100,0),21)+E118</f>
        <v>53.739999999999995</v>
      </c>
      <c r="F127" s="394">
        <f>INDEX(Constants!$A$2:$AR$100,MATCH(AEA_CPP!$A127,Constants!$A$2:$A$100,0),23)+F118</f>
        <v>58.64</v>
      </c>
      <c r="G127" s="394">
        <f>INDEX(Constants!$A$2:$AR$100,MATCH(AEA_CPP!$A127,Constants!$A$2:$A$100,0),25)+G118</f>
        <v>26.229999999999997</v>
      </c>
      <c r="H127" s="394">
        <f>INDEX(Constants!$A$2:$AR$100,MATCH(AEA_CPP!$A127,Constants!$A$2:$A$100,0),27)+H118</f>
        <v>3.08</v>
      </c>
    </row>
    <row r="128" spans="1:8" x14ac:dyDescent="0.2">
      <c r="A128">
        <f t="shared" si="0"/>
        <v>2020</v>
      </c>
      <c r="B128" s="529">
        <f t="shared" si="2"/>
        <v>10</v>
      </c>
      <c r="C128" t="str">
        <f t="shared" si="2"/>
        <v>GRANT WOOD AEA 10</v>
      </c>
      <c r="D128" s="394">
        <f>INDEX(Constants!$A$2:$AR$100,MATCH(AEA_CPP!$A128,Constants!$A$2:$A$100,0),19)+D119</f>
        <v>288.78000000000003</v>
      </c>
      <c r="E128" s="394">
        <f>INDEX(Constants!$A$2:$AR$100,MATCH(AEA_CPP!$A128,Constants!$A$2:$A$100,0),21)+E119</f>
        <v>53.919999999999995</v>
      </c>
      <c r="F128" s="394">
        <f>INDEX(Constants!$A$2:$AR$100,MATCH(AEA_CPP!$A128,Constants!$A$2:$A$100,0),23)+F119</f>
        <v>59.24</v>
      </c>
      <c r="G128" s="394">
        <f>INDEX(Constants!$A$2:$AR$100,MATCH(AEA_CPP!$A128,Constants!$A$2:$A$100,0),25)+G119</f>
        <v>26.979999999999997</v>
      </c>
      <c r="H128" s="394">
        <f>INDEX(Constants!$A$2:$AR$100,MATCH(AEA_CPP!$A128,Constants!$A$2:$A$100,0),27)+H119</f>
        <v>3.14</v>
      </c>
    </row>
    <row r="129" spans="1:8" x14ac:dyDescent="0.2">
      <c r="A129">
        <f t="shared" si="0"/>
        <v>2020</v>
      </c>
      <c r="B129" s="529">
        <f t="shared" si="2"/>
        <v>11</v>
      </c>
      <c r="C129" t="str">
        <f t="shared" si="2"/>
        <v>HEARTLAND AEA 11</v>
      </c>
      <c r="D129" s="394">
        <f>INDEX(Constants!$A$2:$AR$100,MATCH(AEA_CPP!$A129,Constants!$A$2:$A$100,0),19)+D120</f>
        <v>281.68</v>
      </c>
      <c r="E129" s="394">
        <f>INDEX(Constants!$A$2:$AR$100,MATCH(AEA_CPP!$A129,Constants!$A$2:$A$100,0),21)+E120</f>
        <v>53.8</v>
      </c>
      <c r="F129" s="394">
        <f>INDEX(Constants!$A$2:$AR$100,MATCH(AEA_CPP!$A129,Constants!$A$2:$A$100,0),23)+F120</f>
        <v>59.06</v>
      </c>
      <c r="G129" s="394">
        <f>INDEX(Constants!$A$2:$AR$100,MATCH(AEA_CPP!$A129,Constants!$A$2:$A$100,0),25)+G120</f>
        <v>23.209999999999997</v>
      </c>
      <c r="H129" s="394">
        <f>INDEX(Constants!$A$2:$AR$100,MATCH(AEA_CPP!$A129,Constants!$A$2:$A$100,0),27)+H120</f>
        <v>2.95</v>
      </c>
    </row>
    <row r="130" spans="1:8" x14ac:dyDescent="0.2">
      <c r="A130">
        <f t="shared" si="0"/>
        <v>2020</v>
      </c>
      <c r="B130" s="529">
        <f t="shared" ref="B130:C142" si="3">B121</f>
        <v>12</v>
      </c>
      <c r="C130" t="str">
        <f t="shared" si="3"/>
        <v>NORTHWEST AEA</v>
      </c>
      <c r="D130" s="394">
        <f>INDEX(Constants!$A$2:$AR$100,MATCH(AEA_CPP!$A130,Constants!$A$2:$A$100,0),19)+D121</f>
        <v>296.32</v>
      </c>
      <c r="E130" s="394">
        <f>INDEX(Constants!$A$2:$AR$100,MATCH(AEA_CPP!$A130,Constants!$A$2:$A$100,0),21)+E121</f>
        <v>54.21</v>
      </c>
      <c r="F130" s="394">
        <f>INDEX(Constants!$A$2:$AR$100,MATCH(AEA_CPP!$A130,Constants!$A$2:$A$100,0),23)+F121</f>
        <v>60.84</v>
      </c>
      <c r="G130" s="394">
        <f>INDEX(Constants!$A$2:$AR$100,MATCH(AEA_CPP!$A130,Constants!$A$2:$A$100,0),25)+G121</f>
        <v>29.77</v>
      </c>
      <c r="H130" s="394">
        <f>INDEX(Constants!$A$2:$AR$100,MATCH(AEA_CPP!$A130,Constants!$A$2:$A$100,0),27)+H121</f>
        <v>3.56</v>
      </c>
    </row>
    <row r="131" spans="1:8" x14ac:dyDescent="0.2">
      <c r="A131">
        <f t="shared" si="0"/>
        <v>2020</v>
      </c>
      <c r="B131" s="529">
        <f t="shared" si="3"/>
        <v>13</v>
      </c>
      <c r="C131" t="str">
        <f t="shared" si="3"/>
        <v>GREEN HILLS AEA 13</v>
      </c>
      <c r="D131" s="394">
        <f>INDEX(Constants!$A$2:$AR$100,MATCH(AEA_CPP!$A131,Constants!$A$2:$A$100,0),19)+D122</f>
        <v>289.74</v>
      </c>
      <c r="E131" s="394">
        <f>INDEX(Constants!$A$2:$AR$100,MATCH(AEA_CPP!$A131,Constants!$A$2:$A$100,0),21)+E122</f>
        <v>53.93</v>
      </c>
      <c r="F131" s="394">
        <f>INDEX(Constants!$A$2:$AR$100,MATCH(AEA_CPP!$A131,Constants!$A$2:$A$100,0),23)+F122</f>
        <v>59.64</v>
      </c>
      <c r="G131" s="394">
        <f>INDEX(Constants!$A$2:$AR$100,MATCH(AEA_CPP!$A131,Constants!$A$2:$A$100,0),25)+G122</f>
        <v>29.75</v>
      </c>
      <c r="H131" s="394">
        <f>INDEX(Constants!$A$2:$AR$100,MATCH(AEA_CPP!$A131,Constants!$A$2:$A$100,0),27)+H122</f>
        <v>3.17</v>
      </c>
    </row>
    <row r="132" spans="1:8" x14ac:dyDescent="0.2">
      <c r="A132">
        <f t="shared" si="0"/>
        <v>2020</v>
      </c>
      <c r="B132" s="529">
        <f t="shared" si="3"/>
        <v>15</v>
      </c>
      <c r="C132" t="str">
        <f t="shared" si="3"/>
        <v>GREAT PRAIRIE AEA 15</v>
      </c>
      <c r="D132" s="394">
        <f>INDEX(Constants!$A$2:$AR$100,MATCH(AEA_CPP!$A132,Constants!$A$2:$A$100,0),19)+D123</f>
        <v>287.10000000000002</v>
      </c>
      <c r="E132" s="394">
        <f>INDEX(Constants!$A$2:$AR$100,MATCH(AEA_CPP!$A132,Constants!$A$2:$A$100,0),21)+E123</f>
        <v>53.9</v>
      </c>
      <c r="F132" s="394">
        <f>INDEX(Constants!$A$2:$AR$100,MATCH(AEA_CPP!$A132,Constants!$A$2:$A$100,0),23)+F123</f>
        <v>59.21</v>
      </c>
      <c r="G132" s="394">
        <f>INDEX(Constants!$A$2:$AR$100,MATCH(AEA_CPP!$A132,Constants!$A$2:$A$100,0),25)+G123</f>
        <v>28.759999999999998</v>
      </c>
      <c r="H132" s="394">
        <f>INDEX(Constants!$A$2:$AR$100,MATCH(AEA_CPP!$A132,Constants!$A$2:$A$100,0),27)+H123</f>
        <v>3.12</v>
      </c>
    </row>
    <row r="133" spans="1:8" x14ac:dyDescent="0.2">
      <c r="A133">
        <f t="shared" si="0"/>
        <v>2021</v>
      </c>
      <c r="B133" s="529">
        <f t="shared" si="3"/>
        <v>1</v>
      </c>
      <c r="C133" t="str">
        <f t="shared" si="3"/>
        <v>KEYSTONE AEA 1</v>
      </c>
      <c r="D133" s="394">
        <f>INDEX(Constants!$A$2:$AR$100,MATCH(AEA_CPP!$A133,Constants!$A$2:$A$100,0),19)+D124</f>
        <v>303.94</v>
      </c>
      <c r="E133" s="394">
        <f>INDEX(Constants!$A$2:$AR$100,MATCH(AEA_CPP!$A133,Constants!$A$2:$A$100,0),21)+E124</f>
        <v>54.199999999999996</v>
      </c>
      <c r="F133" s="394">
        <f>INDEX(Constants!$A$2:$AR$100,MATCH(AEA_CPP!$A133,Constants!$A$2:$A$100,0),23)+F124</f>
        <v>60.47</v>
      </c>
      <c r="G133" s="394">
        <f>INDEX(Constants!$A$2:$AR$100,MATCH(AEA_CPP!$A133,Constants!$A$2:$A$100,0),25)+G124</f>
        <v>29.93</v>
      </c>
      <c r="H133" s="394">
        <f>INDEX(Constants!$A$2:$AR$100,MATCH(AEA_CPP!$A133,Constants!$A$2:$A$100,0),27)+H124</f>
        <v>3.21</v>
      </c>
    </row>
    <row r="134" spans="1:8" x14ac:dyDescent="0.2">
      <c r="A134">
        <f t="shared" si="0"/>
        <v>2021</v>
      </c>
      <c r="B134" s="529">
        <f t="shared" si="3"/>
        <v>5</v>
      </c>
      <c r="C134" t="str">
        <f t="shared" si="3"/>
        <v>PRAIRIE LAKES AEA 8</v>
      </c>
      <c r="D134" s="394">
        <f>INDEX(Constants!$A$2:$AR$100,MATCH(AEA_CPP!$A134,Constants!$A$2:$A$100,0),19)+D125</f>
        <v>299.69</v>
      </c>
      <c r="E134" s="394">
        <f>INDEX(Constants!$A$2:$AR$100,MATCH(AEA_CPP!$A134,Constants!$A$2:$A$100,0),21)+E125</f>
        <v>54.28</v>
      </c>
      <c r="F134" s="394">
        <f>INDEX(Constants!$A$2:$AR$100,MATCH(AEA_CPP!$A134,Constants!$A$2:$A$100,0),23)+F125</f>
        <v>60.940000000000005</v>
      </c>
      <c r="G134" s="394">
        <f>INDEX(Constants!$A$2:$AR$100,MATCH(AEA_CPP!$A134,Constants!$A$2:$A$100,0),25)+G125</f>
        <v>31.889999999999997</v>
      </c>
      <c r="H134" s="394">
        <f>INDEX(Constants!$A$2:$AR$100,MATCH(AEA_CPP!$A134,Constants!$A$2:$A$100,0),27)+H125</f>
        <v>3.8000000000000003</v>
      </c>
    </row>
    <row r="135" spans="1:8" x14ac:dyDescent="0.2">
      <c r="A135">
        <f t="shared" si="0"/>
        <v>2021</v>
      </c>
      <c r="B135" s="529">
        <f t="shared" si="3"/>
        <v>7</v>
      </c>
      <c r="C135" t="str">
        <f t="shared" si="3"/>
        <v>AEA 267</v>
      </c>
      <c r="D135" s="394">
        <f>INDEX(Constants!$A$2:$AR$100,MATCH(AEA_CPP!$A135,Constants!$A$2:$A$100,0),19)+D126</f>
        <v>293.06</v>
      </c>
      <c r="E135" s="394">
        <f>INDEX(Constants!$A$2:$AR$100,MATCH(AEA_CPP!$A135,Constants!$A$2:$A$100,0),21)+E126</f>
        <v>54.23</v>
      </c>
      <c r="F135" s="394">
        <f>INDEX(Constants!$A$2:$AR$100,MATCH(AEA_CPP!$A135,Constants!$A$2:$A$100,0),23)+F126</f>
        <v>60.56</v>
      </c>
      <c r="G135" s="394">
        <f>INDEX(Constants!$A$2:$AR$100,MATCH(AEA_CPP!$A135,Constants!$A$2:$A$100,0),25)+G126</f>
        <v>37.159999999999997</v>
      </c>
      <c r="H135" s="394">
        <f>INDEX(Constants!$A$2:$AR$100,MATCH(AEA_CPP!$A135,Constants!$A$2:$A$100,0),27)+H126</f>
        <v>4.2700000000000005</v>
      </c>
    </row>
    <row r="136" spans="1:8" x14ac:dyDescent="0.2">
      <c r="A136">
        <f t="shared" si="0"/>
        <v>2021</v>
      </c>
      <c r="B136" s="529">
        <f t="shared" si="3"/>
        <v>9</v>
      </c>
      <c r="C136" t="str">
        <f t="shared" si="3"/>
        <v>MISSISSIPPI BEND AEA 9</v>
      </c>
      <c r="D136" s="394">
        <f>INDEX(Constants!$A$2:$AR$100,MATCH(AEA_CPP!$A136,Constants!$A$2:$A$100,0),19)+D127</f>
        <v>290.7</v>
      </c>
      <c r="E136" s="394">
        <f>INDEX(Constants!$A$2:$AR$100,MATCH(AEA_CPP!$A136,Constants!$A$2:$A$100,0),21)+E127</f>
        <v>53.739999999999995</v>
      </c>
      <c r="F136" s="394">
        <f>INDEX(Constants!$A$2:$AR$100,MATCH(AEA_CPP!$A136,Constants!$A$2:$A$100,0),23)+F127</f>
        <v>58.64</v>
      </c>
      <c r="G136" s="394">
        <f>INDEX(Constants!$A$2:$AR$100,MATCH(AEA_CPP!$A136,Constants!$A$2:$A$100,0),25)+G127</f>
        <v>26.229999999999997</v>
      </c>
      <c r="H136" s="394">
        <f>INDEX(Constants!$A$2:$AR$100,MATCH(AEA_CPP!$A136,Constants!$A$2:$A$100,0),27)+H127</f>
        <v>3.08</v>
      </c>
    </row>
    <row r="137" spans="1:8" x14ac:dyDescent="0.2">
      <c r="A137">
        <f t="shared" si="0"/>
        <v>2021</v>
      </c>
      <c r="B137" s="529">
        <f t="shared" si="3"/>
        <v>10</v>
      </c>
      <c r="C137" t="str">
        <f t="shared" si="3"/>
        <v>GRANT WOOD AEA 10</v>
      </c>
      <c r="D137" s="394">
        <f>INDEX(Constants!$A$2:$AR$100,MATCH(AEA_CPP!$A137,Constants!$A$2:$A$100,0),19)+D128</f>
        <v>288.78000000000003</v>
      </c>
      <c r="E137" s="394">
        <f>INDEX(Constants!$A$2:$AR$100,MATCH(AEA_CPP!$A137,Constants!$A$2:$A$100,0),21)+E128</f>
        <v>53.919999999999995</v>
      </c>
      <c r="F137" s="394">
        <f>INDEX(Constants!$A$2:$AR$100,MATCH(AEA_CPP!$A137,Constants!$A$2:$A$100,0),23)+F128</f>
        <v>59.24</v>
      </c>
      <c r="G137" s="394">
        <f>INDEX(Constants!$A$2:$AR$100,MATCH(AEA_CPP!$A137,Constants!$A$2:$A$100,0),25)+G128</f>
        <v>26.979999999999997</v>
      </c>
      <c r="H137" s="394">
        <f>INDEX(Constants!$A$2:$AR$100,MATCH(AEA_CPP!$A137,Constants!$A$2:$A$100,0),27)+H128</f>
        <v>3.14</v>
      </c>
    </row>
    <row r="138" spans="1:8" x14ac:dyDescent="0.2">
      <c r="A138">
        <f t="shared" si="0"/>
        <v>2021</v>
      </c>
      <c r="B138" s="529">
        <f t="shared" si="3"/>
        <v>11</v>
      </c>
      <c r="C138" t="str">
        <f t="shared" si="3"/>
        <v>HEARTLAND AEA 11</v>
      </c>
      <c r="D138" s="394">
        <f>INDEX(Constants!$A$2:$AR$100,MATCH(AEA_CPP!$A138,Constants!$A$2:$A$100,0),19)+D129</f>
        <v>281.68</v>
      </c>
      <c r="E138" s="394">
        <f>INDEX(Constants!$A$2:$AR$100,MATCH(AEA_CPP!$A138,Constants!$A$2:$A$100,0),21)+E129</f>
        <v>53.8</v>
      </c>
      <c r="F138" s="394">
        <f>INDEX(Constants!$A$2:$AR$100,MATCH(AEA_CPP!$A138,Constants!$A$2:$A$100,0),23)+F129</f>
        <v>59.06</v>
      </c>
      <c r="G138" s="394">
        <f>INDEX(Constants!$A$2:$AR$100,MATCH(AEA_CPP!$A138,Constants!$A$2:$A$100,0),25)+G129</f>
        <v>23.209999999999997</v>
      </c>
      <c r="H138" s="394">
        <f>INDEX(Constants!$A$2:$AR$100,MATCH(AEA_CPP!$A138,Constants!$A$2:$A$100,0),27)+H129</f>
        <v>2.95</v>
      </c>
    </row>
    <row r="139" spans="1:8" x14ac:dyDescent="0.2">
      <c r="A139">
        <f t="shared" si="0"/>
        <v>2021</v>
      </c>
      <c r="B139" s="529">
        <f t="shared" si="3"/>
        <v>12</v>
      </c>
      <c r="C139" t="str">
        <f t="shared" si="3"/>
        <v>NORTHWEST AEA</v>
      </c>
      <c r="D139" s="394">
        <f>INDEX(Constants!$A$2:$AR$100,MATCH(AEA_CPP!$A139,Constants!$A$2:$A$100,0),19)+D130</f>
        <v>296.32</v>
      </c>
      <c r="E139" s="394">
        <f>INDEX(Constants!$A$2:$AR$100,MATCH(AEA_CPP!$A139,Constants!$A$2:$A$100,0),21)+E130</f>
        <v>54.21</v>
      </c>
      <c r="F139" s="394">
        <f>INDEX(Constants!$A$2:$AR$100,MATCH(AEA_CPP!$A139,Constants!$A$2:$A$100,0),23)+F130</f>
        <v>60.84</v>
      </c>
      <c r="G139" s="394">
        <f>INDEX(Constants!$A$2:$AR$100,MATCH(AEA_CPP!$A139,Constants!$A$2:$A$100,0),25)+G130</f>
        <v>29.77</v>
      </c>
      <c r="H139" s="394">
        <f>INDEX(Constants!$A$2:$AR$100,MATCH(AEA_CPP!$A139,Constants!$A$2:$A$100,0),27)+H130</f>
        <v>3.56</v>
      </c>
    </row>
    <row r="140" spans="1:8" x14ac:dyDescent="0.2">
      <c r="A140">
        <f t="shared" si="0"/>
        <v>2021</v>
      </c>
      <c r="B140" s="529">
        <f t="shared" si="3"/>
        <v>13</v>
      </c>
      <c r="C140" t="str">
        <f t="shared" si="3"/>
        <v>GREEN HILLS AEA 13</v>
      </c>
      <c r="D140" s="394">
        <f>INDEX(Constants!$A$2:$AR$100,MATCH(AEA_CPP!$A140,Constants!$A$2:$A$100,0),19)+D131</f>
        <v>289.74</v>
      </c>
      <c r="E140" s="394">
        <f>INDEX(Constants!$A$2:$AR$100,MATCH(AEA_CPP!$A140,Constants!$A$2:$A$100,0),21)+E131</f>
        <v>53.93</v>
      </c>
      <c r="F140" s="394">
        <f>INDEX(Constants!$A$2:$AR$100,MATCH(AEA_CPP!$A140,Constants!$A$2:$A$100,0),23)+F131</f>
        <v>59.64</v>
      </c>
      <c r="G140" s="394">
        <f>INDEX(Constants!$A$2:$AR$100,MATCH(AEA_CPP!$A140,Constants!$A$2:$A$100,0),25)+G131</f>
        <v>29.75</v>
      </c>
      <c r="H140" s="394">
        <f>INDEX(Constants!$A$2:$AR$100,MATCH(AEA_CPP!$A140,Constants!$A$2:$A$100,0),27)+H131</f>
        <v>3.17</v>
      </c>
    </row>
    <row r="141" spans="1:8" x14ac:dyDescent="0.2">
      <c r="A141">
        <f t="shared" si="0"/>
        <v>2021</v>
      </c>
      <c r="B141" s="529">
        <f t="shared" si="3"/>
        <v>15</v>
      </c>
      <c r="C141" t="str">
        <f t="shared" si="3"/>
        <v>GREAT PRAIRIE AEA 15</v>
      </c>
      <c r="D141" s="394">
        <f>INDEX(Constants!$A$2:$AR$100,MATCH(AEA_CPP!$A141,Constants!$A$2:$A$100,0),19)+D132</f>
        <v>287.10000000000002</v>
      </c>
      <c r="E141" s="394">
        <f>INDEX(Constants!$A$2:$AR$100,MATCH(AEA_CPP!$A141,Constants!$A$2:$A$100,0),21)+E132</f>
        <v>53.9</v>
      </c>
      <c r="F141" s="394">
        <f>INDEX(Constants!$A$2:$AR$100,MATCH(AEA_CPP!$A141,Constants!$A$2:$A$100,0),23)+F132</f>
        <v>59.21</v>
      </c>
      <c r="G141" s="394">
        <f>INDEX(Constants!$A$2:$AR$100,MATCH(AEA_CPP!$A141,Constants!$A$2:$A$100,0),25)+G132</f>
        <v>28.759999999999998</v>
      </c>
      <c r="H141" s="394">
        <f>INDEX(Constants!$A$2:$AR$100,MATCH(AEA_CPP!$A141,Constants!$A$2:$A$100,0),27)+H132</f>
        <v>3.12</v>
      </c>
    </row>
    <row r="142" spans="1:8" x14ac:dyDescent="0.2">
      <c r="A142">
        <f t="shared" si="0"/>
        <v>2022</v>
      </c>
      <c r="B142" s="529">
        <f t="shared" si="3"/>
        <v>1</v>
      </c>
      <c r="C142" t="str">
        <f t="shared" si="3"/>
        <v>KEYSTONE AEA 1</v>
      </c>
      <c r="D142" s="394">
        <f>INDEX(Constants!$A$2:$AR$100,MATCH(AEA_CPP!$A142,Constants!$A$2:$A$100,0),19)+D133</f>
        <v>303.94</v>
      </c>
      <c r="E142" s="394">
        <f>INDEX(Constants!$A$2:$AR$100,MATCH(AEA_CPP!$A142,Constants!$A$2:$A$100,0),21)+E133</f>
        <v>54.199999999999996</v>
      </c>
      <c r="F142" s="394">
        <f>INDEX(Constants!$A$2:$AR$100,MATCH(AEA_CPP!$A142,Constants!$A$2:$A$100,0),23)+F133</f>
        <v>60.47</v>
      </c>
      <c r="G142" s="394">
        <f>INDEX(Constants!$A$2:$AR$100,MATCH(AEA_CPP!$A142,Constants!$A$2:$A$100,0),25)+G133</f>
        <v>29.93</v>
      </c>
      <c r="H142" s="394">
        <f>INDEX(Constants!$A$2:$AR$100,MATCH(AEA_CPP!$A142,Constants!$A$2:$A$100,0),27)+H133</f>
        <v>3.21</v>
      </c>
    </row>
    <row r="143" spans="1:8" x14ac:dyDescent="0.2">
      <c r="A143">
        <f t="shared" si="0"/>
        <v>2022</v>
      </c>
      <c r="B143" s="529">
        <f>B134</f>
        <v>5</v>
      </c>
      <c r="C143" t="str">
        <f>C134</f>
        <v>PRAIRIE LAKES AEA 8</v>
      </c>
      <c r="D143" s="394">
        <f>INDEX(Constants!$A$2:$AR$100,MATCH(AEA_CPP!$A143,Constants!$A$2:$A$100,0),19)+D134</f>
        <v>299.69</v>
      </c>
      <c r="E143" s="394">
        <f>INDEX(Constants!$A$2:$AR$100,MATCH(AEA_CPP!$A143,Constants!$A$2:$A$100,0),21)+E134</f>
        <v>54.28</v>
      </c>
      <c r="F143" s="394">
        <f>INDEX(Constants!$A$2:$AR$100,MATCH(AEA_CPP!$A143,Constants!$A$2:$A$100,0),23)+F134</f>
        <v>60.940000000000005</v>
      </c>
      <c r="G143" s="394">
        <f>INDEX(Constants!$A$2:$AR$100,MATCH(AEA_CPP!$A143,Constants!$A$2:$A$100,0),25)+G134</f>
        <v>31.889999999999997</v>
      </c>
      <c r="H143" s="394">
        <f>INDEX(Constants!$A$2:$AR$100,MATCH(AEA_CPP!$A143,Constants!$A$2:$A$100,0),27)+H134</f>
        <v>3.8000000000000003</v>
      </c>
    </row>
    <row r="144" spans="1:8" x14ac:dyDescent="0.2">
      <c r="A144">
        <f t="shared" si="0"/>
        <v>2022</v>
      </c>
      <c r="B144" s="529">
        <f t="shared" ref="B144:C150" si="4">B135</f>
        <v>7</v>
      </c>
      <c r="C144" t="str">
        <f t="shared" si="4"/>
        <v>AEA 267</v>
      </c>
      <c r="D144" s="394">
        <f>INDEX(Constants!$A$2:$AR$100,MATCH(AEA_CPP!$A144,Constants!$A$2:$A$100,0),19)+D135</f>
        <v>293.06</v>
      </c>
      <c r="E144" s="394">
        <f>INDEX(Constants!$A$2:$AR$100,MATCH(AEA_CPP!$A144,Constants!$A$2:$A$100,0),21)+E135</f>
        <v>54.23</v>
      </c>
      <c r="F144" s="394">
        <f>INDEX(Constants!$A$2:$AR$100,MATCH(AEA_CPP!$A144,Constants!$A$2:$A$100,0),23)+F135</f>
        <v>60.56</v>
      </c>
      <c r="G144" s="394">
        <f>INDEX(Constants!$A$2:$AR$100,MATCH(AEA_CPP!$A144,Constants!$A$2:$A$100,0),25)+G135</f>
        <v>37.159999999999997</v>
      </c>
      <c r="H144" s="394">
        <f>INDEX(Constants!$A$2:$AR$100,MATCH(AEA_CPP!$A144,Constants!$A$2:$A$100,0),27)+H135</f>
        <v>4.2700000000000005</v>
      </c>
    </row>
    <row r="145" spans="1:8" x14ac:dyDescent="0.2">
      <c r="A145">
        <f t="shared" si="0"/>
        <v>2022</v>
      </c>
      <c r="B145" s="529">
        <f t="shared" si="4"/>
        <v>9</v>
      </c>
      <c r="C145" t="str">
        <f t="shared" si="4"/>
        <v>MISSISSIPPI BEND AEA 9</v>
      </c>
      <c r="D145" s="394">
        <f>INDEX(Constants!$A$2:$AR$100,MATCH(AEA_CPP!$A145,Constants!$A$2:$A$100,0),19)+D136</f>
        <v>290.7</v>
      </c>
      <c r="E145" s="394">
        <f>INDEX(Constants!$A$2:$AR$100,MATCH(AEA_CPP!$A145,Constants!$A$2:$A$100,0),21)+E136</f>
        <v>53.739999999999995</v>
      </c>
      <c r="F145" s="394">
        <f>INDEX(Constants!$A$2:$AR$100,MATCH(AEA_CPP!$A145,Constants!$A$2:$A$100,0),23)+F136</f>
        <v>58.64</v>
      </c>
      <c r="G145" s="394">
        <f>INDEX(Constants!$A$2:$AR$100,MATCH(AEA_CPP!$A145,Constants!$A$2:$A$100,0),25)+G136</f>
        <v>26.229999999999997</v>
      </c>
      <c r="H145" s="394">
        <f>INDEX(Constants!$A$2:$AR$100,MATCH(AEA_CPP!$A145,Constants!$A$2:$A$100,0),27)+H136</f>
        <v>3.08</v>
      </c>
    </row>
    <row r="146" spans="1:8" x14ac:dyDescent="0.2">
      <c r="A146">
        <f t="shared" si="0"/>
        <v>2022</v>
      </c>
      <c r="B146" s="529">
        <f t="shared" si="4"/>
        <v>10</v>
      </c>
      <c r="C146" t="str">
        <f t="shared" si="4"/>
        <v>GRANT WOOD AEA 10</v>
      </c>
      <c r="D146" s="394">
        <f>INDEX(Constants!$A$2:$AR$100,MATCH(AEA_CPP!$A146,Constants!$A$2:$A$100,0),19)+D137</f>
        <v>288.78000000000003</v>
      </c>
      <c r="E146" s="394">
        <f>INDEX(Constants!$A$2:$AR$100,MATCH(AEA_CPP!$A146,Constants!$A$2:$A$100,0),21)+E137</f>
        <v>53.919999999999995</v>
      </c>
      <c r="F146" s="394">
        <f>INDEX(Constants!$A$2:$AR$100,MATCH(AEA_CPP!$A146,Constants!$A$2:$A$100,0),23)+F137</f>
        <v>59.24</v>
      </c>
      <c r="G146" s="394">
        <f>INDEX(Constants!$A$2:$AR$100,MATCH(AEA_CPP!$A146,Constants!$A$2:$A$100,0),25)+G137</f>
        <v>26.979999999999997</v>
      </c>
      <c r="H146" s="394">
        <f>INDEX(Constants!$A$2:$AR$100,MATCH(AEA_CPP!$A146,Constants!$A$2:$A$100,0),27)+H137</f>
        <v>3.14</v>
      </c>
    </row>
    <row r="147" spans="1:8" x14ac:dyDescent="0.2">
      <c r="A147">
        <f t="shared" si="0"/>
        <v>2022</v>
      </c>
      <c r="B147" s="529">
        <f t="shared" si="4"/>
        <v>11</v>
      </c>
      <c r="C147" t="str">
        <f t="shared" si="4"/>
        <v>HEARTLAND AEA 11</v>
      </c>
      <c r="D147" s="394">
        <f>INDEX(Constants!$A$2:$AR$100,MATCH(AEA_CPP!$A147,Constants!$A$2:$A$100,0),19)+D138</f>
        <v>281.68</v>
      </c>
      <c r="E147" s="394">
        <f>INDEX(Constants!$A$2:$AR$100,MATCH(AEA_CPP!$A147,Constants!$A$2:$A$100,0),21)+E138</f>
        <v>53.8</v>
      </c>
      <c r="F147" s="394">
        <f>INDEX(Constants!$A$2:$AR$100,MATCH(AEA_CPP!$A147,Constants!$A$2:$A$100,0),23)+F138</f>
        <v>59.06</v>
      </c>
      <c r="G147" s="394">
        <f>INDEX(Constants!$A$2:$AR$100,MATCH(AEA_CPP!$A147,Constants!$A$2:$A$100,0),25)+G138</f>
        <v>23.209999999999997</v>
      </c>
      <c r="H147" s="394">
        <f>INDEX(Constants!$A$2:$AR$100,MATCH(AEA_CPP!$A147,Constants!$A$2:$A$100,0),27)+H138</f>
        <v>2.95</v>
      </c>
    </row>
    <row r="148" spans="1:8" x14ac:dyDescent="0.2">
      <c r="A148">
        <f t="shared" si="0"/>
        <v>2022</v>
      </c>
      <c r="B148" s="529">
        <f t="shared" si="4"/>
        <v>12</v>
      </c>
      <c r="C148" t="str">
        <f t="shared" si="4"/>
        <v>NORTHWEST AEA</v>
      </c>
      <c r="D148" s="394">
        <f>INDEX(Constants!$A$2:$AR$100,MATCH(AEA_CPP!$A148,Constants!$A$2:$A$100,0),19)+D139</f>
        <v>296.32</v>
      </c>
      <c r="E148" s="394">
        <f>INDEX(Constants!$A$2:$AR$100,MATCH(AEA_CPP!$A148,Constants!$A$2:$A$100,0),21)+E139</f>
        <v>54.21</v>
      </c>
      <c r="F148" s="394">
        <f>INDEX(Constants!$A$2:$AR$100,MATCH(AEA_CPP!$A148,Constants!$A$2:$A$100,0),23)+F139</f>
        <v>60.84</v>
      </c>
      <c r="G148" s="394">
        <f>INDEX(Constants!$A$2:$AR$100,MATCH(AEA_CPP!$A148,Constants!$A$2:$A$100,0),25)+G139</f>
        <v>29.77</v>
      </c>
      <c r="H148" s="394">
        <f>INDEX(Constants!$A$2:$AR$100,MATCH(AEA_CPP!$A148,Constants!$A$2:$A$100,0),27)+H139</f>
        <v>3.56</v>
      </c>
    </row>
    <row r="149" spans="1:8" x14ac:dyDescent="0.2">
      <c r="A149">
        <f t="shared" si="0"/>
        <v>2022</v>
      </c>
      <c r="B149" s="529">
        <f t="shared" si="4"/>
        <v>13</v>
      </c>
      <c r="C149" t="str">
        <f t="shared" si="4"/>
        <v>GREEN HILLS AEA 13</v>
      </c>
      <c r="D149" s="394">
        <f>INDEX(Constants!$A$2:$AR$100,MATCH(AEA_CPP!$A149,Constants!$A$2:$A$100,0),19)+D140</f>
        <v>289.74</v>
      </c>
      <c r="E149" s="394">
        <f>INDEX(Constants!$A$2:$AR$100,MATCH(AEA_CPP!$A149,Constants!$A$2:$A$100,0),21)+E140</f>
        <v>53.93</v>
      </c>
      <c r="F149" s="394">
        <f>INDEX(Constants!$A$2:$AR$100,MATCH(AEA_CPP!$A149,Constants!$A$2:$A$100,0),23)+F140</f>
        <v>59.64</v>
      </c>
      <c r="G149" s="394">
        <f>INDEX(Constants!$A$2:$AR$100,MATCH(AEA_CPP!$A149,Constants!$A$2:$A$100,0),25)+G140</f>
        <v>29.75</v>
      </c>
      <c r="H149" s="394">
        <f>INDEX(Constants!$A$2:$AR$100,MATCH(AEA_CPP!$A149,Constants!$A$2:$A$100,0),27)+H140</f>
        <v>3.17</v>
      </c>
    </row>
    <row r="150" spans="1:8" x14ac:dyDescent="0.2">
      <c r="A150">
        <f t="shared" si="0"/>
        <v>2022</v>
      </c>
      <c r="B150" s="529">
        <f t="shared" si="4"/>
        <v>15</v>
      </c>
      <c r="C150" t="str">
        <f t="shared" si="4"/>
        <v>GREAT PRAIRIE AEA 15</v>
      </c>
      <c r="D150" s="394">
        <f>INDEX(Constants!$A$2:$AR$100,MATCH(AEA_CPP!$A150,Constants!$A$2:$A$100,0),19)+D141</f>
        <v>287.10000000000002</v>
      </c>
      <c r="E150" s="394">
        <f>INDEX(Constants!$A$2:$AR$100,MATCH(AEA_CPP!$A150,Constants!$A$2:$A$100,0),21)+E141</f>
        <v>53.9</v>
      </c>
      <c r="F150" s="394">
        <f>INDEX(Constants!$A$2:$AR$100,MATCH(AEA_CPP!$A150,Constants!$A$2:$A$100,0),23)+F141</f>
        <v>59.21</v>
      </c>
      <c r="G150" s="394">
        <f>INDEX(Constants!$A$2:$AR$100,MATCH(AEA_CPP!$A150,Constants!$A$2:$A$100,0),25)+G141</f>
        <v>28.759999999999998</v>
      </c>
      <c r="H150" s="394">
        <f>INDEX(Constants!$A$2:$AR$100,MATCH(AEA_CPP!$A150,Constants!$A$2:$A$100,0),27)+H141</f>
        <v>3.12</v>
      </c>
    </row>
  </sheetData>
  <sheetProtection password="C47C"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sheetPr>
  <dimension ref="A1:BE337"/>
  <sheetViews>
    <sheetView workbookViewId="0">
      <pane xSplit="3" ySplit="2" topLeftCell="BE313" activePane="bottomRight" state="frozen"/>
      <selection activeCell="A2" sqref="A2"/>
      <selection pane="topRight" activeCell="A2" sqref="A2"/>
      <selection pane="bottomLeft" activeCell="A2" sqref="A2"/>
      <selection pane="bottomRight" activeCell="A2" sqref="A2"/>
    </sheetView>
  </sheetViews>
  <sheetFormatPr defaultRowHeight="11.25" x14ac:dyDescent="0.2"/>
  <cols>
    <col min="1" max="1" width="9.140625" style="279"/>
    <col min="2" max="2" width="9.140625" style="305" customWidth="1"/>
    <col min="3" max="3" width="24.85546875" style="541" customWidth="1"/>
    <col min="4" max="4" width="16.140625" style="550" customWidth="1"/>
    <col min="5" max="5" width="16.140625" style="542" customWidth="1"/>
    <col min="6" max="6" width="17.140625" style="542" customWidth="1"/>
    <col min="7" max="7" width="16.140625" style="541" customWidth="1"/>
    <col min="8" max="8" width="17.140625" style="547" customWidth="1"/>
    <col min="9" max="9" width="17.42578125" bestFit="1" customWidth="1"/>
    <col min="10" max="10" width="18.28515625" style="542" customWidth="1"/>
    <col min="11" max="11" width="19.28515625" customWidth="1"/>
    <col min="12" max="12" width="16.140625" style="544" customWidth="1"/>
    <col min="13" max="13" width="16.42578125" style="541" bestFit="1" customWidth="1"/>
    <col min="14" max="14" width="16.42578125" bestFit="1" customWidth="1"/>
    <col min="15" max="16" width="17.42578125" bestFit="1" customWidth="1"/>
    <col min="17" max="17" width="13.5703125" customWidth="1"/>
    <col min="18" max="18" width="17.140625" style="548" customWidth="1"/>
    <col min="19" max="20" width="17.42578125" style="542" bestFit="1" customWidth="1"/>
    <col min="21" max="21" width="17.42578125" style="541" bestFit="1" customWidth="1"/>
    <col min="22" max="22" width="17.42578125" bestFit="1" customWidth="1"/>
    <col min="23" max="23" width="26.140625" style="542" customWidth="1"/>
    <col min="24" max="24" width="17.140625" style="542" customWidth="1"/>
    <col min="25" max="25" width="20.140625" style="542" customWidth="1"/>
    <col min="26" max="26" width="17.140625" style="542" customWidth="1"/>
    <col min="27" max="28" width="17.42578125" style="541" bestFit="1" customWidth="1"/>
    <col min="29" max="29" width="17.42578125" bestFit="1" customWidth="1"/>
    <col min="30" max="30" width="16.140625" style="543" customWidth="1"/>
    <col min="31" max="31" width="18.7109375" bestFit="1" customWidth="1"/>
    <col min="32" max="32" width="16.42578125" bestFit="1" customWidth="1"/>
    <col min="33" max="33" width="15" customWidth="1"/>
    <col min="34" max="34" width="13.28515625" customWidth="1"/>
    <col min="35" max="35" width="16.140625" style="543" customWidth="1"/>
    <col min="36" max="36" width="20.140625" style="542" customWidth="1"/>
    <col min="37" max="37" width="17" customWidth="1"/>
    <col min="38" max="39" width="17.42578125" bestFit="1" customWidth="1"/>
    <col min="40" max="40" width="13.140625" style="541" customWidth="1"/>
    <col min="41" max="41" width="13.28515625" style="549" bestFit="1" customWidth="1"/>
    <col min="42" max="42" width="17.42578125" style="542" bestFit="1" customWidth="1"/>
    <col min="43" max="43" width="17.42578125" bestFit="1" customWidth="1"/>
    <col min="44" max="46" width="18.42578125" bestFit="1" customWidth="1"/>
    <col min="47" max="47" width="18.42578125" customWidth="1"/>
    <col min="48" max="48" width="29.42578125" customWidth="1"/>
    <col min="49" max="49" width="15" style="543" customWidth="1"/>
    <col min="50" max="50" width="16.140625" style="548" customWidth="1"/>
    <col min="51" max="51" width="17.140625" style="280" customWidth="1"/>
    <col min="52" max="52" width="17.140625" style="544" customWidth="1"/>
    <col min="53" max="53" width="17.140625" style="542" customWidth="1"/>
    <col min="54" max="54" width="17.140625" style="547" customWidth="1"/>
    <col min="55" max="55" width="24" customWidth="1"/>
    <col min="57" max="57" width="23.7109375" style="541" bestFit="1" customWidth="1"/>
    <col min="58" max="16384" width="9.140625" style="541"/>
  </cols>
  <sheetData>
    <row r="1" spans="1:57" s="546" customFormat="1" x14ac:dyDescent="0.2">
      <c r="D1" s="467" t="str">
        <f>CONCATENATE("AidLevy-B",MATCH(D$2,AidLevy!$G$1:$G$428,0))</f>
        <v>AidLevy-B5</v>
      </c>
      <c r="E1" s="467" t="str">
        <f>CONCATENATE("AidLevy-B",MATCH(E$2,AidLevy!$G$1:$G$428,0))</f>
        <v>AidLevy-B7</v>
      </c>
      <c r="F1" s="467" t="str">
        <f>CONCATENATE("AidLevy-B",MATCH(F$2,AidLevy!$G$1:$G$428,0))</f>
        <v>AidLevy-B16</v>
      </c>
      <c r="G1" s="467" t="str">
        <f>CONCATENATE("AidLevy-B",MATCH(G$2,AidLevy!$G$1:$G$428,0))</f>
        <v>AidLevy-B19</v>
      </c>
      <c r="H1" s="467" t="str">
        <f>CONCATENATE("AidLevy-B",MATCH(H$2,AidLevy!$G$1:$G$428,0))</f>
        <v>AidLevy-B22</v>
      </c>
      <c r="I1" s="467" t="str">
        <f>CONCATENATE("AidLevy-B",MATCH(I$2,AidLevy!$G$1:$G$428,0))</f>
        <v>AidLevy-B25</v>
      </c>
      <c r="J1" s="467" t="str">
        <f>CONCATENATE("AidLevy-B",MATCH(J$2,AidLevy!$G$1:$G$428,0))</f>
        <v>AidLevy-B29</v>
      </c>
      <c r="K1" s="467" t="str">
        <f>CONCATENATE("AidLevy-B",MATCH(K$2,AidLevy!$G$1:$G$428,0))</f>
        <v>AidLevy-B30</v>
      </c>
      <c r="L1" s="467" t="str">
        <f>CONCATENATE("AidLevy-B",MATCH(L$2,AidLevy!$G$1:$G$428,0))</f>
        <v>AidLevy-B31</v>
      </c>
      <c r="M1" s="467" t="str">
        <f>CONCATENATE("AidLevy-B",MATCH(M$2,AidLevy!$G$1:$G$428,0))</f>
        <v>AidLevy-B35</v>
      </c>
      <c r="N1" s="594" t="str">
        <f>CONCATENATE("AidLevy-B",MATCH(N$2,AidLevy!$G$1:$G$428,0))</f>
        <v>AidLevy-B37</v>
      </c>
      <c r="O1" s="629" t="str">
        <f>CONCATENATE("AidLevy-B",MATCH(O$2,AidLevy!$G$1:$G$428,0))</f>
        <v>AidLevy-B38</v>
      </c>
      <c r="P1" s="629" t="str">
        <f>CONCATENATE("AidLevy-B",MATCH(P$2,AidLevy!$G$1:$G$428,0))</f>
        <v>AidLevy-B39</v>
      </c>
      <c r="Q1" s="629" t="str">
        <f>CONCATENATE("AidLevy-B",MATCH(Q$2,AidLevy!$G$1:$G$428,0))</f>
        <v>AidLevy-B40</v>
      </c>
      <c r="R1" s="629" t="str">
        <f>CONCATENATE("AidLevy-B",MATCH(R$2,AidLevy!$G$1:$G$428,0))</f>
        <v>AidLevy-B50</v>
      </c>
      <c r="S1" s="629" t="str">
        <f>CONCATENATE("AidLevy-B",MATCH(S$2,AidLevy!$G$1:$G$428,0))</f>
        <v>AidLevy-B65</v>
      </c>
      <c r="T1" s="629" t="str">
        <f>CONCATENATE("AidLevy-B",MATCH(T$2,AidLevy!$G$1:$G$428,0))</f>
        <v>AidLevy-B73</v>
      </c>
      <c r="U1" s="629" t="str">
        <f>CONCATENATE("AidLevy-B",MATCH(U$2,AidLevy!$G$1:$G$428,0))</f>
        <v>AidLevy-B81</v>
      </c>
      <c r="V1" s="629" t="str">
        <f>CONCATENATE("AidLevy-B",MATCH(V$2,AidLevy!$G$1:$G$428,0))</f>
        <v>AidLevy-B89</v>
      </c>
      <c r="W1" s="629" t="str">
        <f>CONCATENATE("AidLevy-B",MATCH(W$2,AidLevy!$G$1:$G$428,0))</f>
        <v>AidLevy-B98</v>
      </c>
      <c r="X1" s="629" t="str">
        <f>CONCATENATE("AidLevy-B",MATCH(X$2,AidLevy!$G$1:$G$428,0))</f>
        <v>AidLevy-B99</v>
      </c>
      <c r="Y1" s="629" t="str">
        <f>CONCATENATE("AidLevy-B",MATCH(Y$2,AidLevy!$G$1:$G$428,0))</f>
        <v>AidLevy-B104</v>
      </c>
      <c r="Z1" s="629" t="str">
        <f>CONCATENATE("AidLevy-B",MATCH(Z$2,AidLevy!$G$1:$G$428,0))</f>
        <v>AidLevy-B105</v>
      </c>
      <c r="AA1" s="629" t="str">
        <f>CONCATENATE("AidLevy-B",MATCH(AA$2,AidLevy!$G$1:$G$428,0))</f>
        <v>AidLevy-B118</v>
      </c>
      <c r="AB1" s="629" t="str">
        <f>CONCATENATE("AidLevy-B",MATCH(AB$2,AidLevy!$G$1:$G$428,0))</f>
        <v>AidLevy-B126</v>
      </c>
      <c r="AC1" s="629" t="str">
        <f>CONCATENATE("AidLevy-B",MATCH(AC$2,AidLevy!$G$1:$G$428,0))</f>
        <v>AidLevy-B147</v>
      </c>
      <c r="AD1" s="467" t="str">
        <f>CONCATENATE("AidLevy-B",MATCH(AD$2,AidLevy!$G$1:$G$428,0))</f>
        <v>AidLevy-B153</v>
      </c>
      <c r="AE1" s="629" t="str">
        <f>CONCATENATE("AidLevy-B",MATCH(AE$2,AidLevy!$G$1:$G$428,0))</f>
        <v>AidLevy-B156</v>
      </c>
      <c r="AF1" s="629" t="str">
        <f>CONCATENATE("AidLevy-B",MATCH(AF$2,AidLevy!$G$1:$G$428,0))</f>
        <v>AidLevy-B157</v>
      </c>
      <c r="AG1" s="629" t="str">
        <f>CONCATENATE("AidLevy-B",MATCH(AG$2,AidLevy!$G$1:$G$428,0))</f>
        <v>AidLevy-B167</v>
      </c>
      <c r="AH1" s="629" t="str">
        <f>CONCATENATE("AidLevy-B",MATCH(AH$2,AidLevy!$G$1:$G$428,0))</f>
        <v>AidLevy-B168</v>
      </c>
      <c r="AI1" s="629" t="str">
        <f>CONCATENATE("AidLevy-B",MATCH(AI$2,AidLevy!$G$1:$G$428,0))</f>
        <v>AidLevy-B203</v>
      </c>
      <c r="AJ1" s="629" t="str">
        <f>CONCATENATE("AidLevy-B",MATCH(AJ$2,AidLevy!$G$1:$G$428,0))</f>
        <v>AidLevy-B218</v>
      </c>
      <c r="AK1" s="629" t="str">
        <f>CONCATENATE("AidLevy-B",MATCH(AK$2,AidLevy!$G$1:$G$428,0))</f>
        <v>AidLevy-B222</v>
      </c>
      <c r="AL1" s="629" t="str">
        <f>CONCATENATE("AidLevy-B",MATCH(AL$2,AidLevy!$G$1:$G$428,0))</f>
        <v>AidLevy-B255</v>
      </c>
      <c r="AM1" s="692" t="s">
        <v>1731</v>
      </c>
      <c r="AN1" s="629" t="s">
        <v>1599</v>
      </c>
      <c r="AO1" s="629" t="s">
        <v>1723</v>
      </c>
      <c r="AP1" s="697" t="s">
        <v>1729</v>
      </c>
      <c r="AQ1" s="697" t="s">
        <v>1730</v>
      </c>
      <c r="AR1" s="692" t="s">
        <v>1707</v>
      </c>
      <c r="AS1" s="692" t="s">
        <v>1708</v>
      </c>
      <c r="AU1" s="628" t="str">
        <f>CONCATENATE("FY ",DoM!$B$5-1)</f>
        <v>FY 2016</v>
      </c>
      <c r="AV1" s="628" t="str">
        <f>CONCATENATE("FY ",DoM!$B$5)</f>
        <v>FY 2017</v>
      </c>
      <c r="AW1" s="546" t="str">
        <f>InputsResults!I22</f>
        <v>Fall 2014 Certified Enrollment Change</v>
      </c>
      <c r="AX1" s="546" t="str">
        <f>InputsResults!I23</f>
        <v>Fall 2014 Supplementary Weight Change - Sharing and ELL</v>
      </c>
      <c r="AY1" s="546" t="str">
        <f>InputsResults!I24</f>
        <v>Fall 2015 Certified Enrollment Change</v>
      </c>
      <c r="AZ1" s="546" t="str">
        <f>InputsResults!I25</f>
        <v>Fall 2015 Supplementary Weight Change  - Sharing and ELL</v>
      </c>
    </row>
    <row r="2" spans="1:57" s="546" customFormat="1" x14ac:dyDescent="0.2">
      <c r="A2" s="466" t="s">
        <v>999</v>
      </c>
      <c r="B2" s="305" t="s">
        <v>1000</v>
      </c>
      <c r="C2" s="546" t="s">
        <v>1001</v>
      </c>
      <c r="D2" s="559" t="s">
        <v>1379</v>
      </c>
      <c r="E2" s="553" t="s">
        <v>1377</v>
      </c>
      <c r="F2" s="469" t="s">
        <v>1466</v>
      </c>
      <c r="G2" s="469" t="s">
        <v>1467</v>
      </c>
      <c r="H2" s="469" t="s">
        <v>1468</v>
      </c>
      <c r="I2" s="470" t="s">
        <v>1735</v>
      </c>
      <c r="J2" s="557" t="s">
        <v>1380</v>
      </c>
      <c r="K2" s="557" t="s">
        <v>1381</v>
      </c>
      <c r="L2" s="557" t="s">
        <v>1382</v>
      </c>
      <c r="M2" s="553" t="s">
        <v>1391</v>
      </c>
      <c r="N2" s="552" t="s">
        <v>1383</v>
      </c>
      <c r="O2" s="461" t="s">
        <v>1384</v>
      </c>
      <c r="P2" s="556" t="s">
        <v>1385</v>
      </c>
      <c r="Q2" s="552" t="s">
        <v>1386</v>
      </c>
      <c r="R2" s="468" t="s">
        <v>1616</v>
      </c>
      <c r="S2" s="470" t="s">
        <v>1602</v>
      </c>
      <c r="T2" s="470" t="s">
        <v>1603</v>
      </c>
      <c r="U2" s="470" t="s">
        <v>1604</v>
      </c>
      <c r="V2" s="470" t="s">
        <v>1665</v>
      </c>
      <c r="W2" s="470" t="s">
        <v>1724</v>
      </c>
      <c r="X2" s="470" t="s">
        <v>1725</v>
      </c>
      <c r="Y2" s="470" t="s">
        <v>1727</v>
      </c>
      <c r="Z2" s="479" t="s">
        <v>1728</v>
      </c>
      <c r="AA2" s="470" t="s">
        <v>1733</v>
      </c>
      <c r="AB2" s="470" t="s">
        <v>1734</v>
      </c>
      <c r="AC2" s="468" t="s">
        <v>1726</v>
      </c>
      <c r="AD2" s="554" t="s">
        <v>1006</v>
      </c>
      <c r="AE2" s="555" t="s">
        <v>1387</v>
      </c>
      <c r="AF2" s="546" t="s">
        <v>1388</v>
      </c>
      <c r="AG2" s="470" t="s">
        <v>1605</v>
      </c>
      <c r="AH2" s="470" t="s">
        <v>1606</v>
      </c>
      <c r="AI2" s="480" t="s">
        <v>1732</v>
      </c>
      <c r="AJ2" s="553" t="s">
        <v>1408</v>
      </c>
      <c r="AK2" s="553" t="s">
        <v>1378</v>
      </c>
      <c r="AL2" s="470" t="s">
        <v>1600</v>
      </c>
      <c r="AM2" s="470" t="s">
        <v>1601</v>
      </c>
      <c r="AN2" s="546" t="s">
        <v>1003</v>
      </c>
      <c r="AO2" s="558" t="s">
        <v>1004</v>
      </c>
      <c r="AP2" s="546" t="s">
        <v>1389</v>
      </c>
      <c r="AQ2" s="546" t="s">
        <v>1390</v>
      </c>
      <c r="AR2" s="470" t="s">
        <v>1607</v>
      </c>
      <c r="AS2" s="470" t="s">
        <v>1608</v>
      </c>
      <c r="AT2" s="468" t="s">
        <v>1905</v>
      </c>
      <c r="AU2" s="468" t="s">
        <v>1915</v>
      </c>
      <c r="AV2" s="619" t="s">
        <v>1906</v>
      </c>
      <c r="AW2" s="621" t="s">
        <v>1907</v>
      </c>
      <c r="AX2" s="619" t="s">
        <v>1908</v>
      </c>
      <c r="AY2" s="619" t="s">
        <v>1909</v>
      </c>
      <c r="AZ2" s="619" t="s">
        <v>1910</v>
      </c>
      <c r="BA2" s="619" t="s">
        <v>1913</v>
      </c>
      <c r="BB2" s="671" t="s">
        <v>2017</v>
      </c>
      <c r="BC2" s="468" t="s">
        <v>2059</v>
      </c>
      <c r="BD2" s="671" t="s">
        <v>2063</v>
      </c>
      <c r="BE2" s="671" t="s">
        <v>2084</v>
      </c>
    </row>
    <row r="3" spans="1:57" x14ac:dyDescent="0.2">
      <c r="A3" s="390">
        <v>11</v>
      </c>
      <c r="B3" s="551" t="s">
        <v>75</v>
      </c>
      <c r="C3" t="s">
        <v>1007</v>
      </c>
      <c r="D3" s="406">
        <v>300.2</v>
      </c>
      <c r="E3" s="560">
        <v>6591</v>
      </c>
      <c r="F3" s="561">
        <v>620.58000000000004</v>
      </c>
      <c r="G3" s="561">
        <v>61.7</v>
      </c>
      <c r="H3" s="561">
        <v>68.17</v>
      </c>
      <c r="I3" s="561">
        <v>319.72000000000003</v>
      </c>
      <c r="J3" s="561">
        <v>14.399999999999999</v>
      </c>
      <c r="K3" s="561">
        <v>13.31</v>
      </c>
      <c r="L3" s="561">
        <v>4.1100000000000003</v>
      </c>
      <c r="M3" s="343">
        <v>0</v>
      </c>
      <c r="N3" s="477">
        <v>29.36</v>
      </c>
      <c r="O3" s="477">
        <v>1.4020000000000001</v>
      </c>
      <c r="P3" s="407">
        <v>0</v>
      </c>
      <c r="Q3" s="477">
        <v>0</v>
      </c>
      <c r="R3" s="483">
        <v>2035960</v>
      </c>
      <c r="S3" s="483">
        <v>191697</v>
      </c>
      <c r="T3" s="483">
        <v>19059</v>
      </c>
      <c r="U3" s="483">
        <v>21058</v>
      </c>
      <c r="V3" s="483">
        <v>98762</v>
      </c>
      <c r="W3" s="483">
        <v>98534</v>
      </c>
      <c r="X3" s="483">
        <v>7789</v>
      </c>
      <c r="Y3" s="483">
        <v>0</v>
      </c>
      <c r="Z3" s="406">
        <v>0</v>
      </c>
      <c r="AA3" s="483">
        <v>8119</v>
      </c>
      <c r="AB3" s="483">
        <v>1032</v>
      </c>
      <c r="AC3" s="385">
        <v>5713</v>
      </c>
      <c r="AD3" s="545">
        <v>5.4</v>
      </c>
      <c r="AE3" s="483">
        <v>90845</v>
      </c>
      <c r="AF3" s="483">
        <v>93323</v>
      </c>
      <c r="AG3" s="481">
        <v>69770</v>
      </c>
      <c r="AH3" s="481">
        <v>22348</v>
      </c>
      <c r="AI3">
        <v>9</v>
      </c>
      <c r="AJ3" s="385">
        <v>161580192</v>
      </c>
      <c r="AK3" s="385">
        <v>6538</v>
      </c>
      <c r="AL3" s="385">
        <v>575</v>
      </c>
      <c r="AM3" s="287">
        <v>0</v>
      </c>
      <c r="AN3" s="542">
        <v>330000</v>
      </c>
      <c r="AO3" s="549">
        <v>0.17</v>
      </c>
      <c r="AP3" s="385">
        <v>44192</v>
      </c>
      <c r="AQ3" s="385">
        <v>45397</v>
      </c>
      <c r="AR3" s="481">
        <v>33940</v>
      </c>
      <c r="AS3" s="481">
        <v>11535</v>
      </c>
      <c r="AT3" s="617"/>
      <c r="AU3" s="618">
        <v>1724</v>
      </c>
      <c r="AV3" s="618">
        <v>94914</v>
      </c>
      <c r="AW3" s="620"/>
      <c r="AX3" s="620"/>
      <c r="AY3" s="625"/>
      <c r="AZ3" s="626"/>
      <c r="BA3" s="620"/>
      <c r="BB3" s="673">
        <v>0</v>
      </c>
      <c r="BC3" s="781">
        <v>3.4000000000000002E-2</v>
      </c>
      <c r="BD3" s="790">
        <v>39</v>
      </c>
      <c r="BE3" s="673">
        <v>139055.31</v>
      </c>
    </row>
    <row r="4" spans="1:57" x14ac:dyDescent="0.2">
      <c r="A4" s="390">
        <v>11</v>
      </c>
      <c r="B4" s="551" t="s">
        <v>76</v>
      </c>
      <c r="C4" t="s">
        <v>654</v>
      </c>
      <c r="D4" s="406">
        <v>1655.1</v>
      </c>
      <c r="E4" s="560">
        <v>6611</v>
      </c>
      <c r="F4" s="561">
        <v>579.25</v>
      </c>
      <c r="G4" s="561">
        <v>62.620000000000005</v>
      </c>
      <c r="H4" s="561">
        <v>65.05</v>
      </c>
      <c r="I4" s="561">
        <v>319.72000000000003</v>
      </c>
      <c r="J4" s="561">
        <v>49.68</v>
      </c>
      <c r="K4" s="561">
        <v>67.760000000000005</v>
      </c>
      <c r="L4" s="561">
        <v>35.619999999999997</v>
      </c>
      <c r="M4" s="343">
        <v>0</v>
      </c>
      <c r="N4" s="477">
        <v>10.88</v>
      </c>
      <c r="O4" s="477">
        <v>5.6920000000000002</v>
      </c>
      <c r="P4" s="407">
        <v>1.1000000000000001</v>
      </c>
      <c r="Q4" s="477">
        <v>0</v>
      </c>
      <c r="R4" s="483">
        <v>10373320</v>
      </c>
      <c r="S4" s="483">
        <v>908901</v>
      </c>
      <c r="T4" s="483">
        <v>98257</v>
      </c>
      <c r="U4" s="483">
        <v>102070</v>
      </c>
      <c r="V4" s="483">
        <v>501673</v>
      </c>
      <c r="W4" s="483">
        <v>483554</v>
      </c>
      <c r="X4" s="483">
        <v>0</v>
      </c>
      <c r="Y4" s="483">
        <v>25</v>
      </c>
      <c r="Z4" s="406">
        <v>0</v>
      </c>
      <c r="AA4" s="483">
        <v>39844</v>
      </c>
      <c r="AB4" s="483">
        <v>5064</v>
      </c>
      <c r="AC4" s="385">
        <v>20671</v>
      </c>
      <c r="AD4" s="545">
        <v>5.4</v>
      </c>
      <c r="AE4" s="483">
        <v>76121</v>
      </c>
      <c r="AF4" s="483">
        <v>78350</v>
      </c>
      <c r="AG4" s="481">
        <v>38144</v>
      </c>
      <c r="AH4" s="481">
        <v>19584</v>
      </c>
      <c r="AI4">
        <v>0</v>
      </c>
      <c r="AJ4" s="385">
        <v>389325301</v>
      </c>
      <c r="AK4" s="385">
        <v>16658</v>
      </c>
      <c r="AL4" s="385">
        <v>0</v>
      </c>
      <c r="AM4" s="287">
        <v>0</v>
      </c>
      <c r="AN4" s="542">
        <v>330000</v>
      </c>
      <c r="AO4" s="549">
        <v>0.17</v>
      </c>
      <c r="AP4" s="385">
        <v>67759</v>
      </c>
      <c r="AQ4" s="385">
        <v>69743</v>
      </c>
      <c r="AR4" s="481">
        <v>33954</v>
      </c>
      <c r="AS4" s="481">
        <v>17558</v>
      </c>
      <c r="AT4" s="617"/>
      <c r="AU4" s="618">
        <v>0</v>
      </c>
      <c r="AV4" s="618">
        <v>0</v>
      </c>
      <c r="AW4" s="620"/>
      <c r="AX4" s="620"/>
      <c r="AY4" s="625"/>
      <c r="AZ4" s="626"/>
      <c r="BA4" s="620"/>
      <c r="BB4" s="673">
        <v>0</v>
      </c>
      <c r="BC4" s="781">
        <v>0.05</v>
      </c>
      <c r="BD4" s="790">
        <v>25</v>
      </c>
      <c r="BE4" s="673">
        <v>126629.41</v>
      </c>
    </row>
    <row r="5" spans="1:57" x14ac:dyDescent="0.2">
      <c r="A5" s="390">
        <v>7</v>
      </c>
      <c r="B5" s="551" t="s">
        <v>77</v>
      </c>
      <c r="C5" t="s">
        <v>998</v>
      </c>
      <c r="D5" s="406">
        <v>622.70000000000005</v>
      </c>
      <c r="E5" s="560">
        <v>6701</v>
      </c>
      <c r="F5" s="561">
        <v>595.74</v>
      </c>
      <c r="G5" s="561">
        <v>64.209999999999994</v>
      </c>
      <c r="H5" s="561">
        <v>55.9</v>
      </c>
      <c r="I5" s="561">
        <v>319.72000000000003</v>
      </c>
      <c r="J5" s="561">
        <v>25.2</v>
      </c>
      <c r="K5" s="561">
        <v>30.25</v>
      </c>
      <c r="L5" s="561">
        <v>19.18</v>
      </c>
      <c r="M5" s="343">
        <v>0</v>
      </c>
      <c r="N5" s="477">
        <v>11.16</v>
      </c>
      <c r="O5" s="477">
        <v>3.141</v>
      </c>
      <c r="P5" s="407">
        <v>1.32</v>
      </c>
      <c r="Q5" s="477">
        <v>0</v>
      </c>
      <c r="R5" s="483">
        <v>4191476</v>
      </c>
      <c r="S5" s="483">
        <v>372635</v>
      </c>
      <c r="T5" s="483">
        <v>40163</v>
      </c>
      <c r="U5" s="483">
        <v>34965</v>
      </c>
      <c r="V5" s="483">
        <v>199985</v>
      </c>
      <c r="W5" s="483">
        <v>205025</v>
      </c>
      <c r="X5" s="483">
        <v>3558</v>
      </c>
      <c r="Y5" s="483">
        <v>10</v>
      </c>
      <c r="Z5" s="406">
        <v>0.2</v>
      </c>
      <c r="AA5" s="483">
        <v>25997</v>
      </c>
      <c r="AB5" s="483">
        <v>2987</v>
      </c>
      <c r="AC5" s="385">
        <v>13927</v>
      </c>
      <c r="AD5" s="545">
        <v>5.4</v>
      </c>
      <c r="AE5" s="483">
        <v>45774</v>
      </c>
      <c r="AF5" s="483">
        <v>46224</v>
      </c>
      <c r="AG5" s="481">
        <v>18022</v>
      </c>
      <c r="AH5" s="481">
        <v>14730</v>
      </c>
      <c r="AI5">
        <v>13</v>
      </c>
      <c r="AJ5" s="385">
        <v>334618359</v>
      </c>
      <c r="AK5" s="385">
        <v>62559</v>
      </c>
      <c r="AL5" s="385">
        <v>0</v>
      </c>
      <c r="AM5" s="287">
        <v>0</v>
      </c>
      <c r="AN5" s="542">
        <v>330000</v>
      </c>
      <c r="AO5" s="549">
        <v>0.17</v>
      </c>
      <c r="AP5" s="385">
        <v>20239</v>
      </c>
      <c r="AQ5" s="385">
        <v>20438</v>
      </c>
      <c r="AR5" s="481">
        <v>7968</v>
      </c>
      <c r="AS5" s="481">
        <v>6574</v>
      </c>
      <c r="AT5" s="617"/>
      <c r="AU5" s="618">
        <v>0</v>
      </c>
      <c r="AV5" s="618">
        <v>0</v>
      </c>
      <c r="AW5" s="620"/>
      <c r="AX5" s="620"/>
      <c r="AY5" s="625"/>
      <c r="AZ5" s="626"/>
      <c r="BA5" s="620"/>
      <c r="BB5" s="673">
        <v>887135</v>
      </c>
      <c r="BC5" s="781">
        <v>3.7999999999999999E-2</v>
      </c>
      <c r="BD5" s="790">
        <v>38</v>
      </c>
      <c r="BE5" s="673">
        <v>36947.75</v>
      </c>
    </row>
    <row r="6" spans="1:57" x14ac:dyDescent="0.2">
      <c r="A6" s="390">
        <v>13</v>
      </c>
      <c r="B6" s="551" t="s">
        <v>78</v>
      </c>
      <c r="C6" t="s">
        <v>1785</v>
      </c>
      <c r="D6" s="406">
        <v>778.4</v>
      </c>
      <c r="E6" s="560">
        <v>6636</v>
      </c>
      <c r="F6" s="561">
        <v>532.15</v>
      </c>
      <c r="G6" s="561">
        <v>53.230000000000004</v>
      </c>
      <c r="H6" s="561">
        <v>59.29</v>
      </c>
      <c r="I6" s="561">
        <v>319.72000000000003</v>
      </c>
      <c r="J6" s="561">
        <v>37.44</v>
      </c>
      <c r="K6" s="561">
        <v>9.6900000000000013</v>
      </c>
      <c r="L6" s="561">
        <v>31.51</v>
      </c>
      <c r="M6" s="343">
        <v>0</v>
      </c>
      <c r="N6" s="477">
        <v>25.38</v>
      </c>
      <c r="O6" s="477">
        <v>3.5419999999999998</v>
      </c>
      <c r="P6" s="407">
        <v>0</v>
      </c>
      <c r="Q6" s="477">
        <v>63.7</v>
      </c>
      <c r="R6" s="483">
        <v>5209260</v>
      </c>
      <c r="S6" s="483">
        <v>417738</v>
      </c>
      <c r="T6" s="483">
        <v>41786</v>
      </c>
      <c r="U6" s="483">
        <v>46543</v>
      </c>
      <c r="V6" s="483">
        <v>250980</v>
      </c>
      <c r="W6" s="483">
        <v>251972</v>
      </c>
      <c r="X6" s="483">
        <v>0</v>
      </c>
      <c r="Y6" s="483">
        <v>0</v>
      </c>
      <c r="Z6" s="406">
        <v>0</v>
      </c>
      <c r="AA6" s="483">
        <v>25872</v>
      </c>
      <c r="AB6" s="483">
        <v>2757</v>
      </c>
      <c r="AC6" s="385">
        <v>14146</v>
      </c>
      <c r="AD6" s="545">
        <v>4.9947499999999998</v>
      </c>
      <c r="AE6" s="483">
        <v>114438</v>
      </c>
      <c r="AF6" s="483">
        <v>117830</v>
      </c>
      <c r="AG6" s="481">
        <v>84686</v>
      </c>
      <c r="AH6" s="481">
        <v>73117</v>
      </c>
      <c r="AI6">
        <v>22.5</v>
      </c>
      <c r="AJ6" s="385">
        <v>481950658</v>
      </c>
      <c r="AK6" s="385">
        <v>28097</v>
      </c>
      <c r="AL6" s="385">
        <v>0</v>
      </c>
      <c r="AM6" s="287">
        <v>0</v>
      </c>
      <c r="AN6" s="542">
        <v>330000</v>
      </c>
      <c r="AO6" s="549">
        <v>0.17</v>
      </c>
      <c r="AP6" s="385">
        <v>53424</v>
      </c>
      <c r="AQ6" s="385">
        <v>55008</v>
      </c>
      <c r="AR6" s="481">
        <v>31932</v>
      </c>
      <c r="AS6" s="481">
        <v>37201</v>
      </c>
      <c r="AT6" s="617"/>
      <c r="AU6" s="618">
        <v>0</v>
      </c>
      <c r="AV6" s="618">
        <v>0</v>
      </c>
      <c r="AW6" s="620"/>
      <c r="AX6" s="620"/>
      <c r="AY6" s="625"/>
      <c r="AZ6" s="626"/>
      <c r="BA6" s="620"/>
      <c r="BB6" s="673">
        <v>702213</v>
      </c>
      <c r="BC6" s="781">
        <v>0.05</v>
      </c>
      <c r="BD6" s="790">
        <v>78</v>
      </c>
      <c r="BE6" s="673">
        <v>202033.23</v>
      </c>
    </row>
    <row r="7" spans="1:57" x14ac:dyDescent="0.2">
      <c r="A7" s="390">
        <v>12</v>
      </c>
      <c r="B7" s="551" t="s">
        <v>79</v>
      </c>
      <c r="C7" t="s">
        <v>1008</v>
      </c>
      <c r="D7" s="406">
        <v>520.4</v>
      </c>
      <c r="E7" s="560">
        <v>6642</v>
      </c>
      <c r="F7" s="561">
        <v>609.70000000000005</v>
      </c>
      <c r="G7" s="561">
        <v>69.84</v>
      </c>
      <c r="H7" s="561">
        <v>67.2</v>
      </c>
      <c r="I7" s="561">
        <v>319.72000000000003</v>
      </c>
      <c r="J7" s="561">
        <v>28.799999999999997</v>
      </c>
      <c r="K7" s="561">
        <v>16.940000000000001</v>
      </c>
      <c r="L7" s="561">
        <v>27.4</v>
      </c>
      <c r="M7" s="343">
        <v>0</v>
      </c>
      <c r="N7" s="477">
        <v>23.19</v>
      </c>
      <c r="O7" s="477">
        <v>1.9410000000000001</v>
      </c>
      <c r="P7" s="407">
        <v>0.66</v>
      </c>
      <c r="Q7" s="477">
        <v>0</v>
      </c>
      <c r="R7" s="483">
        <v>3427272</v>
      </c>
      <c r="S7" s="483">
        <v>314605</v>
      </c>
      <c r="T7" s="483">
        <v>36037</v>
      </c>
      <c r="U7" s="483">
        <v>34675</v>
      </c>
      <c r="V7" s="483">
        <v>164976</v>
      </c>
      <c r="W7" s="483">
        <v>170713</v>
      </c>
      <c r="X7" s="483">
        <v>0</v>
      </c>
      <c r="Y7" s="483">
        <v>12</v>
      </c>
      <c r="Z7" s="406">
        <v>0</v>
      </c>
      <c r="AA7" s="483">
        <v>17151</v>
      </c>
      <c r="AB7" s="483">
        <v>2051</v>
      </c>
      <c r="AC7" s="385">
        <v>9158</v>
      </c>
      <c r="AD7" s="545">
        <v>5.4</v>
      </c>
      <c r="AE7" s="483">
        <v>7816</v>
      </c>
      <c r="AF7" s="483">
        <v>7805</v>
      </c>
      <c r="AG7" s="481">
        <v>6209</v>
      </c>
      <c r="AH7" s="481">
        <v>4780</v>
      </c>
      <c r="AI7">
        <v>9.5</v>
      </c>
      <c r="AJ7" s="385">
        <v>168913711</v>
      </c>
      <c r="AK7" s="385">
        <v>24791</v>
      </c>
      <c r="AL7" s="385">
        <v>0</v>
      </c>
      <c r="AM7" s="287">
        <v>0</v>
      </c>
      <c r="AN7" s="542">
        <v>330000</v>
      </c>
      <c r="AO7" s="549">
        <v>0.17</v>
      </c>
      <c r="AP7" s="385">
        <v>6005</v>
      </c>
      <c r="AQ7" s="385">
        <v>5997</v>
      </c>
      <c r="AR7" s="481">
        <v>4771</v>
      </c>
      <c r="AS7" s="481">
        <v>3698</v>
      </c>
      <c r="AT7" s="617"/>
      <c r="AU7" s="618">
        <v>131453</v>
      </c>
      <c r="AV7" s="618">
        <v>0</v>
      </c>
      <c r="AW7" s="620"/>
      <c r="AX7" s="620"/>
      <c r="AY7" s="625"/>
      <c r="AZ7" s="626"/>
      <c r="BA7" s="620"/>
      <c r="BB7" s="673">
        <v>0</v>
      </c>
      <c r="BC7" s="781">
        <v>4.3999999999999997E-2</v>
      </c>
      <c r="BD7" s="790">
        <v>75</v>
      </c>
      <c r="BE7" s="673">
        <v>15188.45</v>
      </c>
    </row>
    <row r="8" spans="1:57" x14ac:dyDescent="0.2">
      <c r="A8" s="390">
        <v>5</v>
      </c>
      <c r="B8" s="551" t="s">
        <v>80</v>
      </c>
      <c r="C8" t="s">
        <v>1009</v>
      </c>
      <c r="D8" s="406">
        <v>203.2</v>
      </c>
      <c r="E8" s="560">
        <v>6672</v>
      </c>
      <c r="F8" s="561">
        <v>487.63</v>
      </c>
      <c r="G8" s="561">
        <v>41</v>
      </c>
      <c r="H8" s="561">
        <v>42.47</v>
      </c>
      <c r="I8" s="561">
        <v>319.72000000000003</v>
      </c>
      <c r="J8" s="561">
        <v>8.64</v>
      </c>
      <c r="K8" s="561">
        <v>8.4700000000000006</v>
      </c>
      <c r="L8" s="561">
        <v>5.48</v>
      </c>
      <c r="M8" s="343">
        <v>0.66</v>
      </c>
      <c r="N8" s="477">
        <v>22.77</v>
      </c>
      <c r="O8" s="477">
        <v>1.0840000000000001</v>
      </c>
      <c r="P8" s="407">
        <v>1.1000000000000001</v>
      </c>
      <c r="Q8" s="477">
        <v>0</v>
      </c>
      <c r="R8" s="483">
        <v>1347744</v>
      </c>
      <c r="S8" s="483">
        <v>98501</v>
      </c>
      <c r="T8" s="483">
        <v>8282</v>
      </c>
      <c r="U8" s="483">
        <v>8579</v>
      </c>
      <c r="V8" s="483">
        <v>64583</v>
      </c>
      <c r="W8" s="483">
        <v>67931</v>
      </c>
      <c r="X8" s="483">
        <v>6341</v>
      </c>
      <c r="Y8" s="483">
        <v>2</v>
      </c>
      <c r="Z8" s="406">
        <v>0</v>
      </c>
      <c r="AA8" s="483">
        <v>7229</v>
      </c>
      <c r="AB8" s="483">
        <v>861</v>
      </c>
      <c r="AC8" s="385">
        <v>4671</v>
      </c>
      <c r="AD8" s="545">
        <v>5.4</v>
      </c>
      <c r="AE8" s="483">
        <v>67459</v>
      </c>
      <c r="AF8" s="483">
        <v>67891</v>
      </c>
      <c r="AG8" s="481">
        <v>9821</v>
      </c>
      <c r="AH8" s="481">
        <v>9820</v>
      </c>
      <c r="AI8">
        <v>9.5</v>
      </c>
      <c r="AJ8" s="385">
        <v>140917389</v>
      </c>
      <c r="AK8" s="385">
        <v>11134</v>
      </c>
      <c r="AL8" s="385">
        <v>0</v>
      </c>
      <c r="AM8" s="287">
        <v>0</v>
      </c>
      <c r="AN8" s="542">
        <v>330000</v>
      </c>
      <c r="AO8" s="549">
        <v>0.17</v>
      </c>
      <c r="AP8" s="385">
        <v>21281</v>
      </c>
      <c r="AQ8" s="385">
        <v>21417</v>
      </c>
      <c r="AR8" s="481">
        <v>3098</v>
      </c>
      <c r="AS8" s="481">
        <v>3133</v>
      </c>
      <c r="AT8" s="617"/>
      <c r="AU8" s="618">
        <v>0</v>
      </c>
      <c r="AV8" s="618">
        <v>0</v>
      </c>
      <c r="AW8" s="620"/>
      <c r="AX8" s="620"/>
      <c r="AY8" s="625"/>
      <c r="AZ8" s="626"/>
      <c r="BA8" s="620"/>
      <c r="BB8" s="673">
        <v>168354</v>
      </c>
      <c r="BC8" s="781">
        <v>0.05</v>
      </c>
      <c r="BD8" s="790">
        <v>11</v>
      </c>
      <c r="BE8" s="673">
        <v>20483.73</v>
      </c>
    </row>
    <row r="9" spans="1:57" x14ac:dyDescent="0.2">
      <c r="A9" s="390">
        <v>15</v>
      </c>
      <c r="B9" s="551" t="s">
        <v>81</v>
      </c>
      <c r="C9" t="s">
        <v>1010</v>
      </c>
      <c r="D9" s="406">
        <v>1215.8</v>
      </c>
      <c r="E9" s="560">
        <v>6591</v>
      </c>
      <c r="F9" s="561">
        <v>554.08000000000004</v>
      </c>
      <c r="G9" s="561">
        <v>64.19</v>
      </c>
      <c r="H9" s="561">
        <v>62.01</v>
      </c>
      <c r="I9" s="561">
        <v>319.72000000000003</v>
      </c>
      <c r="J9" s="561">
        <v>61.919999999999995</v>
      </c>
      <c r="K9" s="561">
        <v>25.41</v>
      </c>
      <c r="L9" s="561">
        <v>43.84</v>
      </c>
      <c r="M9" s="343">
        <v>0</v>
      </c>
      <c r="N9" s="477">
        <v>14.72</v>
      </c>
      <c r="O9" s="477">
        <v>5.6259999999999994</v>
      </c>
      <c r="P9" s="407">
        <v>2.42</v>
      </c>
      <c r="Q9" s="477">
        <v>0</v>
      </c>
      <c r="R9" s="483">
        <v>7954678</v>
      </c>
      <c r="S9" s="483">
        <v>668719</v>
      </c>
      <c r="T9" s="483">
        <v>77471</v>
      </c>
      <c r="U9" s="483">
        <v>74840</v>
      </c>
      <c r="V9" s="483">
        <v>385870</v>
      </c>
      <c r="W9" s="483">
        <v>383218</v>
      </c>
      <c r="X9" s="483">
        <v>0</v>
      </c>
      <c r="Y9" s="483">
        <v>0</v>
      </c>
      <c r="Z9" s="406">
        <v>0</v>
      </c>
      <c r="AA9" s="483">
        <v>38389</v>
      </c>
      <c r="AB9" s="483">
        <v>4165</v>
      </c>
      <c r="AC9" s="385">
        <v>19338</v>
      </c>
      <c r="AD9" s="545">
        <v>5.4</v>
      </c>
      <c r="AE9" s="483">
        <v>25846</v>
      </c>
      <c r="AF9" s="483">
        <v>26423</v>
      </c>
      <c r="AG9" s="481">
        <v>19704</v>
      </c>
      <c r="AH9" s="481">
        <v>19705</v>
      </c>
      <c r="AI9">
        <v>21.5</v>
      </c>
      <c r="AJ9" s="385">
        <v>256738598</v>
      </c>
      <c r="AK9" s="385">
        <v>27160</v>
      </c>
      <c r="AL9" s="385">
        <v>0</v>
      </c>
      <c r="AM9" s="287">
        <v>0</v>
      </c>
      <c r="AN9" s="542">
        <v>330000</v>
      </c>
      <c r="AO9" s="549">
        <v>0.17</v>
      </c>
      <c r="AP9" s="385">
        <v>25665</v>
      </c>
      <c r="AQ9" s="385">
        <v>26238</v>
      </c>
      <c r="AR9" s="481">
        <v>19567</v>
      </c>
      <c r="AS9" s="481">
        <v>19841</v>
      </c>
      <c r="AT9" s="617"/>
      <c r="AU9" s="618">
        <v>0</v>
      </c>
      <c r="AV9" s="618">
        <v>0</v>
      </c>
      <c r="AW9" s="620"/>
      <c r="AX9" s="620"/>
      <c r="AY9" s="625"/>
      <c r="AZ9" s="626"/>
      <c r="BA9" s="620"/>
      <c r="BB9" s="673">
        <v>852520</v>
      </c>
      <c r="BC9" s="781">
        <v>0.05</v>
      </c>
      <c r="BD9" s="790">
        <v>68</v>
      </c>
      <c r="BE9" s="673">
        <v>55360.959999999999</v>
      </c>
    </row>
    <row r="10" spans="1:57" x14ac:dyDescent="0.2">
      <c r="A10" s="390">
        <v>10</v>
      </c>
      <c r="B10" s="551" t="s">
        <v>82</v>
      </c>
      <c r="C10" t="s">
        <v>1011</v>
      </c>
      <c r="D10" s="406">
        <v>515.29999999999995</v>
      </c>
      <c r="E10" s="560">
        <v>6591</v>
      </c>
      <c r="F10" s="561">
        <v>575.29999999999995</v>
      </c>
      <c r="G10" s="561">
        <v>66.430000000000007</v>
      </c>
      <c r="H10" s="561">
        <v>55.07</v>
      </c>
      <c r="I10" s="561">
        <v>319.72000000000003</v>
      </c>
      <c r="J10" s="561">
        <v>27.36</v>
      </c>
      <c r="K10" s="561">
        <v>15.129999999999999</v>
      </c>
      <c r="L10" s="561">
        <v>8.2200000000000006</v>
      </c>
      <c r="M10" s="343">
        <v>0</v>
      </c>
      <c r="N10" s="477">
        <v>14.66</v>
      </c>
      <c r="O10" s="477">
        <v>1.5339999999999998</v>
      </c>
      <c r="P10" s="407">
        <v>0</v>
      </c>
      <c r="Q10" s="477">
        <v>0</v>
      </c>
      <c r="R10" s="483">
        <v>3403592</v>
      </c>
      <c r="S10" s="483">
        <v>297085</v>
      </c>
      <c r="T10" s="483">
        <v>34304</v>
      </c>
      <c r="U10" s="483">
        <v>28438</v>
      </c>
      <c r="V10" s="483">
        <v>165103</v>
      </c>
      <c r="W10" s="483">
        <v>162895</v>
      </c>
      <c r="X10" s="483">
        <v>4479</v>
      </c>
      <c r="Y10" s="483">
        <v>22</v>
      </c>
      <c r="Z10" s="406">
        <v>0</v>
      </c>
      <c r="AA10" s="483">
        <v>15219</v>
      </c>
      <c r="AB10" s="483">
        <v>1771</v>
      </c>
      <c r="AC10" s="385">
        <v>9478</v>
      </c>
      <c r="AD10" s="545">
        <v>5.4</v>
      </c>
      <c r="AE10" s="483">
        <v>20807</v>
      </c>
      <c r="AF10" s="483">
        <v>20889</v>
      </c>
      <c r="AG10" s="481">
        <v>3936</v>
      </c>
      <c r="AH10" s="481">
        <v>3538</v>
      </c>
      <c r="AI10">
        <v>15</v>
      </c>
      <c r="AJ10" s="385">
        <v>189647803</v>
      </c>
      <c r="AK10" s="385">
        <v>2911</v>
      </c>
      <c r="AL10" s="385">
        <v>0</v>
      </c>
      <c r="AM10" s="287">
        <v>0</v>
      </c>
      <c r="AN10" s="542">
        <v>330000</v>
      </c>
      <c r="AO10" s="549">
        <v>0.17</v>
      </c>
      <c r="AP10" s="385">
        <v>13738</v>
      </c>
      <c r="AQ10" s="385">
        <v>13792</v>
      </c>
      <c r="AR10" s="481">
        <v>2598</v>
      </c>
      <c r="AS10" s="481">
        <v>2344</v>
      </c>
      <c r="AT10" s="617"/>
      <c r="AU10" s="618">
        <v>125180</v>
      </c>
      <c r="AV10" s="618">
        <v>5936</v>
      </c>
      <c r="AW10" s="620"/>
      <c r="AX10" s="620"/>
      <c r="AY10" s="625"/>
      <c r="AZ10" s="626"/>
      <c r="BA10" s="620"/>
      <c r="BB10" s="673">
        <v>0</v>
      </c>
      <c r="BC10" s="781">
        <v>0.05</v>
      </c>
      <c r="BD10" s="790">
        <v>57</v>
      </c>
      <c r="BE10" s="673">
        <v>11896.48</v>
      </c>
    </row>
    <row r="11" spans="1:57" x14ac:dyDescent="0.2">
      <c r="A11" s="390">
        <v>7</v>
      </c>
      <c r="B11" s="551" t="s">
        <v>83</v>
      </c>
      <c r="C11" t="s">
        <v>1012</v>
      </c>
      <c r="D11" s="406">
        <v>281.5</v>
      </c>
      <c r="E11" s="560">
        <v>6591</v>
      </c>
      <c r="F11" s="561">
        <v>611.78</v>
      </c>
      <c r="G11" s="561">
        <v>57.89</v>
      </c>
      <c r="H11" s="561">
        <v>75.88000000000001</v>
      </c>
      <c r="I11" s="561">
        <v>319.72000000000003</v>
      </c>
      <c r="J11" s="561">
        <v>16.559999999999999</v>
      </c>
      <c r="K11" s="561">
        <v>3.63</v>
      </c>
      <c r="L11" s="561">
        <v>4.1100000000000003</v>
      </c>
      <c r="M11" s="343">
        <v>0</v>
      </c>
      <c r="N11" s="477">
        <v>19.5</v>
      </c>
      <c r="O11" s="477">
        <v>1.319</v>
      </c>
      <c r="P11" s="407">
        <v>2.2000000000000002</v>
      </c>
      <c r="Q11" s="477">
        <v>0</v>
      </c>
      <c r="R11" s="483">
        <v>1697183</v>
      </c>
      <c r="S11" s="483">
        <v>157533</v>
      </c>
      <c r="T11" s="483">
        <v>14907</v>
      </c>
      <c r="U11" s="483">
        <v>19539</v>
      </c>
      <c r="V11" s="483">
        <v>82328</v>
      </c>
      <c r="W11" s="483">
        <v>80597</v>
      </c>
      <c r="X11" s="483">
        <v>1667</v>
      </c>
      <c r="Y11" s="483">
        <v>0</v>
      </c>
      <c r="Z11" s="406">
        <v>0</v>
      </c>
      <c r="AA11" s="483">
        <v>10220</v>
      </c>
      <c r="AB11" s="483">
        <v>1174</v>
      </c>
      <c r="AC11" s="385">
        <v>5160</v>
      </c>
      <c r="AD11" s="545">
        <v>5.4</v>
      </c>
      <c r="AE11" s="483">
        <v>12241</v>
      </c>
      <c r="AF11" s="483">
        <v>12271</v>
      </c>
      <c r="AG11" s="481">
        <v>10299</v>
      </c>
      <c r="AH11" s="481">
        <v>10001</v>
      </c>
      <c r="AI11">
        <v>8</v>
      </c>
      <c r="AJ11" s="385">
        <v>121809915</v>
      </c>
      <c r="AK11" s="385">
        <v>0</v>
      </c>
      <c r="AL11" s="385">
        <v>0</v>
      </c>
      <c r="AM11" s="287">
        <v>0</v>
      </c>
      <c r="AN11" s="542">
        <v>330000</v>
      </c>
      <c r="AO11" s="549">
        <v>0.17</v>
      </c>
      <c r="AP11" s="385">
        <v>6502</v>
      </c>
      <c r="AQ11" s="385">
        <v>6518</v>
      </c>
      <c r="AR11" s="481">
        <v>5471</v>
      </c>
      <c r="AS11" s="481">
        <v>5393</v>
      </c>
      <c r="AT11" s="617"/>
      <c r="AU11" s="618">
        <v>13144</v>
      </c>
      <c r="AV11" s="618">
        <v>0</v>
      </c>
      <c r="AW11" s="620"/>
      <c r="AX11" s="620"/>
      <c r="AY11" s="625"/>
      <c r="AZ11" s="626"/>
      <c r="BA11" s="620"/>
      <c r="BB11" s="673">
        <v>0</v>
      </c>
      <c r="BC11" s="781">
        <v>0.05</v>
      </c>
      <c r="BD11" s="790">
        <v>42</v>
      </c>
      <c r="BE11" s="673">
        <v>19424.66</v>
      </c>
    </row>
    <row r="12" spans="1:57" x14ac:dyDescent="0.2">
      <c r="A12" s="390">
        <v>5</v>
      </c>
      <c r="B12" s="551" t="s">
        <v>84</v>
      </c>
      <c r="C12" t="s">
        <v>1013</v>
      </c>
      <c r="D12" s="406">
        <v>1327.9</v>
      </c>
      <c r="E12" s="560">
        <v>6624</v>
      </c>
      <c r="F12" s="561">
        <v>576.16</v>
      </c>
      <c r="G12" s="561">
        <v>69.78</v>
      </c>
      <c r="H12" s="561">
        <v>60.699999999999996</v>
      </c>
      <c r="I12" s="561">
        <v>319.72000000000003</v>
      </c>
      <c r="J12" s="561">
        <v>104.39999999999999</v>
      </c>
      <c r="K12" s="561">
        <v>55.69</v>
      </c>
      <c r="L12" s="561">
        <v>50.69</v>
      </c>
      <c r="M12" s="343">
        <v>4.51</v>
      </c>
      <c r="N12" s="477">
        <v>27.14</v>
      </c>
      <c r="O12" s="477">
        <v>6.1110000000000007</v>
      </c>
      <c r="P12" s="407">
        <v>4.18</v>
      </c>
      <c r="Q12" s="477">
        <v>112.3</v>
      </c>
      <c r="R12" s="483">
        <v>8766202</v>
      </c>
      <c r="S12" s="483">
        <v>762490</v>
      </c>
      <c r="T12" s="483">
        <v>92347</v>
      </c>
      <c r="U12" s="483">
        <v>80330</v>
      </c>
      <c r="V12" s="483">
        <v>423117</v>
      </c>
      <c r="W12" s="483">
        <v>462317</v>
      </c>
      <c r="X12" s="483">
        <v>0</v>
      </c>
      <c r="Y12" s="483">
        <v>389</v>
      </c>
      <c r="Z12" s="406">
        <v>15.9</v>
      </c>
      <c r="AA12" s="483">
        <v>49195</v>
      </c>
      <c r="AB12" s="483">
        <v>5862</v>
      </c>
      <c r="AC12" s="385">
        <v>28363</v>
      </c>
      <c r="AD12" s="545">
        <v>5.4</v>
      </c>
      <c r="AE12" s="483">
        <v>56771</v>
      </c>
      <c r="AF12" s="483">
        <v>57545</v>
      </c>
      <c r="AG12" s="481">
        <v>80600</v>
      </c>
      <c r="AH12" s="481">
        <v>77688</v>
      </c>
      <c r="AI12">
        <v>54</v>
      </c>
      <c r="AJ12" s="385">
        <v>701031987</v>
      </c>
      <c r="AK12" s="385">
        <v>30501</v>
      </c>
      <c r="AL12" s="385">
        <v>0</v>
      </c>
      <c r="AM12" s="287">
        <v>0</v>
      </c>
      <c r="AN12" s="542">
        <v>330000</v>
      </c>
      <c r="AO12" s="549">
        <v>0.17</v>
      </c>
      <c r="AP12" s="385">
        <v>29215</v>
      </c>
      <c r="AQ12" s="385">
        <v>29613</v>
      </c>
      <c r="AR12" s="481">
        <v>45431</v>
      </c>
      <c r="AS12" s="481">
        <v>42381</v>
      </c>
      <c r="AT12" s="617"/>
      <c r="AU12" s="618">
        <v>67562</v>
      </c>
      <c r="AV12" s="618">
        <v>0</v>
      </c>
      <c r="AW12" s="620"/>
      <c r="AX12" s="620"/>
      <c r="AY12" s="625"/>
      <c r="AZ12" s="626"/>
      <c r="BA12" s="620"/>
      <c r="BB12" s="673">
        <v>969781</v>
      </c>
      <c r="BC12" s="781">
        <v>4.5999999999999999E-2</v>
      </c>
      <c r="BD12" s="790">
        <v>55</v>
      </c>
      <c r="BE12" s="673">
        <v>156511.46</v>
      </c>
    </row>
    <row r="13" spans="1:57" x14ac:dyDescent="0.2">
      <c r="A13" s="390">
        <v>1</v>
      </c>
      <c r="B13" s="551" t="s">
        <v>85</v>
      </c>
      <c r="C13" t="s">
        <v>1014</v>
      </c>
      <c r="D13" s="406">
        <v>1104.7</v>
      </c>
      <c r="E13" s="560">
        <v>6673</v>
      </c>
      <c r="F13" s="561">
        <v>559.09</v>
      </c>
      <c r="G13" s="561">
        <v>59.07</v>
      </c>
      <c r="H13" s="561">
        <v>64.92</v>
      </c>
      <c r="I13" s="561">
        <v>319.72000000000003</v>
      </c>
      <c r="J13" s="561">
        <v>61.919999999999995</v>
      </c>
      <c r="K13" s="561">
        <v>27.85</v>
      </c>
      <c r="L13" s="561">
        <v>43.84</v>
      </c>
      <c r="M13" s="343">
        <v>0</v>
      </c>
      <c r="N13" s="477">
        <v>37.409999999999997</v>
      </c>
      <c r="O13" s="477">
        <v>5.3319999999999999</v>
      </c>
      <c r="P13" s="407">
        <v>0.44</v>
      </c>
      <c r="Q13" s="477">
        <v>0</v>
      </c>
      <c r="R13" s="483">
        <v>7574522</v>
      </c>
      <c r="S13" s="483">
        <v>634623</v>
      </c>
      <c r="T13" s="483">
        <v>67050</v>
      </c>
      <c r="U13" s="483">
        <v>73691</v>
      </c>
      <c r="V13" s="483">
        <v>362914</v>
      </c>
      <c r="W13" s="483">
        <v>385983</v>
      </c>
      <c r="X13" s="483">
        <v>6371</v>
      </c>
      <c r="Y13" s="483">
        <v>153</v>
      </c>
      <c r="Z13" s="406">
        <v>1.4</v>
      </c>
      <c r="AA13" s="483">
        <v>38009</v>
      </c>
      <c r="AB13" s="483">
        <v>4076</v>
      </c>
      <c r="AC13" s="385">
        <v>24471</v>
      </c>
      <c r="AD13" s="545">
        <v>5.4</v>
      </c>
      <c r="AE13" s="483">
        <v>28376</v>
      </c>
      <c r="AF13" s="483">
        <v>28390</v>
      </c>
      <c r="AG13" s="481">
        <v>34477</v>
      </c>
      <c r="AH13" s="481">
        <v>31325</v>
      </c>
      <c r="AI13">
        <v>31.5</v>
      </c>
      <c r="AJ13" s="385">
        <v>482399768</v>
      </c>
      <c r="AK13" s="385">
        <v>89074</v>
      </c>
      <c r="AL13" s="385">
        <v>0</v>
      </c>
      <c r="AM13" s="287">
        <v>0</v>
      </c>
      <c r="AN13" s="542">
        <v>330000</v>
      </c>
      <c r="AO13" s="549">
        <v>0.17</v>
      </c>
      <c r="AP13" s="385">
        <v>14608</v>
      </c>
      <c r="AQ13" s="385">
        <v>14615</v>
      </c>
      <c r="AR13" s="481">
        <v>17748</v>
      </c>
      <c r="AS13" s="481">
        <v>16382</v>
      </c>
      <c r="AT13" s="617"/>
      <c r="AU13" s="618">
        <v>233063</v>
      </c>
      <c r="AV13" s="618">
        <v>0</v>
      </c>
      <c r="AW13" s="620"/>
      <c r="AX13" s="620"/>
      <c r="AY13" s="625"/>
      <c r="AZ13" s="626"/>
      <c r="BA13" s="620"/>
      <c r="BB13" s="673">
        <v>0</v>
      </c>
      <c r="BC13" s="781">
        <v>3.9E-2</v>
      </c>
      <c r="BD13" s="790">
        <v>3</v>
      </c>
      <c r="BE13" s="673">
        <v>62180.08</v>
      </c>
    </row>
    <row r="14" spans="1:57" x14ac:dyDescent="0.2">
      <c r="A14" s="390">
        <v>5</v>
      </c>
      <c r="B14" s="551" t="s">
        <v>87</v>
      </c>
      <c r="C14" t="s">
        <v>1015</v>
      </c>
      <c r="D14" s="406">
        <v>517.29999999999995</v>
      </c>
      <c r="E14" s="560">
        <v>6591</v>
      </c>
      <c r="F14" s="561">
        <v>634.70000000000005</v>
      </c>
      <c r="G14" s="561">
        <v>71.210000000000008</v>
      </c>
      <c r="H14" s="561">
        <v>81.050000000000011</v>
      </c>
      <c r="I14" s="561">
        <v>319.72000000000003</v>
      </c>
      <c r="J14" s="561">
        <v>16.559999999999999</v>
      </c>
      <c r="K14" s="561">
        <v>9.68</v>
      </c>
      <c r="L14" s="561">
        <v>13.7</v>
      </c>
      <c r="M14" s="343">
        <v>1.63</v>
      </c>
      <c r="N14" s="477">
        <v>24.3</v>
      </c>
      <c r="O14" s="477">
        <v>2.7160000000000002</v>
      </c>
      <c r="P14" s="407">
        <v>6.38</v>
      </c>
      <c r="Q14" s="477">
        <v>0</v>
      </c>
      <c r="R14" s="483">
        <v>3518935</v>
      </c>
      <c r="S14" s="483">
        <v>338866</v>
      </c>
      <c r="T14" s="483">
        <v>38019</v>
      </c>
      <c r="U14" s="483">
        <v>43273</v>
      </c>
      <c r="V14" s="483">
        <v>170699</v>
      </c>
      <c r="W14" s="483">
        <v>171959</v>
      </c>
      <c r="X14" s="483">
        <v>0</v>
      </c>
      <c r="Y14" s="483">
        <v>11</v>
      </c>
      <c r="Z14" s="406">
        <v>0</v>
      </c>
      <c r="AA14" s="483">
        <v>18298</v>
      </c>
      <c r="AB14" s="483">
        <v>2180</v>
      </c>
      <c r="AC14" s="385">
        <v>9537</v>
      </c>
      <c r="AD14" s="545">
        <v>5.4</v>
      </c>
      <c r="AE14" s="483">
        <v>16634</v>
      </c>
      <c r="AF14" s="483">
        <v>17059</v>
      </c>
      <c r="AG14" s="481">
        <v>33664</v>
      </c>
      <c r="AH14" s="481">
        <v>32918</v>
      </c>
      <c r="AI14">
        <v>16.5</v>
      </c>
      <c r="AJ14" s="385">
        <v>218610708</v>
      </c>
      <c r="AK14" s="385">
        <v>0</v>
      </c>
      <c r="AL14" s="385">
        <v>0</v>
      </c>
      <c r="AM14" s="287">
        <v>0</v>
      </c>
      <c r="AN14" s="542">
        <v>330000</v>
      </c>
      <c r="AO14" s="549">
        <v>0.17</v>
      </c>
      <c r="AP14" s="385">
        <v>10022</v>
      </c>
      <c r="AQ14" s="385">
        <v>10278</v>
      </c>
      <c r="AR14" s="481">
        <v>20282</v>
      </c>
      <c r="AS14" s="481">
        <v>20376</v>
      </c>
      <c r="AT14" s="617"/>
      <c r="AU14" s="618">
        <v>0</v>
      </c>
      <c r="AV14" s="618">
        <v>0</v>
      </c>
      <c r="AW14" s="620"/>
      <c r="AX14" s="620"/>
      <c r="AY14" s="625"/>
      <c r="AZ14" s="626"/>
      <c r="BA14" s="620"/>
      <c r="BB14" s="673">
        <v>0</v>
      </c>
      <c r="BC14" s="781">
        <v>0.05</v>
      </c>
      <c r="BD14" s="790">
        <v>11</v>
      </c>
      <c r="BE14" s="673">
        <v>73417.33</v>
      </c>
    </row>
    <row r="15" spans="1:57" x14ac:dyDescent="0.2">
      <c r="A15" s="390">
        <v>11</v>
      </c>
      <c r="B15" s="551" t="s">
        <v>88</v>
      </c>
      <c r="C15" t="s">
        <v>1016</v>
      </c>
      <c r="D15" s="406">
        <v>4188</v>
      </c>
      <c r="E15" s="560">
        <v>6681</v>
      </c>
      <c r="F15" s="561">
        <v>567.9</v>
      </c>
      <c r="G15" s="561">
        <v>69.81</v>
      </c>
      <c r="H15" s="561">
        <v>62.99</v>
      </c>
      <c r="I15" s="561">
        <v>319.72000000000003</v>
      </c>
      <c r="J15" s="561">
        <v>149.04</v>
      </c>
      <c r="K15" s="561">
        <v>87.2</v>
      </c>
      <c r="L15" s="561">
        <v>130.15</v>
      </c>
      <c r="M15" s="343">
        <v>0</v>
      </c>
      <c r="N15" s="477">
        <v>9.08</v>
      </c>
      <c r="O15" s="477">
        <v>18.384999999999998</v>
      </c>
      <c r="P15" s="407">
        <v>37.18</v>
      </c>
      <c r="Q15" s="477">
        <v>0</v>
      </c>
      <c r="R15" s="483">
        <v>27934597</v>
      </c>
      <c r="S15" s="483">
        <v>2374503</v>
      </c>
      <c r="T15" s="483">
        <v>291890</v>
      </c>
      <c r="U15" s="483">
        <v>263374</v>
      </c>
      <c r="V15" s="483">
        <v>1336813</v>
      </c>
      <c r="W15" s="483">
        <v>1280041</v>
      </c>
      <c r="X15" s="483">
        <v>0</v>
      </c>
      <c r="Y15" s="483">
        <v>138</v>
      </c>
      <c r="Z15" s="406">
        <v>0</v>
      </c>
      <c r="AA15" s="483">
        <v>105473</v>
      </c>
      <c r="AB15" s="483">
        <v>13406</v>
      </c>
      <c r="AC15" s="385">
        <v>68171</v>
      </c>
      <c r="AD15" s="545">
        <v>5.4</v>
      </c>
      <c r="AE15" s="483">
        <v>37901</v>
      </c>
      <c r="AF15" s="483">
        <v>39729</v>
      </c>
      <c r="AG15" s="481">
        <v>495341</v>
      </c>
      <c r="AH15" s="481">
        <v>489147</v>
      </c>
      <c r="AI15">
        <v>116</v>
      </c>
      <c r="AJ15" s="385">
        <v>2408811725</v>
      </c>
      <c r="AK15" s="385">
        <v>47293</v>
      </c>
      <c r="AL15" s="385">
        <v>0</v>
      </c>
      <c r="AM15" s="287">
        <v>0</v>
      </c>
      <c r="AN15" s="542">
        <v>330000</v>
      </c>
      <c r="AO15" s="549">
        <v>0.17</v>
      </c>
      <c r="AP15" s="385">
        <v>16572</v>
      </c>
      <c r="AQ15" s="385">
        <v>17371</v>
      </c>
      <c r="AR15" s="481">
        <v>216580</v>
      </c>
      <c r="AS15" s="481">
        <v>221516</v>
      </c>
      <c r="AT15" s="617"/>
      <c r="AU15" s="618">
        <v>425941</v>
      </c>
      <c r="AV15" s="618">
        <v>0</v>
      </c>
      <c r="AW15" s="620"/>
      <c r="AX15" s="620"/>
      <c r="AY15" s="625"/>
      <c r="AZ15" s="626"/>
      <c r="BA15" s="620"/>
      <c r="BB15" s="673">
        <v>3813249</v>
      </c>
      <c r="BC15" s="781">
        <v>0.05</v>
      </c>
      <c r="BD15" s="790">
        <v>85</v>
      </c>
      <c r="BE15" s="673">
        <v>1315498.4099999999</v>
      </c>
    </row>
    <row r="16" spans="1:57" x14ac:dyDescent="0.2">
      <c r="A16" s="390">
        <v>10</v>
      </c>
      <c r="B16" s="551" t="s">
        <v>89</v>
      </c>
      <c r="C16" t="s">
        <v>1017</v>
      </c>
      <c r="D16" s="406">
        <v>1258.3</v>
      </c>
      <c r="E16" s="560">
        <v>6608</v>
      </c>
      <c r="F16" s="561">
        <v>596.1</v>
      </c>
      <c r="G16" s="561">
        <v>70.960000000000008</v>
      </c>
      <c r="H16" s="561">
        <v>62.21</v>
      </c>
      <c r="I16" s="561">
        <v>319.72000000000003</v>
      </c>
      <c r="J16" s="561">
        <v>59.76</v>
      </c>
      <c r="K16" s="561">
        <v>39.349999999999994</v>
      </c>
      <c r="L16" s="561">
        <v>28.77</v>
      </c>
      <c r="M16" s="343">
        <v>0</v>
      </c>
      <c r="N16" s="477">
        <v>5.75</v>
      </c>
      <c r="O16" s="477">
        <v>6.4530000000000003</v>
      </c>
      <c r="P16" s="407">
        <v>1.98</v>
      </c>
      <c r="Q16" s="477">
        <v>0</v>
      </c>
      <c r="R16" s="483">
        <v>8148986</v>
      </c>
      <c r="S16" s="483">
        <v>735111</v>
      </c>
      <c r="T16" s="483">
        <v>87508</v>
      </c>
      <c r="U16" s="483">
        <v>76717</v>
      </c>
      <c r="V16" s="483">
        <v>394279</v>
      </c>
      <c r="W16" s="483">
        <v>393881</v>
      </c>
      <c r="X16" s="483">
        <v>0</v>
      </c>
      <c r="Y16" s="483">
        <v>75</v>
      </c>
      <c r="Z16" s="406">
        <v>0.5</v>
      </c>
      <c r="AA16" s="483">
        <v>36799</v>
      </c>
      <c r="AB16" s="483">
        <v>4283</v>
      </c>
      <c r="AC16" s="385">
        <v>20325</v>
      </c>
      <c r="AD16" s="545">
        <v>5.4</v>
      </c>
      <c r="AE16" s="483">
        <v>30829</v>
      </c>
      <c r="AF16" s="483">
        <v>30533</v>
      </c>
      <c r="AG16" s="481">
        <v>29961</v>
      </c>
      <c r="AH16" s="481">
        <v>27246</v>
      </c>
      <c r="AI16">
        <v>31</v>
      </c>
      <c r="AJ16" s="385">
        <v>367356398</v>
      </c>
      <c r="AK16" s="385">
        <v>36781</v>
      </c>
      <c r="AL16" s="385">
        <v>0</v>
      </c>
      <c r="AM16" s="287">
        <v>0</v>
      </c>
      <c r="AN16" s="542">
        <v>330000</v>
      </c>
      <c r="AO16" s="549">
        <v>0.17</v>
      </c>
      <c r="AP16" s="385">
        <v>21170</v>
      </c>
      <c r="AQ16" s="385">
        <v>20967</v>
      </c>
      <c r="AR16" s="481">
        <v>20575</v>
      </c>
      <c r="AS16" s="481">
        <v>19045</v>
      </c>
      <c r="AT16" s="617"/>
      <c r="AU16" s="618">
        <v>69672</v>
      </c>
      <c r="AV16" s="618">
        <v>0</v>
      </c>
      <c r="AW16" s="620"/>
      <c r="AX16" s="620"/>
      <c r="AY16" s="625"/>
      <c r="AZ16" s="626"/>
      <c r="BA16" s="620"/>
      <c r="BB16" s="673">
        <v>14216</v>
      </c>
      <c r="BC16" s="781">
        <v>3.2000000000000001E-2</v>
      </c>
      <c r="BD16" s="790">
        <v>53</v>
      </c>
      <c r="BE16" s="673">
        <v>81371.66</v>
      </c>
    </row>
    <row r="17" spans="1:57" x14ac:dyDescent="0.2">
      <c r="A17" s="390">
        <v>9</v>
      </c>
      <c r="B17" s="551" t="s">
        <v>90</v>
      </c>
      <c r="C17" t="s">
        <v>1018</v>
      </c>
      <c r="D17" s="406">
        <v>234.3</v>
      </c>
      <c r="E17" s="560">
        <v>6656</v>
      </c>
      <c r="F17" s="561">
        <v>612.38</v>
      </c>
      <c r="G17" s="561">
        <v>67.430000000000007</v>
      </c>
      <c r="H17" s="561">
        <v>77.330000000000013</v>
      </c>
      <c r="I17" s="561">
        <v>319.72000000000003</v>
      </c>
      <c r="J17" s="561">
        <v>19.439999999999998</v>
      </c>
      <c r="K17" s="561">
        <v>12.709999999999999</v>
      </c>
      <c r="L17" s="561">
        <v>8.2200000000000006</v>
      </c>
      <c r="M17" s="343">
        <v>0</v>
      </c>
      <c r="N17" s="477">
        <v>26.77</v>
      </c>
      <c r="O17" s="477">
        <v>1.1739999999999999</v>
      </c>
      <c r="P17" s="407">
        <v>0</v>
      </c>
      <c r="Q17" s="477">
        <v>0</v>
      </c>
      <c r="R17" s="483">
        <v>1672653</v>
      </c>
      <c r="S17" s="483">
        <v>153891</v>
      </c>
      <c r="T17" s="483">
        <v>16945</v>
      </c>
      <c r="U17" s="483">
        <v>19433</v>
      </c>
      <c r="V17" s="483">
        <v>80346</v>
      </c>
      <c r="W17" s="483">
        <v>85065</v>
      </c>
      <c r="X17" s="483">
        <v>8266</v>
      </c>
      <c r="Y17" s="483">
        <v>22</v>
      </c>
      <c r="Z17" s="406">
        <v>0</v>
      </c>
      <c r="AA17" s="483">
        <v>7675</v>
      </c>
      <c r="AB17" s="483">
        <v>901</v>
      </c>
      <c r="AC17" s="385">
        <v>5522</v>
      </c>
      <c r="AD17" s="545">
        <v>5.4</v>
      </c>
      <c r="AE17" s="483">
        <v>17823</v>
      </c>
      <c r="AF17" s="483">
        <v>18087</v>
      </c>
      <c r="AG17" s="481">
        <v>1687</v>
      </c>
      <c r="AH17" s="481">
        <v>1687</v>
      </c>
      <c r="AI17">
        <v>10</v>
      </c>
      <c r="AJ17" s="385">
        <v>104929604</v>
      </c>
      <c r="AK17" s="385">
        <v>11401</v>
      </c>
      <c r="AL17" s="385">
        <v>0</v>
      </c>
      <c r="AM17" s="287">
        <v>0</v>
      </c>
      <c r="AN17" s="542">
        <v>330000</v>
      </c>
      <c r="AO17" s="549">
        <v>0.17</v>
      </c>
      <c r="AP17" s="385">
        <v>11364</v>
      </c>
      <c r="AQ17" s="385">
        <v>11532</v>
      </c>
      <c r="AR17" s="481">
        <v>1075</v>
      </c>
      <c r="AS17" s="481">
        <v>1079</v>
      </c>
      <c r="AT17" s="617"/>
      <c r="AU17" s="618">
        <v>99904</v>
      </c>
      <c r="AV17" s="618">
        <v>12804</v>
      </c>
      <c r="AW17" s="620"/>
      <c r="AX17" s="620"/>
      <c r="AY17" s="625"/>
      <c r="AZ17" s="626"/>
      <c r="BA17" s="620"/>
      <c r="BB17" s="673">
        <v>0</v>
      </c>
      <c r="BC17" s="781">
        <v>3.1E-2</v>
      </c>
      <c r="BD17" s="790">
        <v>49</v>
      </c>
      <c r="BE17" s="673">
        <v>3537.54</v>
      </c>
    </row>
    <row r="18" spans="1:57" x14ac:dyDescent="0.2">
      <c r="A18" s="390">
        <v>11</v>
      </c>
      <c r="B18" s="551" t="s">
        <v>91</v>
      </c>
      <c r="C18" t="s">
        <v>1019</v>
      </c>
      <c r="D18" s="406">
        <v>11193.3</v>
      </c>
      <c r="E18" s="560">
        <v>6591</v>
      </c>
      <c r="F18" s="561">
        <v>516.63</v>
      </c>
      <c r="G18" s="561">
        <v>56.870000000000005</v>
      </c>
      <c r="H18" s="561">
        <v>59.57</v>
      </c>
      <c r="I18" s="561">
        <v>319.72000000000003</v>
      </c>
      <c r="J18" s="561">
        <v>361.44</v>
      </c>
      <c r="K18" s="561">
        <v>259.08</v>
      </c>
      <c r="L18" s="561">
        <v>287.7</v>
      </c>
      <c r="M18" s="343">
        <v>0</v>
      </c>
      <c r="N18" s="477">
        <v>147.81</v>
      </c>
      <c r="O18" s="477">
        <v>33.900999999999996</v>
      </c>
      <c r="P18" s="407">
        <v>16.940000000000001</v>
      </c>
      <c r="Q18" s="477">
        <v>0</v>
      </c>
      <c r="R18" s="483">
        <v>71137322</v>
      </c>
      <c r="S18" s="483">
        <v>5576039</v>
      </c>
      <c r="T18" s="483">
        <v>613804</v>
      </c>
      <c r="U18" s="483">
        <v>642945</v>
      </c>
      <c r="V18" s="483">
        <v>3450770</v>
      </c>
      <c r="W18" s="483">
        <v>3272510</v>
      </c>
      <c r="X18" s="483">
        <v>0</v>
      </c>
      <c r="Y18" s="483">
        <v>378</v>
      </c>
      <c r="Z18" s="406">
        <v>0.1</v>
      </c>
      <c r="AA18" s="483">
        <v>269650</v>
      </c>
      <c r="AB18" s="483">
        <v>34273</v>
      </c>
      <c r="AC18" s="385">
        <v>81848</v>
      </c>
      <c r="AD18" s="545">
        <v>5.4</v>
      </c>
      <c r="AE18" s="483">
        <v>176905</v>
      </c>
      <c r="AF18" s="483">
        <v>182013</v>
      </c>
      <c r="AG18" s="481">
        <v>457859</v>
      </c>
      <c r="AH18" s="481">
        <v>375613</v>
      </c>
      <c r="AI18">
        <v>171</v>
      </c>
      <c r="AJ18" s="385">
        <v>2918192873</v>
      </c>
      <c r="AK18" s="385">
        <v>14862</v>
      </c>
      <c r="AL18" s="385">
        <v>0</v>
      </c>
      <c r="AM18" s="287">
        <v>0</v>
      </c>
      <c r="AN18" s="542">
        <v>330000</v>
      </c>
      <c r="AO18" s="549">
        <v>0.17</v>
      </c>
      <c r="AP18" s="385">
        <v>138698</v>
      </c>
      <c r="AQ18" s="385">
        <v>142703</v>
      </c>
      <c r="AR18" s="481">
        <v>358973</v>
      </c>
      <c r="AS18" s="481">
        <v>302203</v>
      </c>
      <c r="AT18" s="617"/>
      <c r="AU18" s="618">
        <v>0</v>
      </c>
      <c r="AV18" s="618">
        <v>0</v>
      </c>
      <c r="AW18" s="620"/>
      <c r="AX18" s="620"/>
      <c r="AY18" s="625"/>
      <c r="AZ18" s="626">
        <v>6.92</v>
      </c>
      <c r="BA18" s="620"/>
      <c r="BB18" s="673">
        <v>10025555</v>
      </c>
      <c r="BC18" s="781">
        <v>3.7999999999999999E-2</v>
      </c>
      <c r="BD18" s="790">
        <v>77</v>
      </c>
      <c r="BE18" s="673">
        <v>1641723.62</v>
      </c>
    </row>
    <row r="19" spans="1:57" x14ac:dyDescent="0.2">
      <c r="A19" s="390">
        <v>7</v>
      </c>
      <c r="B19" s="551" t="s">
        <v>92</v>
      </c>
      <c r="C19" t="s">
        <v>1455</v>
      </c>
      <c r="D19" s="406">
        <v>847.2</v>
      </c>
      <c r="E19" s="560">
        <v>6591</v>
      </c>
      <c r="F19" s="561">
        <v>594.5</v>
      </c>
      <c r="G19" s="561">
        <v>66.290000000000006</v>
      </c>
      <c r="H19" s="561">
        <v>78</v>
      </c>
      <c r="I19" s="561">
        <v>319.72000000000003</v>
      </c>
      <c r="J19" s="561">
        <v>50.4</v>
      </c>
      <c r="K19" s="561">
        <v>27.240000000000002</v>
      </c>
      <c r="L19" s="561">
        <v>27.4</v>
      </c>
      <c r="M19" s="343">
        <v>0</v>
      </c>
      <c r="N19" s="477">
        <v>15.690000000000001</v>
      </c>
      <c r="O19" s="477">
        <v>3.42</v>
      </c>
      <c r="P19" s="407">
        <v>0</v>
      </c>
      <c r="Q19" s="477">
        <v>0</v>
      </c>
      <c r="R19" s="483">
        <v>5550940</v>
      </c>
      <c r="S19" s="483">
        <v>500688</v>
      </c>
      <c r="T19" s="483">
        <v>55829</v>
      </c>
      <c r="U19" s="483">
        <v>65692</v>
      </c>
      <c r="V19" s="483">
        <v>269268</v>
      </c>
      <c r="W19" s="483">
        <v>278908</v>
      </c>
      <c r="X19" s="483">
        <v>0</v>
      </c>
      <c r="Y19" s="483">
        <v>17</v>
      </c>
      <c r="Z19" s="406">
        <v>0</v>
      </c>
      <c r="AA19" s="483">
        <v>35366</v>
      </c>
      <c r="AB19" s="483">
        <v>4064</v>
      </c>
      <c r="AC19" s="385">
        <v>13122</v>
      </c>
      <c r="AD19" s="545">
        <v>5.4</v>
      </c>
      <c r="AE19" s="483">
        <v>35137</v>
      </c>
      <c r="AF19" s="483">
        <v>36010</v>
      </c>
      <c r="AG19" s="481">
        <v>13141</v>
      </c>
      <c r="AH19" s="481">
        <v>9908</v>
      </c>
      <c r="AI19">
        <v>21.5</v>
      </c>
      <c r="AJ19" s="385">
        <v>251107715</v>
      </c>
      <c r="AK19" s="385">
        <v>22752</v>
      </c>
      <c r="AL19" s="385">
        <v>0</v>
      </c>
      <c r="AM19" s="287">
        <v>0</v>
      </c>
      <c r="AN19" s="542">
        <v>330000</v>
      </c>
      <c r="AO19" s="549">
        <v>0.17</v>
      </c>
      <c r="AP19" s="385">
        <v>28850</v>
      </c>
      <c r="AQ19" s="385">
        <v>29567</v>
      </c>
      <c r="AR19" s="481">
        <v>10790</v>
      </c>
      <c r="AS19" s="481">
        <v>8212</v>
      </c>
      <c r="AT19" s="617"/>
      <c r="AU19" s="618">
        <v>0</v>
      </c>
      <c r="AV19" s="618">
        <v>0</v>
      </c>
      <c r="AW19" s="620"/>
      <c r="AX19" s="620"/>
      <c r="AY19" s="625"/>
      <c r="AZ19" s="626"/>
      <c r="BA19" s="620"/>
      <c r="BB19" s="673">
        <v>775600</v>
      </c>
      <c r="BC19" s="781">
        <v>0.05</v>
      </c>
      <c r="BD19" s="790">
        <v>12</v>
      </c>
      <c r="BE19" s="673">
        <v>31870.37</v>
      </c>
    </row>
    <row r="20" spans="1:57" x14ac:dyDescent="0.2">
      <c r="A20" s="390">
        <v>12</v>
      </c>
      <c r="B20" s="551" t="s">
        <v>94</v>
      </c>
      <c r="C20" t="s">
        <v>1020</v>
      </c>
      <c r="D20" s="406">
        <v>286</v>
      </c>
      <c r="E20" s="560">
        <v>6591</v>
      </c>
      <c r="F20" s="561">
        <v>596.55999999999995</v>
      </c>
      <c r="G20" s="561">
        <v>58.34</v>
      </c>
      <c r="H20" s="561">
        <v>59.6</v>
      </c>
      <c r="I20" s="561">
        <v>319.72000000000003</v>
      </c>
      <c r="J20" s="561">
        <v>18.72</v>
      </c>
      <c r="K20" s="561">
        <v>10.89</v>
      </c>
      <c r="L20" s="561">
        <v>20.55</v>
      </c>
      <c r="M20" s="343">
        <v>0</v>
      </c>
      <c r="N20" s="477">
        <v>29.12</v>
      </c>
      <c r="O20" s="477">
        <v>1.4830000000000001</v>
      </c>
      <c r="P20" s="407">
        <v>3.96</v>
      </c>
      <c r="Q20" s="477">
        <v>0</v>
      </c>
      <c r="R20" s="483">
        <v>1873162</v>
      </c>
      <c r="S20" s="483">
        <v>169542</v>
      </c>
      <c r="T20" s="483">
        <v>16580</v>
      </c>
      <c r="U20" s="483">
        <v>16938</v>
      </c>
      <c r="V20" s="483">
        <v>90864</v>
      </c>
      <c r="W20" s="483">
        <v>98352</v>
      </c>
      <c r="X20" s="483">
        <v>6975</v>
      </c>
      <c r="Y20" s="483">
        <v>73</v>
      </c>
      <c r="Z20" s="406">
        <v>0</v>
      </c>
      <c r="AA20" s="483">
        <v>9881</v>
      </c>
      <c r="AB20" s="483">
        <v>1182</v>
      </c>
      <c r="AC20" s="385">
        <v>7019</v>
      </c>
      <c r="AD20" s="545">
        <v>5.4</v>
      </c>
      <c r="AE20" s="483">
        <v>14956</v>
      </c>
      <c r="AF20" s="483">
        <v>15289</v>
      </c>
      <c r="AG20" s="481">
        <v>34532</v>
      </c>
      <c r="AH20" s="481">
        <v>34329</v>
      </c>
      <c r="AI20">
        <v>6</v>
      </c>
      <c r="AJ20" s="385">
        <v>228985948</v>
      </c>
      <c r="AK20" s="385">
        <v>0</v>
      </c>
      <c r="AL20" s="385">
        <v>0</v>
      </c>
      <c r="AM20" s="287">
        <v>0</v>
      </c>
      <c r="AN20" s="542">
        <v>330000</v>
      </c>
      <c r="AO20" s="549">
        <v>0.17</v>
      </c>
      <c r="AP20" s="385">
        <v>5366</v>
      </c>
      <c r="AQ20" s="385">
        <v>5486</v>
      </c>
      <c r="AR20" s="481">
        <v>12391</v>
      </c>
      <c r="AS20" s="481">
        <v>12659</v>
      </c>
      <c r="AT20" s="617"/>
      <c r="AU20" s="618">
        <v>0</v>
      </c>
      <c r="AV20" s="618">
        <v>29194</v>
      </c>
      <c r="AW20" s="620"/>
      <c r="AX20" s="620"/>
      <c r="AY20" s="625"/>
      <c r="AZ20" s="626"/>
      <c r="BA20" s="620"/>
      <c r="BB20" s="673">
        <v>249797</v>
      </c>
      <c r="BC20" s="781">
        <v>0.05</v>
      </c>
      <c r="BD20" s="790">
        <v>24</v>
      </c>
      <c r="BE20" s="673">
        <v>62758.04</v>
      </c>
    </row>
    <row r="21" spans="1:57" x14ac:dyDescent="0.2">
      <c r="A21" s="390">
        <v>13</v>
      </c>
      <c r="B21" s="551" t="s">
        <v>95</v>
      </c>
      <c r="C21" t="s">
        <v>1021</v>
      </c>
      <c r="D21" s="406">
        <v>1384.7</v>
      </c>
      <c r="E21" s="560">
        <v>6595</v>
      </c>
      <c r="F21" s="561">
        <v>583.76</v>
      </c>
      <c r="G21" s="561">
        <v>68.48</v>
      </c>
      <c r="H21" s="561">
        <v>76.75</v>
      </c>
      <c r="I21" s="561">
        <v>319.72000000000003</v>
      </c>
      <c r="J21" s="561">
        <v>71.28</v>
      </c>
      <c r="K21" s="561">
        <v>49.029999999999994</v>
      </c>
      <c r="L21" s="561">
        <v>79.459999999999994</v>
      </c>
      <c r="M21" s="343">
        <v>0</v>
      </c>
      <c r="N21" s="477">
        <v>5.32</v>
      </c>
      <c r="O21" s="477">
        <v>7.4119999999999999</v>
      </c>
      <c r="P21" s="407">
        <v>5.5</v>
      </c>
      <c r="Q21" s="477">
        <v>0</v>
      </c>
      <c r="R21" s="483">
        <v>9249488</v>
      </c>
      <c r="S21" s="483">
        <v>818723</v>
      </c>
      <c r="T21" s="483">
        <v>96043</v>
      </c>
      <c r="U21" s="483">
        <v>107642</v>
      </c>
      <c r="V21" s="483">
        <v>448407</v>
      </c>
      <c r="W21" s="483">
        <v>459194</v>
      </c>
      <c r="X21" s="483">
        <v>6791</v>
      </c>
      <c r="Y21" s="483">
        <v>0</v>
      </c>
      <c r="Z21" s="406">
        <v>0</v>
      </c>
      <c r="AA21" s="483">
        <v>47149</v>
      </c>
      <c r="AB21" s="483">
        <v>5024</v>
      </c>
      <c r="AC21" s="385">
        <v>23237</v>
      </c>
      <c r="AD21" s="545">
        <v>5.4</v>
      </c>
      <c r="AE21" s="483">
        <v>81899</v>
      </c>
      <c r="AF21" s="483">
        <v>86077</v>
      </c>
      <c r="AG21" s="481">
        <v>51436</v>
      </c>
      <c r="AH21" s="481">
        <v>49576</v>
      </c>
      <c r="AI21">
        <v>51</v>
      </c>
      <c r="AJ21" s="385">
        <v>441084774</v>
      </c>
      <c r="AK21" s="385">
        <v>5791</v>
      </c>
      <c r="AL21" s="385">
        <v>0</v>
      </c>
      <c r="AM21" s="287">
        <v>0</v>
      </c>
      <c r="AN21" s="542">
        <v>330000</v>
      </c>
      <c r="AO21" s="549">
        <v>0.17</v>
      </c>
      <c r="AP21" s="385">
        <v>72520</v>
      </c>
      <c r="AQ21" s="385">
        <v>76220</v>
      </c>
      <c r="AR21" s="481">
        <v>45546</v>
      </c>
      <c r="AS21" s="481">
        <v>44821</v>
      </c>
      <c r="AT21" s="617"/>
      <c r="AU21" s="618">
        <v>0</v>
      </c>
      <c r="AV21" s="618">
        <v>231064</v>
      </c>
      <c r="AW21" s="620"/>
      <c r="AX21" s="620"/>
      <c r="AY21" s="625"/>
      <c r="AZ21" s="626"/>
      <c r="BA21" s="620"/>
      <c r="BB21" s="673">
        <v>2922670</v>
      </c>
      <c r="BC21" s="781">
        <v>0.05</v>
      </c>
      <c r="BD21" s="790">
        <v>15</v>
      </c>
      <c r="BE21" s="673">
        <v>150284.71</v>
      </c>
    </row>
    <row r="22" spans="1:57" x14ac:dyDescent="0.2">
      <c r="A22" s="390">
        <v>11</v>
      </c>
      <c r="B22" s="551" t="s">
        <v>96</v>
      </c>
      <c r="C22" t="s">
        <v>1022</v>
      </c>
      <c r="D22" s="406">
        <v>502.2</v>
      </c>
      <c r="E22" s="560">
        <v>6670</v>
      </c>
      <c r="F22" s="561">
        <v>594.55999999999995</v>
      </c>
      <c r="G22" s="561">
        <v>67.820000000000007</v>
      </c>
      <c r="H22" s="561">
        <v>60.49</v>
      </c>
      <c r="I22" s="561">
        <v>319.72000000000003</v>
      </c>
      <c r="J22" s="561">
        <v>30.24</v>
      </c>
      <c r="K22" s="561">
        <v>16.350000000000001</v>
      </c>
      <c r="L22" s="561">
        <v>10.96</v>
      </c>
      <c r="M22" s="343">
        <v>0</v>
      </c>
      <c r="N22" s="477">
        <v>24.09</v>
      </c>
      <c r="O22" s="477">
        <v>2.4260000000000002</v>
      </c>
      <c r="P22" s="407">
        <v>0.44</v>
      </c>
      <c r="Q22" s="477">
        <v>0</v>
      </c>
      <c r="R22" s="483">
        <v>3496414</v>
      </c>
      <c r="S22" s="483">
        <v>311668</v>
      </c>
      <c r="T22" s="483">
        <v>35551</v>
      </c>
      <c r="U22" s="483">
        <v>31709</v>
      </c>
      <c r="V22" s="483">
        <v>167597</v>
      </c>
      <c r="W22" s="483">
        <v>163273</v>
      </c>
      <c r="X22" s="483">
        <v>4154</v>
      </c>
      <c r="Y22" s="483">
        <v>3</v>
      </c>
      <c r="Z22" s="406">
        <v>0</v>
      </c>
      <c r="AA22" s="483">
        <v>13453</v>
      </c>
      <c r="AB22" s="483">
        <v>1710</v>
      </c>
      <c r="AC22" s="385">
        <v>10649</v>
      </c>
      <c r="AD22" s="545">
        <v>5.4</v>
      </c>
      <c r="AE22" s="483">
        <v>37814</v>
      </c>
      <c r="AF22" s="483">
        <v>38899</v>
      </c>
      <c r="AG22" s="481">
        <v>13359</v>
      </c>
      <c r="AH22" s="481">
        <v>8852</v>
      </c>
      <c r="AI22">
        <v>13</v>
      </c>
      <c r="AJ22" s="385">
        <v>214661532</v>
      </c>
      <c r="AK22" s="385">
        <v>49695</v>
      </c>
      <c r="AL22" s="385">
        <v>5167</v>
      </c>
      <c r="AM22" s="287">
        <v>0</v>
      </c>
      <c r="AN22" s="542">
        <v>330000</v>
      </c>
      <c r="AO22" s="549">
        <v>0.17</v>
      </c>
      <c r="AP22" s="385">
        <v>21101</v>
      </c>
      <c r="AQ22" s="385">
        <v>21706</v>
      </c>
      <c r="AR22" s="481">
        <v>7454</v>
      </c>
      <c r="AS22" s="481">
        <v>4983</v>
      </c>
      <c r="AT22" s="617"/>
      <c r="AU22" s="618">
        <v>0</v>
      </c>
      <c r="AV22" s="618">
        <v>26075</v>
      </c>
      <c r="AW22" s="620"/>
      <c r="AX22" s="620"/>
      <c r="AY22" s="625"/>
      <c r="AZ22" s="626"/>
      <c r="BA22" s="620"/>
      <c r="BB22" s="673">
        <v>107471</v>
      </c>
      <c r="BC22" s="781">
        <v>3.3000000000000002E-2</v>
      </c>
      <c r="BD22" s="790">
        <v>5</v>
      </c>
      <c r="BE22" s="673">
        <v>30135.56</v>
      </c>
    </row>
    <row r="23" spans="1:57" x14ac:dyDescent="0.2">
      <c r="A23" s="390">
        <v>12</v>
      </c>
      <c r="B23" s="551" t="s">
        <v>97</v>
      </c>
      <c r="C23" t="s">
        <v>1023</v>
      </c>
      <c r="D23" s="406">
        <v>237.1</v>
      </c>
      <c r="E23" s="560">
        <v>6658</v>
      </c>
      <c r="F23" s="561">
        <v>608.16</v>
      </c>
      <c r="G23" s="561">
        <v>72.39</v>
      </c>
      <c r="H23" s="561">
        <v>65.5</v>
      </c>
      <c r="I23" s="561">
        <v>319.72000000000003</v>
      </c>
      <c r="J23" s="561">
        <v>12.24</v>
      </c>
      <c r="K23" s="561">
        <v>3.63</v>
      </c>
      <c r="L23" s="561">
        <v>0</v>
      </c>
      <c r="M23" s="343">
        <v>0</v>
      </c>
      <c r="N23" s="477">
        <v>23.66</v>
      </c>
      <c r="O23" s="477">
        <v>1.129</v>
      </c>
      <c r="P23" s="407">
        <v>1.32</v>
      </c>
      <c r="Q23" s="477">
        <v>0</v>
      </c>
      <c r="R23" s="483">
        <v>1629213</v>
      </c>
      <c r="S23" s="483">
        <v>148817</v>
      </c>
      <c r="T23" s="483">
        <v>17714</v>
      </c>
      <c r="U23" s="483">
        <v>16028</v>
      </c>
      <c r="V23" s="483">
        <v>78235</v>
      </c>
      <c r="W23" s="483">
        <v>77488</v>
      </c>
      <c r="X23" s="483">
        <v>7641</v>
      </c>
      <c r="Y23" s="483">
        <v>0</v>
      </c>
      <c r="Z23" s="406">
        <v>0</v>
      </c>
      <c r="AA23" s="483">
        <v>7785</v>
      </c>
      <c r="AB23" s="483">
        <v>931</v>
      </c>
      <c r="AC23" s="385">
        <v>5599</v>
      </c>
      <c r="AD23" s="545">
        <v>5.4</v>
      </c>
      <c r="AE23" s="483">
        <v>11741</v>
      </c>
      <c r="AF23" s="483">
        <v>12002</v>
      </c>
      <c r="AG23" s="481">
        <v>13250</v>
      </c>
      <c r="AH23" s="481">
        <v>13250</v>
      </c>
      <c r="AI23">
        <v>5.5</v>
      </c>
      <c r="AJ23" s="385">
        <v>171121251</v>
      </c>
      <c r="AK23" s="385">
        <v>14751</v>
      </c>
      <c r="AL23" s="385">
        <v>0</v>
      </c>
      <c r="AM23" s="287">
        <v>0</v>
      </c>
      <c r="AN23" s="542">
        <v>330000</v>
      </c>
      <c r="AO23" s="549">
        <v>0.17</v>
      </c>
      <c r="AP23" s="385">
        <v>4506</v>
      </c>
      <c r="AQ23" s="385">
        <v>4606</v>
      </c>
      <c r="AR23" s="481">
        <v>5085</v>
      </c>
      <c r="AS23" s="481">
        <v>5155</v>
      </c>
      <c r="AT23" s="617"/>
      <c r="AU23" s="618">
        <v>0</v>
      </c>
      <c r="AV23" s="618">
        <v>0</v>
      </c>
      <c r="AW23" s="620"/>
      <c r="AX23" s="620"/>
      <c r="AY23" s="625"/>
      <c r="AZ23" s="626"/>
      <c r="BA23" s="620"/>
      <c r="BB23" s="673">
        <v>0</v>
      </c>
      <c r="BC23" s="781">
        <v>0.05</v>
      </c>
      <c r="BD23" s="790">
        <v>18</v>
      </c>
      <c r="BE23" s="673">
        <v>23582.29</v>
      </c>
    </row>
    <row r="24" spans="1:57" x14ac:dyDescent="0.2">
      <c r="A24" s="390">
        <v>11</v>
      </c>
      <c r="B24" s="551" t="s">
        <v>98</v>
      </c>
      <c r="C24" t="s">
        <v>1024</v>
      </c>
      <c r="D24" s="406">
        <v>1604</v>
      </c>
      <c r="E24" s="560">
        <v>6591</v>
      </c>
      <c r="F24" s="561">
        <v>523.51</v>
      </c>
      <c r="G24" s="561">
        <v>55.760000000000005</v>
      </c>
      <c r="H24" s="561">
        <v>65.92</v>
      </c>
      <c r="I24" s="561">
        <v>319.72000000000003</v>
      </c>
      <c r="J24" s="561">
        <v>77.039999999999992</v>
      </c>
      <c r="K24" s="561">
        <v>36.909999999999997</v>
      </c>
      <c r="L24" s="561">
        <v>21.92</v>
      </c>
      <c r="M24" s="343">
        <v>0</v>
      </c>
      <c r="N24" s="477">
        <v>12.89</v>
      </c>
      <c r="O24" s="477">
        <v>5.27</v>
      </c>
      <c r="P24" s="407">
        <v>3.52</v>
      </c>
      <c r="Q24" s="477">
        <v>0</v>
      </c>
      <c r="R24" s="483">
        <v>10563396</v>
      </c>
      <c r="S24" s="483">
        <v>839029</v>
      </c>
      <c r="T24" s="483">
        <v>89367</v>
      </c>
      <c r="U24" s="483">
        <v>105650</v>
      </c>
      <c r="V24" s="483">
        <v>512415</v>
      </c>
      <c r="W24" s="483">
        <v>488213</v>
      </c>
      <c r="X24" s="483">
        <v>0</v>
      </c>
      <c r="Y24" s="483">
        <v>12</v>
      </c>
      <c r="Z24" s="406">
        <v>0</v>
      </c>
      <c r="AA24" s="483">
        <v>40228</v>
      </c>
      <c r="AB24" s="483">
        <v>5113</v>
      </c>
      <c r="AC24" s="385">
        <v>17638</v>
      </c>
      <c r="AD24" s="545">
        <v>5.4</v>
      </c>
      <c r="AE24" s="483">
        <v>30523</v>
      </c>
      <c r="AF24" s="483">
        <v>30610</v>
      </c>
      <c r="AG24" s="481">
        <v>33195</v>
      </c>
      <c r="AH24" s="481">
        <v>30536</v>
      </c>
      <c r="AI24">
        <v>61</v>
      </c>
      <c r="AJ24" s="385">
        <v>285207748</v>
      </c>
      <c r="AK24" s="385">
        <v>10894</v>
      </c>
      <c r="AL24" s="385">
        <v>0</v>
      </c>
      <c r="AM24" s="287">
        <v>0</v>
      </c>
      <c r="AN24" s="542">
        <v>330000</v>
      </c>
      <c r="AO24" s="549">
        <v>0.17</v>
      </c>
      <c r="AP24" s="385">
        <v>32182</v>
      </c>
      <c r="AQ24" s="385">
        <v>32274</v>
      </c>
      <c r="AR24" s="481">
        <v>35000</v>
      </c>
      <c r="AS24" s="481">
        <v>32824</v>
      </c>
      <c r="AT24" s="617"/>
      <c r="AU24" s="618">
        <v>0</v>
      </c>
      <c r="AV24" s="618">
        <v>117014</v>
      </c>
      <c r="AW24" s="620"/>
      <c r="AX24" s="620"/>
      <c r="AY24" s="625"/>
      <c r="AZ24" s="626">
        <v>-0.40500000000000003</v>
      </c>
      <c r="BA24" s="620"/>
      <c r="BB24" s="673">
        <v>0</v>
      </c>
      <c r="BC24" s="781">
        <v>4.1000000000000002E-2</v>
      </c>
      <c r="BD24" s="790">
        <v>85</v>
      </c>
      <c r="BE24" s="673">
        <v>135558.22</v>
      </c>
    </row>
    <row r="25" spans="1:57" x14ac:dyDescent="0.2">
      <c r="A25" s="390">
        <v>12</v>
      </c>
      <c r="B25" s="551" t="s">
        <v>99</v>
      </c>
      <c r="C25" t="s">
        <v>1025</v>
      </c>
      <c r="D25" s="406">
        <v>642.1</v>
      </c>
      <c r="E25" s="560">
        <v>6591</v>
      </c>
      <c r="F25" s="561">
        <v>611.30999999999995</v>
      </c>
      <c r="G25" s="561">
        <v>69.070000000000007</v>
      </c>
      <c r="H25" s="561">
        <v>69.52000000000001</v>
      </c>
      <c r="I25" s="561">
        <v>319.72000000000003</v>
      </c>
      <c r="J25" s="561">
        <v>35.28</v>
      </c>
      <c r="K25" s="561">
        <v>30.25</v>
      </c>
      <c r="L25" s="561">
        <v>5.48</v>
      </c>
      <c r="M25" s="343">
        <v>0</v>
      </c>
      <c r="N25" s="477">
        <v>22.33</v>
      </c>
      <c r="O25" s="477">
        <v>3.169</v>
      </c>
      <c r="P25" s="407">
        <v>1.1000000000000001</v>
      </c>
      <c r="Q25" s="477">
        <v>0</v>
      </c>
      <c r="R25" s="483">
        <v>4208354</v>
      </c>
      <c r="S25" s="483">
        <v>390321</v>
      </c>
      <c r="T25" s="483">
        <v>44101</v>
      </c>
      <c r="U25" s="483">
        <v>44389</v>
      </c>
      <c r="V25" s="483">
        <v>204141</v>
      </c>
      <c r="W25" s="483">
        <v>210927</v>
      </c>
      <c r="X25" s="483">
        <v>3665</v>
      </c>
      <c r="Y25" s="483">
        <v>19</v>
      </c>
      <c r="Z25" s="406">
        <v>0</v>
      </c>
      <c r="AA25" s="483">
        <v>21191</v>
      </c>
      <c r="AB25" s="483">
        <v>2534</v>
      </c>
      <c r="AC25" s="385">
        <v>12735</v>
      </c>
      <c r="AD25" s="545">
        <v>5.4</v>
      </c>
      <c r="AE25" s="483">
        <v>39952</v>
      </c>
      <c r="AF25" s="483">
        <v>40577</v>
      </c>
      <c r="AG25" s="481">
        <v>25630</v>
      </c>
      <c r="AH25" s="481">
        <v>25586</v>
      </c>
      <c r="AI25">
        <v>14</v>
      </c>
      <c r="AJ25" s="385">
        <v>261626664</v>
      </c>
      <c r="AK25" s="385">
        <v>14043</v>
      </c>
      <c r="AL25" s="385">
        <v>0</v>
      </c>
      <c r="AM25" s="287">
        <v>0</v>
      </c>
      <c r="AN25" s="542">
        <v>330000</v>
      </c>
      <c r="AO25" s="549">
        <v>0.17</v>
      </c>
      <c r="AP25" s="385">
        <v>22825</v>
      </c>
      <c r="AQ25" s="385">
        <v>23182</v>
      </c>
      <c r="AR25" s="481">
        <v>14643</v>
      </c>
      <c r="AS25" s="481">
        <v>14850</v>
      </c>
      <c r="AT25" s="617"/>
      <c r="AU25" s="618">
        <v>0</v>
      </c>
      <c r="AV25" s="618">
        <v>22143</v>
      </c>
      <c r="AW25" s="620"/>
      <c r="AX25" s="620"/>
      <c r="AY25" s="625"/>
      <c r="AZ25" s="626"/>
      <c r="BA25" s="620"/>
      <c r="BB25" s="673">
        <v>151471</v>
      </c>
      <c r="BC25" s="781">
        <v>3.3000000000000002E-2</v>
      </c>
      <c r="BD25" s="790">
        <v>47</v>
      </c>
      <c r="BE25" s="673">
        <v>58450.04</v>
      </c>
    </row>
    <row r="26" spans="1:57" x14ac:dyDescent="0.2">
      <c r="A26" s="390">
        <v>11</v>
      </c>
      <c r="B26" s="551" t="s">
        <v>100</v>
      </c>
      <c r="C26" t="s">
        <v>1026</v>
      </c>
      <c r="D26" s="406">
        <v>328.8</v>
      </c>
      <c r="E26" s="560">
        <v>6591</v>
      </c>
      <c r="F26" s="561">
        <v>606.85</v>
      </c>
      <c r="G26" s="561">
        <v>60.64</v>
      </c>
      <c r="H26" s="561">
        <v>64.990000000000009</v>
      </c>
      <c r="I26" s="561">
        <v>319.72000000000003</v>
      </c>
      <c r="J26" s="561">
        <v>18.72</v>
      </c>
      <c r="K26" s="561">
        <v>10.3</v>
      </c>
      <c r="L26" s="561">
        <v>8.2200000000000006</v>
      </c>
      <c r="M26" s="343">
        <v>0</v>
      </c>
      <c r="N26" s="477">
        <v>3.35</v>
      </c>
      <c r="O26" s="477">
        <v>1.1419999999999999</v>
      </c>
      <c r="P26" s="407">
        <v>0</v>
      </c>
      <c r="Q26" s="477">
        <v>0</v>
      </c>
      <c r="R26" s="483">
        <v>2279827</v>
      </c>
      <c r="S26" s="483">
        <v>209909</v>
      </c>
      <c r="T26" s="483">
        <v>20975</v>
      </c>
      <c r="U26" s="483">
        <v>22480</v>
      </c>
      <c r="V26" s="483">
        <v>110591</v>
      </c>
      <c r="W26" s="483">
        <v>106954</v>
      </c>
      <c r="X26" s="483">
        <v>3594</v>
      </c>
      <c r="Y26" s="483">
        <v>4</v>
      </c>
      <c r="Z26" s="406">
        <v>0</v>
      </c>
      <c r="AA26" s="483">
        <v>8813</v>
      </c>
      <c r="AB26" s="483">
        <v>1120</v>
      </c>
      <c r="AC26" s="385">
        <v>4850</v>
      </c>
      <c r="AD26" s="545">
        <v>5.4</v>
      </c>
      <c r="AE26" s="483">
        <v>9977</v>
      </c>
      <c r="AF26" s="483">
        <v>9950</v>
      </c>
      <c r="AG26" s="481">
        <v>2295</v>
      </c>
      <c r="AH26" s="481">
        <v>1665</v>
      </c>
      <c r="AI26">
        <v>11.5</v>
      </c>
      <c r="AJ26" s="385">
        <v>86022361</v>
      </c>
      <c r="AK26" s="385">
        <v>0</v>
      </c>
      <c r="AL26" s="385">
        <v>0</v>
      </c>
      <c r="AM26" s="287">
        <v>0</v>
      </c>
      <c r="AN26" s="542">
        <v>330000</v>
      </c>
      <c r="AO26" s="549">
        <v>0.17</v>
      </c>
      <c r="AP26" s="385">
        <v>8990</v>
      </c>
      <c r="AQ26" s="385">
        <v>8965</v>
      </c>
      <c r="AR26" s="481">
        <v>2067</v>
      </c>
      <c r="AS26" s="481">
        <v>1509</v>
      </c>
      <c r="AT26" s="617"/>
      <c r="AU26" s="618">
        <v>110155</v>
      </c>
      <c r="AV26" s="618">
        <v>0</v>
      </c>
      <c r="AW26" s="620"/>
      <c r="AX26" s="620"/>
      <c r="AY26" s="625"/>
      <c r="AZ26" s="626"/>
      <c r="BA26" s="620"/>
      <c r="BB26" s="673">
        <v>0</v>
      </c>
      <c r="BC26" s="781">
        <v>3.6999999999999998E-2</v>
      </c>
      <c r="BD26" s="790">
        <v>50</v>
      </c>
      <c r="BE26" s="673">
        <v>7472.8</v>
      </c>
    </row>
    <row r="27" spans="1:57" x14ac:dyDescent="0.2">
      <c r="A27" s="390">
        <v>7</v>
      </c>
      <c r="B27" s="551" t="s">
        <v>101</v>
      </c>
      <c r="C27" t="s">
        <v>1027</v>
      </c>
      <c r="D27" s="406">
        <v>555.4</v>
      </c>
      <c r="E27" s="560">
        <v>6672</v>
      </c>
      <c r="F27" s="561">
        <v>576.95000000000005</v>
      </c>
      <c r="G27" s="561">
        <v>64.02</v>
      </c>
      <c r="H27" s="561">
        <v>60.839999999999996</v>
      </c>
      <c r="I27" s="561">
        <v>319.72000000000003</v>
      </c>
      <c r="J27" s="561">
        <v>33.839999999999996</v>
      </c>
      <c r="K27" s="561">
        <v>21.78</v>
      </c>
      <c r="L27" s="561">
        <v>8.2200000000000006</v>
      </c>
      <c r="M27" s="343">
        <v>0</v>
      </c>
      <c r="N27" s="477">
        <v>24.48</v>
      </c>
      <c r="O27" s="477">
        <v>2.492</v>
      </c>
      <c r="P27" s="407">
        <v>0.44</v>
      </c>
      <c r="Q27" s="477">
        <v>0</v>
      </c>
      <c r="R27" s="483">
        <v>3813048</v>
      </c>
      <c r="S27" s="483">
        <v>329727</v>
      </c>
      <c r="T27" s="483">
        <v>36587</v>
      </c>
      <c r="U27" s="483">
        <v>34770</v>
      </c>
      <c r="V27" s="483">
        <v>182720</v>
      </c>
      <c r="W27" s="483">
        <v>186512</v>
      </c>
      <c r="X27" s="483">
        <v>0</v>
      </c>
      <c r="Y27" s="483">
        <v>0</v>
      </c>
      <c r="Z27" s="406">
        <v>0</v>
      </c>
      <c r="AA27" s="483">
        <v>23650</v>
      </c>
      <c r="AB27" s="483">
        <v>2718</v>
      </c>
      <c r="AC27" s="385">
        <v>10011</v>
      </c>
      <c r="AD27" s="545">
        <v>5.4</v>
      </c>
      <c r="AE27" s="483">
        <v>40258</v>
      </c>
      <c r="AF27" s="483">
        <v>40516</v>
      </c>
      <c r="AG27" s="481">
        <v>15380</v>
      </c>
      <c r="AH27" s="481">
        <v>14339</v>
      </c>
      <c r="AI27">
        <v>11.5</v>
      </c>
      <c r="AJ27" s="385">
        <v>240711048</v>
      </c>
      <c r="AK27" s="385">
        <v>28816</v>
      </c>
      <c r="AL27" s="385">
        <v>0</v>
      </c>
      <c r="AM27" s="287">
        <v>0</v>
      </c>
      <c r="AN27" s="542">
        <v>330000</v>
      </c>
      <c r="AO27" s="549">
        <v>0.17</v>
      </c>
      <c r="AP27" s="385">
        <v>25421</v>
      </c>
      <c r="AQ27" s="385">
        <v>25584</v>
      </c>
      <c r="AR27" s="481">
        <v>9712</v>
      </c>
      <c r="AS27" s="481">
        <v>9162</v>
      </c>
      <c r="AT27" s="617"/>
      <c r="AU27" s="618">
        <v>0</v>
      </c>
      <c r="AV27" s="618">
        <v>12446</v>
      </c>
      <c r="AW27" s="620"/>
      <c r="AX27" s="620"/>
      <c r="AY27" s="625"/>
      <c r="AZ27" s="626"/>
      <c r="BA27" s="620"/>
      <c r="BB27" s="673">
        <v>0</v>
      </c>
      <c r="BC27" s="781">
        <v>0.05</v>
      </c>
      <c r="BD27" s="790">
        <v>38</v>
      </c>
      <c r="BE27" s="673">
        <v>36890.35</v>
      </c>
    </row>
    <row r="28" spans="1:57" x14ac:dyDescent="0.2">
      <c r="A28" s="390">
        <v>13</v>
      </c>
      <c r="B28" s="551" t="s">
        <v>102</v>
      </c>
      <c r="C28" t="s">
        <v>1028</v>
      </c>
      <c r="D28" s="406">
        <v>445</v>
      </c>
      <c r="E28" s="560">
        <v>6591</v>
      </c>
      <c r="F28" s="561">
        <v>609.79999999999995</v>
      </c>
      <c r="G28" s="561">
        <v>64.510000000000005</v>
      </c>
      <c r="H28" s="561">
        <v>70.92</v>
      </c>
      <c r="I28" s="561">
        <v>319.72000000000003</v>
      </c>
      <c r="J28" s="561">
        <v>34.56</v>
      </c>
      <c r="K28" s="561">
        <v>4.24</v>
      </c>
      <c r="L28" s="561">
        <v>2.74</v>
      </c>
      <c r="M28" s="343">
        <v>0</v>
      </c>
      <c r="N28" s="477">
        <v>10.220000000000001</v>
      </c>
      <c r="O28" s="477">
        <v>2.242</v>
      </c>
      <c r="P28" s="407">
        <v>0</v>
      </c>
      <c r="Q28" s="477">
        <v>0</v>
      </c>
      <c r="R28" s="483">
        <v>3163021</v>
      </c>
      <c r="S28" s="483">
        <v>292643</v>
      </c>
      <c r="T28" s="483">
        <v>30958</v>
      </c>
      <c r="U28" s="483">
        <v>34035</v>
      </c>
      <c r="V28" s="483">
        <v>153434</v>
      </c>
      <c r="W28" s="483">
        <v>152090</v>
      </c>
      <c r="X28" s="483">
        <v>7294</v>
      </c>
      <c r="Y28" s="483">
        <v>1</v>
      </c>
      <c r="Z28" s="406">
        <v>0</v>
      </c>
      <c r="AA28" s="483">
        <v>15616</v>
      </c>
      <c r="AB28" s="483">
        <v>1664</v>
      </c>
      <c r="AC28" s="385">
        <v>10095</v>
      </c>
      <c r="AD28" s="545">
        <v>5.4</v>
      </c>
      <c r="AE28" s="483">
        <v>32017</v>
      </c>
      <c r="AF28" s="483">
        <v>32838</v>
      </c>
      <c r="AG28" s="481">
        <v>4988</v>
      </c>
      <c r="AH28" s="481">
        <v>4774</v>
      </c>
      <c r="AI28">
        <v>12</v>
      </c>
      <c r="AJ28" s="385">
        <v>185438456</v>
      </c>
      <c r="AK28" s="385">
        <v>16386</v>
      </c>
      <c r="AL28" s="385">
        <v>0</v>
      </c>
      <c r="AM28" s="287">
        <v>0</v>
      </c>
      <c r="AN28" s="542">
        <v>330000</v>
      </c>
      <c r="AO28" s="549">
        <v>0.17</v>
      </c>
      <c r="AP28" s="385">
        <v>19407</v>
      </c>
      <c r="AQ28" s="385">
        <v>19905</v>
      </c>
      <c r="AR28" s="481">
        <v>3049</v>
      </c>
      <c r="AS28" s="481">
        <v>3048</v>
      </c>
      <c r="AT28" s="617"/>
      <c r="AU28" s="618">
        <v>10977</v>
      </c>
      <c r="AV28" s="618">
        <v>0</v>
      </c>
      <c r="AW28" s="620"/>
      <c r="AX28" s="620"/>
      <c r="AY28" s="625"/>
      <c r="AZ28" s="626"/>
      <c r="BA28" s="620"/>
      <c r="BB28" s="673">
        <v>535805</v>
      </c>
      <c r="BC28" s="781">
        <v>4.1000000000000002E-2</v>
      </c>
      <c r="BD28" s="790">
        <v>87</v>
      </c>
      <c r="BE28" s="673">
        <v>12041.91</v>
      </c>
    </row>
    <row r="29" spans="1:57" x14ac:dyDescent="0.2">
      <c r="A29" s="390">
        <v>10</v>
      </c>
      <c r="B29" s="551" t="s">
        <v>103</v>
      </c>
      <c r="C29" t="s">
        <v>1029</v>
      </c>
      <c r="D29" s="406">
        <v>531.4</v>
      </c>
      <c r="E29" s="560">
        <v>6595</v>
      </c>
      <c r="F29" s="561">
        <v>559.01</v>
      </c>
      <c r="G29" s="561">
        <v>55.35</v>
      </c>
      <c r="H29" s="561">
        <v>56</v>
      </c>
      <c r="I29" s="561">
        <v>319.72000000000003</v>
      </c>
      <c r="J29" s="561">
        <v>30.959999999999997</v>
      </c>
      <c r="K29" s="561">
        <v>9.08</v>
      </c>
      <c r="L29" s="561">
        <v>0</v>
      </c>
      <c r="M29" s="343">
        <v>0</v>
      </c>
      <c r="N29" s="477">
        <v>15.73</v>
      </c>
      <c r="O29" s="477">
        <v>2.339</v>
      </c>
      <c r="P29" s="407">
        <v>0</v>
      </c>
      <c r="Q29" s="477">
        <v>0</v>
      </c>
      <c r="R29" s="483">
        <v>3602849</v>
      </c>
      <c r="S29" s="483">
        <v>305387</v>
      </c>
      <c r="T29" s="483">
        <v>30238</v>
      </c>
      <c r="U29" s="483">
        <v>30593</v>
      </c>
      <c r="V29" s="483">
        <v>174663</v>
      </c>
      <c r="W29" s="483">
        <v>169531</v>
      </c>
      <c r="X29" s="483">
        <v>4797</v>
      </c>
      <c r="Y29" s="483">
        <v>1</v>
      </c>
      <c r="Z29" s="406">
        <v>0</v>
      </c>
      <c r="AA29" s="483">
        <v>15839</v>
      </c>
      <c r="AB29" s="483">
        <v>1843</v>
      </c>
      <c r="AC29" s="385">
        <v>11615</v>
      </c>
      <c r="AD29" s="545">
        <v>5.4</v>
      </c>
      <c r="AE29" s="483">
        <v>21109</v>
      </c>
      <c r="AF29" s="483">
        <v>21024</v>
      </c>
      <c r="AG29" s="481">
        <v>11077</v>
      </c>
      <c r="AH29" s="481">
        <v>9128</v>
      </c>
      <c r="AI29">
        <v>13</v>
      </c>
      <c r="AJ29" s="385">
        <v>145577954</v>
      </c>
      <c r="AK29" s="385">
        <v>8054</v>
      </c>
      <c r="AL29" s="385">
        <v>0</v>
      </c>
      <c r="AM29" s="287">
        <v>0</v>
      </c>
      <c r="AN29" s="542">
        <v>330000</v>
      </c>
      <c r="AO29" s="549">
        <v>0.17</v>
      </c>
      <c r="AP29" s="385">
        <v>14699</v>
      </c>
      <c r="AQ29" s="385">
        <v>14640</v>
      </c>
      <c r="AR29" s="481">
        <v>7714</v>
      </c>
      <c r="AS29" s="481">
        <v>6440</v>
      </c>
      <c r="AT29" s="617"/>
      <c r="AU29" s="618">
        <v>104431</v>
      </c>
      <c r="AV29" s="618">
        <v>0</v>
      </c>
      <c r="AW29" s="620"/>
      <c r="AX29" s="620"/>
      <c r="AY29" s="625"/>
      <c r="AZ29" s="626"/>
      <c r="BA29" s="620"/>
      <c r="BB29" s="673">
        <v>769800</v>
      </c>
      <c r="BC29" s="781">
        <v>4.2999999999999997E-2</v>
      </c>
      <c r="BD29" s="790">
        <v>6</v>
      </c>
      <c r="BE29" s="673">
        <v>34644.54</v>
      </c>
    </row>
    <row r="30" spans="1:57" x14ac:dyDescent="0.2">
      <c r="A30" s="390">
        <v>9</v>
      </c>
      <c r="B30" s="551" t="s">
        <v>104</v>
      </c>
      <c r="C30" t="s">
        <v>1030</v>
      </c>
      <c r="D30" s="406">
        <v>574.20000000000005</v>
      </c>
      <c r="E30" s="560">
        <v>6648</v>
      </c>
      <c r="F30" s="561">
        <v>589.55999999999995</v>
      </c>
      <c r="G30" s="561">
        <v>64.929999999999993</v>
      </c>
      <c r="H30" s="561">
        <v>59.57</v>
      </c>
      <c r="I30" s="561">
        <v>319.72000000000003</v>
      </c>
      <c r="J30" s="561">
        <v>26.64</v>
      </c>
      <c r="K30" s="561">
        <v>14.530000000000001</v>
      </c>
      <c r="L30" s="561">
        <v>13.700000000000001</v>
      </c>
      <c r="M30" s="343">
        <v>0</v>
      </c>
      <c r="N30" s="477">
        <v>5.47</v>
      </c>
      <c r="O30" s="477">
        <v>2.1879999999999997</v>
      </c>
      <c r="P30" s="407">
        <v>0</v>
      </c>
      <c r="Q30" s="477">
        <v>0</v>
      </c>
      <c r="R30" s="483">
        <v>3730193</v>
      </c>
      <c r="S30" s="483">
        <v>330802</v>
      </c>
      <c r="T30" s="483">
        <v>36432</v>
      </c>
      <c r="U30" s="483">
        <v>33425</v>
      </c>
      <c r="V30" s="483">
        <v>179395</v>
      </c>
      <c r="W30" s="483">
        <v>179554</v>
      </c>
      <c r="X30" s="483">
        <v>569</v>
      </c>
      <c r="Y30" s="483">
        <v>172</v>
      </c>
      <c r="Z30" s="406">
        <v>2.2000000000000002</v>
      </c>
      <c r="AA30" s="483">
        <v>16201</v>
      </c>
      <c r="AB30" s="483">
        <v>1902</v>
      </c>
      <c r="AC30" s="385">
        <v>11301</v>
      </c>
      <c r="AD30" s="545">
        <v>5.4</v>
      </c>
      <c r="AE30" s="483">
        <v>12251</v>
      </c>
      <c r="AF30" s="483">
        <v>12233</v>
      </c>
      <c r="AG30" s="481">
        <v>16601</v>
      </c>
      <c r="AH30" s="481">
        <v>13063</v>
      </c>
      <c r="AI30">
        <v>23.5</v>
      </c>
      <c r="AJ30" s="385">
        <v>231979308</v>
      </c>
      <c r="AK30" s="385">
        <v>28238</v>
      </c>
      <c r="AL30" s="385">
        <v>0</v>
      </c>
      <c r="AM30" s="287">
        <v>0</v>
      </c>
      <c r="AN30" s="542">
        <v>330000</v>
      </c>
      <c r="AO30" s="549">
        <v>0.17</v>
      </c>
      <c r="AP30" s="385">
        <v>7209</v>
      </c>
      <c r="AQ30" s="385">
        <v>7198</v>
      </c>
      <c r="AR30" s="481">
        <v>9768</v>
      </c>
      <c r="AS30" s="481">
        <v>7775</v>
      </c>
      <c r="AT30" s="617"/>
      <c r="AU30" s="618">
        <v>51986</v>
      </c>
      <c r="AV30" s="618">
        <v>15555</v>
      </c>
      <c r="AW30" s="620"/>
      <c r="AX30" s="620"/>
      <c r="AY30" s="625"/>
      <c r="AZ30" s="626"/>
      <c r="BA30" s="620"/>
      <c r="BB30" s="673">
        <v>163238</v>
      </c>
      <c r="BC30" s="781">
        <v>3.6999999999999998E-2</v>
      </c>
      <c r="BD30" s="790">
        <v>49</v>
      </c>
      <c r="BE30" s="673">
        <v>37794.660000000003</v>
      </c>
    </row>
    <row r="31" spans="1:57" x14ac:dyDescent="0.2">
      <c r="A31" s="390">
        <v>7</v>
      </c>
      <c r="B31" s="551" t="s">
        <v>105</v>
      </c>
      <c r="C31" t="s">
        <v>1031</v>
      </c>
      <c r="D31" s="406">
        <v>812.2</v>
      </c>
      <c r="E31" s="560">
        <v>6596</v>
      </c>
      <c r="F31" s="561">
        <v>561.29</v>
      </c>
      <c r="G31" s="561">
        <v>59.730000000000004</v>
      </c>
      <c r="H31" s="561">
        <v>69.960000000000008</v>
      </c>
      <c r="I31" s="561">
        <v>319.72000000000003</v>
      </c>
      <c r="J31" s="561">
        <v>46.8</v>
      </c>
      <c r="K31" s="561">
        <v>31.47</v>
      </c>
      <c r="L31" s="561">
        <v>23.290000000000003</v>
      </c>
      <c r="M31" s="343">
        <v>0</v>
      </c>
      <c r="N31" s="477">
        <v>3.92</v>
      </c>
      <c r="O31" s="477">
        <v>4.5510000000000002</v>
      </c>
      <c r="P31" s="407">
        <v>12.98</v>
      </c>
      <c r="Q31" s="477">
        <v>0</v>
      </c>
      <c r="R31" s="483">
        <v>5285375</v>
      </c>
      <c r="S31" s="483">
        <v>449762</v>
      </c>
      <c r="T31" s="483">
        <v>47862</v>
      </c>
      <c r="U31" s="483">
        <v>56059</v>
      </c>
      <c r="V31" s="483">
        <v>256192</v>
      </c>
      <c r="W31" s="483">
        <v>264498</v>
      </c>
      <c r="X31" s="483">
        <v>0</v>
      </c>
      <c r="Y31" s="483">
        <v>3</v>
      </c>
      <c r="Z31" s="406">
        <v>0</v>
      </c>
      <c r="AA31" s="483">
        <v>33538</v>
      </c>
      <c r="AB31" s="483">
        <v>3854</v>
      </c>
      <c r="AC31" s="385">
        <v>13493</v>
      </c>
      <c r="AD31" s="545">
        <v>5.4</v>
      </c>
      <c r="AE31" s="483">
        <v>31786</v>
      </c>
      <c r="AF31" s="483">
        <v>32056</v>
      </c>
      <c r="AG31" s="481">
        <v>21411</v>
      </c>
      <c r="AH31" s="481">
        <v>21411</v>
      </c>
      <c r="AI31">
        <v>17.5</v>
      </c>
      <c r="AJ31" s="385">
        <v>272269193</v>
      </c>
      <c r="AK31" s="385">
        <v>1477</v>
      </c>
      <c r="AL31" s="385">
        <v>0</v>
      </c>
      <c r="AM31" s="287">
        <v>0</v>
      </c>
      <c r="AN31" s="542">
        <v>330000</v>
      </c>
      <c r="AO31" s="549">
        <v>0.17</v>
      </c>
      <c r="AP31" s="385">
        <v>22333</v>
      </c>
      <c r="AQ31" s="385">
        <v>22523</v>
      </c>
      <c r="AR31" s="481">
        <v>15044</v>
      </c>
      <c r="AS31" s="481">
        <v>15229</v>
      </c>
      <c r="AT31" s="617"/>
      <c r="AU31" s="618">
        <v>7670</v>
      </c>
      <c r="AV31" s="618">
        <v>0</v>
      </c>
      <c r="AW31" s="620"/>
      <c r="AX31" s="620"/>
      <c r="AY31" s="625"/>
      <c r="AZ31" s="626"/>
      <c r="BA31" s="620"/>
      <c r="BB31" s="673">
        <v>755779</v>
      </c>
      <c r="BC31" s="781">
        <v>0.04</v>
      </c>
      <c r="BD31" s="790">
        <v>99</v>
      </c>
      <c r="BE31" s="673">
        <v>63721.440000000002</v>
      </c>
    </row>
    <row r="32" spans="1:57" x14ac:dyDescent="0.2">
      <c r="A32" s="390">
        <v>9</v>
      </c>
      <c r="B32" s="551" t="s">
        <v>106</v>
      </c>
      <c r="C32" t="s">
        <v>1032</v>
      </c>
      <c r="D32" s="406">
        <v>186</v>
      </c>
      <c r="E32" s="560">
        <v>6722</v>
      </c>
      <c r="F32" s="561">
        <v>531.61</v>
      </c>
      <c r="G32" s="561">
        <v>38.28</v>
      </c>
      <c r="H32" s="561">
        <v>64.59</v>
      </c>
      <c r="I32" s="561">
        <v>319.72000000000003</v>
      </c>
      <c r="J32" s="561">
        <v>11.52</v>
      </c>
      <c r="K32" s="561">
        <v>12.1</v>
      </c>
      <c r="L32" s="561">
        <v>2.74</v>
      </c>
      <c r="M32" s="343">
        <v>0</v>
      </c>
      <c r="N32" s="477">
        <v>1.2999999999999998</v>
      </c>
      <c r="O32" s="477">
        <v>0.93100000000000005</v>
      </c>
      <c r="P32" s="407">
        <v>0</v>
      </c>
      <c r="Q32" s="477">
        <v>0</v>
      </c>
      <c r="R32" s="483">
        <v>1259031</v>
      </c>
      <c r="S32" s="483">
        <v>99571</v>
      </c>
      <c r="T32" s="483">
        <v>7170</v>
      </c>
      <c r="U32" s="483">
        <v>12098</v>
      </c>
      <c r="V32" s="483">
        <v>59884</v>
      </c>
      <c r="W32" s="483">
        <v>58576</v>
      </c>
      <c r="X32" s="483">
        <v>2083</v>
      </c>
      <c r="Y32" s="483">
        <v>2</v>
      </c>
      <c r="Z32" s="406">
        <v>0</v>
      </c>
      <c r="AA32" s="483">
        <v>5285</v>
      </c>
      <c r="AB32" s="483">
        <v>621</v>
      </c>
      <c r="AC32" s="385">
        <v>3947</v>
      </c>
      <c r="AD32" s="545">
        <v>5.4</v>
      </c>
      <c r="AE32" s="483">
        <v>9591</v>
      </c>
      <c r="AF32" s="483">
        <v>9666</v>
      </c>
      <c r="AG32" s="481">
        <v>1620</v>
      </c>
      <c r="AH32" s="481">
        <v>1604</v>
      </c>
      <c r="AI32">
        <v>3</v>
      </c>
      <c r="AJ32" s="385">
        <v>101130853</v>
      </c>
      <c r="AK32" s="385">
        <v>5893</v>
      </c>
      <c r="AL32" s="385">
        <v>9097</v>
      </c>
      <c r="AM32" s="287">
        <v>0</v>
      </c>
      <c r="AN32" s="542">
        <v>330000</v>
      </c>
      <c r="AO32" s="549">
        <v>0.17</v>
      </c>
      <c r="AP32" s="385">
        <v>3685</v>
      </c>
      <c r="AQ32" s="385">
        <v>3714</v>
      </c>
      <c r="AR32" s="481">
        <v>623</v>
      </c>
      <c r="AS32" s="481">
        <v>618</v>
      </c>
      <c r="AT32" s="617"/>
      <c r="AU32" s="618">
        <v>23388</v>
      </c>
      <c r="AV32" s="618">
        <v>5088</v>
      </c>
      <c r="AW32" s="620"/>
      <c r="AX32" s="620"/>
      <c r="AY32" s="625"/>
      <c r="AZ32" s="626"/>
      <c r="BA32" s="620"/>
      <c r="BB32" s="673">
        <v>75755</v>
      </c>
      <c r="BC32" s="781">
        <v>2.5000000000000001E-2</v>
      </c>
      <c r="BD32" s="790">
        <v>16</v>
      </c>
      <c r="BE32" s="673">
        <v>3730.33</v>
      </c>
    </row>
    <row r="33" spans="1:57" x14ac:dyDescent="0.2">
      <c r="A33" s="390">
        <v>10</v>
      </c>
      <c r="B33" s="551" t="s">
        <v>107</v>
      </c>
      <c r="C33" t="s">
        <v>1033</v>
      </c>
      <c r="D33" s="406">
        <v>1514.8</v>
      </c>
      <c r="E33" s="560">
        <v>6656</v>
      </c>
      <c r="F33" s="561">
        <v>560.11</v>
      </c>
      <c r="G33" s="561">
        <v>61.57</v>
      </c>
      <c r="H33" s="561">
        <v>57.39</v>
      </c>
      <c r="I33" s="561">
        <v>319.72000000000003</v>
      </c>
      <c r="J33" s="561">
        <v>72</v>
      </c>
      <c r="K33" s="561">
        <v>39.959999999999994</v>
      </c>
      <c r="L33" s="561">
        <v>41.099999999999994</v>
      </c>
      <c r="M33" s="343">
        <v>0</v>
      </c>
      <c r="N33" s="477">
        <v>9.82</v>
      </c>
      <c r="O33" s="477">
        <v>5.5019999999999998</v>
      </c>
      <c r="P33" s="407">
        <v>2.2000000000000002</v>
      </c>
      <c r="Q33" s="477">
        <v>0</v>
      </c>
      <c r="R33" s="483">
        <v>9870848</v>
      </c>
      <c r="S33" s="483">
        <v>830643</v>
      </c>
      <c r="T33" s="483">
        <v>91308</v>
      </c>
      <c r="U33" s="483">
        <v>85109</v>
      </c>
      <c r="V33" s="483">
        <v>474145</v>
      </c>
      <c r="W33" s="483">
        <v>471757</v>
      </c>
      <c r="X33" s="483">
        <v>0</v>
      </c>
      <c r="Y33" s="483">
        <v>140</v>
      </c>
      <c r="Z33" s="406">
        <v>0</v>
      </c>
      <c r="AA33" s="483">
        <v>44075</v>
      </c>
      <c r="AB33" s="483">
        <v>5130</v>
      </c>
      <c r="AC33" s="385">
        <v>26831</v>
      </c>
      <c r="AD33" s="545">
        <v>5.4</v>
      </c>
      <c r="AE33" s="483">
        <v>63041</v>
      </c>
      <c r="AF33" s="483">
        <v>63341</v>
      </c>
      <c r="AG33" s="481">
        <v>19824</v>
      </c>
      <c r="AH33" s="481">
        <v>18862</v>
      </c>
      <c r="AI33">
        <v>60</v>
      </c>
      <c r="AJ33" s="385">
        <v>581322712</v>
      </c>
      <c r="AK33" s="385">
        <v>47305</v>
      </c>
      <c r="AL33" s="385">
        <v>0</v>
      </c>
      <c r="AM33" s="287">
        <v>0</v>
      </c>
      <c r="AN33" s="542">
        <v>330000</v>
      </c>
      <c r="AO33" s="549">
        <v>0.17</v>
      </c>
      <c r="AP33" s="385">
        <v>34720</v>
      </c>
      <c r="AQ33" s="385">
        <v>34885</v>
      </c>
      <c r="AR33" s="481">
        <v>10918</v>
      </c>
      <c r="AS33" s="481">
        <v>10453</v>
      </c>
      <c r="AT33" s="617"/>
      <c r="AU33" s="618">
        <v>107399</v>
      </c>
      <c r="AV33" s="618">
        <v>0</v>
      </c>
      <c r="AW33" s="620"/>
      <c r="AX33" s="620"/>
      <c r="AY33" s="625"/>
      <c r="AZ33" s="626"/>
      <c r="BA33" s="620"/>
      <c r="BB33" s="673">
        <v>224530</v>
      </c>
      <c r="BC33" s="781">
        <v>2.5000000000000001E-2</v>
      </c>
      <c r="BD33" s="790">
        <v>6</v>
      </c>
      <c r="BE33" s="673">
        <v>46433.33</v>
      </c>
    </row>
    <row r="34" spans="1:57" x14ac:dyDescent="0.2">
      <c r="A34" s="390">
        <v>9</v>
      </c>
      <c r="B34" s="551" t="s">
        <v>108</v>
      </c>
      <c r="C34" t="s">
        <v>1034</v>
      </c>
      <c r="D34" s="406">
        <v>4134.1000000000004</v>
      </c>
      <c r="E34" s="560">
        <v>6665</v>
      </c>
      <c r="F34" s="561">
        <v>552.25</v>
      </c>
      <c r="G34" s="561">
        <v>63.230000000000004</v>
      </c>
      <c r="H34" s="561">
        <v>63.37</v>
      </c>
      <c r="I34" s="561">
        <v>319.72000000000003</v>
      </c>
      <c r="J34" s="561">
        <v>160.56</v>
      </c>
      <c r="K34" s="561">
        <v>118.58</v>
      </c>
      <c r="L34" s="561">
        <v>142.47999999999999</v>
      </c>
      <c r="M34" s="343">
        <v>0</v>
      </c>
      <c r="N34" s="477">
        <v>14.750000000000002</v>
      </c>
      <c r="O34" s="477">
        <v>18.439999999999998</v>
      </c>
      <c r="P34" s="407">
        <v>9.68</v>
      </c>
      <c r="Q34" s="477">
        <v>0</v>
      </c>
      <c r="R34" s="483">
        <v>27039239</v>
      </c>
      <c r="S34" s="483">
        <v>2240423</v>
      </c>
      <c r="T34" s="483">
        <v>256518</v>
      </c>
      <c r="U34" s="483">
        <v>257086</v>
      </c>
      <c r="V34" s="483">
        <v>1297072</v>
      </c>
      <c r="W34" s="483">
        <v>1294807</v>
      </c>
      <c r="X34" s="483">
        <v>0</v>
      </c>
      <c r="Y34" s="483">
        <v>171</v>
      </c>
      <c r="Z34" s="406">
        <v>0</v>
      </c>
      <c r="AA34" s="483">
        <v>116831</v>
      </c>
      <c r="AB34" s="483">
        <v>13719</v>
      </c>
      <c r="AC34" s="385">
        <v>62483</v>
      </c>
      <c r="AD34" s="545">
        <v>5.4</v>
      </c>
      <c r="AE34" s="483">
        <v>164610</v>
      </c>
      <c r="AF34" s="483">
        <v>170471</v>
      </c>
      <c r="AG34" s="481">
        <v>291662</v>
      </c>
      <c r="AH34" s="481">
        <v>259625</v>
      </c>
      <c r="AI34">
        <v>132</v>
      </c>
      <c r="AJ34" s="385">
        <v>1366089238</v>
      </c>
      <c r="AK34" s="385">
        <v>23612</v>
      </c>
      <c r="AL34" s="385">
        <v>0</v>
      </c>
      <c r="AM34" s="287">
        <v>0</v>
      </c>
      <c r="AN34" s="542">
        <v>330000</v>
      </c>
      <c r="AO34" s="549">
        <v>0.17</v>
      </c>
      <c r="AP34" s="385">
        <v>121916</v>
      </c>
      <c r="AQ34" s="385">
        <v>126257</v>
      </c>
      <c r="AR34" s="481">
        <v>216015</v>
      </c>
      <c r="AS34" s="481">
        <v>198975</v>
      </c>
      <c r="AT34" s="617"/>
      <c r="AU34" s="618">
        <v>117382</v>
      </c>
      <c r="AV34" s="618">
        <v>0</v>
      </c>
      <c r="AW34" s="620"/>
      <c r="AX34" s="620"/>
      <c r="AY34" s="625"/>
      <c r="AZ34" s="626"/>
      <c r="BA34" s="620"/>
      <c r="BB34" s="673">
        <v>0</v>
      </c>
      <c r="BC34" s="781">
        <v>4.5999999999999999E-2</v>
      </c>
      <c r="BD34" s="790">
        <v>82</v>
      </c>
      <c r="BE34" s="673">
        <v>747776.34</v>
      </c>
    </row>
    <row r="35" spans="1:57" x14ac:dyDescent="0.2">
      <c r="A35" s="390">
        <v>11</v>
      </c>
      <c r="B35" s="551" t="s">
        <v>109</v>
      </c>
      <c r="C35" t="s">
        <v>1035</v>
      </c>
      <c r="D35" s="406">
        <v>1916.2</v>
      </c>
      <c r="E35" s="560">
        <v>6591</v>
      </c>
      <c r="F35" s="561">
        <v>539.52</v>
      </c>
      <c r="G35" s="561">
        <v>55.74</v>
      </c>
      <c r="H35" s="561">
        <v>65.41</v>
      </c>
      <c r="I35" s="561">
        <v>319.72000000000003</v>
      </c>
      <c r="J35" s="561">
        <v>123.83999999999999</v>
      </c>
      <c r="K35" s="561">
        <v>50.239999999999995</v>
      </c>
      <c r="L35" s="561">
        <v>32.880000000000003</v>
      </c>
      <c r="M35" s="343">
        <v>0</v>
      </c>
      <c r="N35" s="477">
        <v>3.98</v>
      </c>
      <c r="O35" s="477">
        <v>6.6280000000000001</v>
      </c>
      <c r="P35" s="407">
        <v>2.42</v>
      </c>
      <c r="Q35" s="477">
        <v>0</v>
      </c>
      <c r="R35" s="483">
        <v>11953438</v>
      </c>
      <c r="S35" s="483">
        <v>978473</v>
      </c>
      <c r="T35" s="483">
        <v>101090</v>
      </c>
      <c r="U35" s="483">
        <v>118628</v>
      </c>
      <c r="V35" s="483">
        <v>579844</v>
      </c>
      <c r="W35" s="483">
        <v>563898</v>
      </c>
      <c r="X35" s="483">
        <v>0</v>
      </c>
      <c r="Y35" s="483">
        <v>24</v>
      </c>
      <c r="Z35" s="406">
        <v>0</v>
      </c>
      <c r="AA35" s="483">
        <v>46464</v>
      </c>
      <c r="AB35" s="483">
        <v>5906</v>
      </c>
      <c r="AC35" s="385">
        <v>12566</v>
      </c>
      <c r="AD35" s="545">
        <v>5.4</v>
      </c>
      <c r="AE35" s="483">
        <v>52005</v>
      </c>
      <c r="AF35" s="483">
        <v>53332</v>
      </c>
      <c r="AG35" s="481">
        <v>34263</v>
      </c>
      <c r="AH35" s="481">
        <v>21141</v>
      </c>
      <c r="AI35">
        <v>35</v>
      </c>
      <c r="AJ35" s="385">
        <v>306303966</v>
      </c>
      <c r="AK35" s="385">
        <v>0</v>
      </c>
      <c r="AL35" s="385">
        <v>0</v>
      </c>
      <c r="AM35" s="287">
        <v>0</v>
      </c>
      <c r="AN35" s="542">
        <v>330000</v>
      </c>
      <c r="AO35" s="549">
        <v>0.17</v>
      </c>
      <c r="AP35" s="385">
        <v>46798</v>
      </c>
      <c r="AQ35" s="385">
        <v>47992</v>
      </c>
      <c r="AR35" s="481">
        <v>30833</v>
      </c>
      <c r="AS35" s="481">
        <v>19373</v>
      </c>
      <c r="AT35" s="617"/>
      <c r="AU35" s="618">
        <v>0</v>
      </c>
      <c r="AV35" s="618">
        <v>0</v>
      </c>
      <c r="AW35" s="620"/>
      <c r="AX35" s="620"/>
      <c r="AY35" s="625"/>
      <c r="AZ35" s="626"/>
      <c r="BA35" s="620"/>
      <c r="BB35" s="673">
        <v>2168415</v>
      </c>
      <c r="BC35" s="781">
        <v>2.8000000000000001E-2</v>
      </c>
      <c r="BD35" s="790">
        <v>77</v>
      </c>
      <c r="BE35" s="673">
        <v>121246.44</v>
      </c>
    </row>
    <row r="36" spans="1:57" x14ac:dyDescent="0.2">
      <c r="A36" s="390">
        <v>11</v>
      </c>
      <c r="B36" s="551" t="s">
        <v>110</v>
      </c>
      <c r="C36" t="s">
        <v>1036</v>
      </c>
      <c r="D36" s="406">
        <v>2048.4</v>
      </c>
      <c r="E36" s="560">
        <v>6591</v>
      </c>
      <c r="F36" s="561">
        <v>577.12</v>
      </c>
      <c r="G36" s="561">
        <v>72.08</v>
      </c>
      <c r="H36" s="561">
        <v>65.900000000000006</v>
      </c>
      <c r="I36" s="561">
        <v>319.72000000000003</v>
      </c>
      <c r="J36" s="561">
        <v>146.88</v>
      </c>
      <c r="K36" s="561">
        <v>117.39999999999999</v>
      </c>
      <c r="L36" s="561">
        <v>76.72</v>
      </c>
      <c r="M36" s="343">
        <v>0</v>
      </c>
      <c r="N36" s="477">
        <v>17.119999999999997</v>
      </c>
      <c r="O36" s="477">
        <v>11.201000000000001</v>
      </c>
      <c r="P36" s="407">
        <v>3.08</v>
      </c>
      <c r="Q36" s="477">
        <v>0</v>
      </c>
      <c r="R36" s="483">
        <v>13619642</v>
      </c>
      <c r="S36" s="483">
        <v>1192561</v>
      </c>
      <c r="T36" s="483">
        <v>148946</v>
      </c>
      <c r="U36" s="483">
        <v>136176</v>
      </c>
      <c r="V36" s="483">
        <v>660669</v>
      </c>
      <c r="W36" s="483">
        <v>678485</v>
      </c>
      <c r="X36" s="483">
        <v>0</v>
      </c>
      <c r="Y36" s="483">
        <v>222</v>
      </c>
      <c r="Z36" s="406">
        <v>3.8</v>
      </c>
      <c r="AA36" s="483">
        <v>55906</v>
      </c>
      <c r="AB36" s="483">
        <v>7106</v>
      </c>
      <c r="AC36" s="385">
        <v>35101</v>
      </c>
      <c r="AD36" s="545">
        <v>5.4</v>
      </c>
      <c r="AE36" s="483">
        <v>70030</v>
      </c>
      <c r="AF36" s="483">
        <v>70187</v>
      </c>
      <c r="AG36" s="481">
        <v>54254</v>
      </c>
      <c r="AH36" s="481">
        <v>45034</v>
      </c>
      <c r="AI36">
        <v>65</v>
      </c>
      <c r="AJ36" s="385">
        <v>475130923</v>
      </c>
      <c r="AK36" s="385">
        <v>13257</v>
      </c>
      <c r="AL36" s="385">
        <v>0</v>
      </c>
      <c r="AM36" s="287">
        <v>0</v>
      </c>
      <c r="AN36" s="542">
        <v>330000</v>
      </c>
      <c r="AO36" s="549">
        <v>0.17</v>
      </c>
      <c r="AP36" s="385">
        <v>69162</v>
      </c>
      <c r="AQ36" s="385">
        <v>69317</v>
      </c>
      <c r="AR36" s="481">
        <v>53582</v>
      </c>
      <c r="AS36" s="481">
        <v>45491</v>
      </c>
      <c r="AT36" s="617"/>
      <c r="AU36" s="618">
        <v>277618</v>
      </c>
      <c r="AV36" s="618">
        <v>15215</v>
      </c>
      <c r="AW36" s="620"/>
      <c r="AX36" s="620"/>
      <c r="AY36" s="625">
        <v>1</v>
      </c>
      <c r="AZ36" s="626">
        <v>-1.17</v>
      </c>
      <c r="BA36" s="620"/>
      <c r="BB36" s="673">
        <v>807450</v>
      </c>
      <c r="BC36" s="781">
        <v>0.05</v>
      </c>
      <c r="BD36" s="790">
        <v>8</v>
      </c>
      <c r="BE36" s="673">
        <v>180622.07</v>
      </c>
    </row>
    <row r="37" spans="1:57" x14ac:dyDescent="0.2">
      <c r="A37" s="390">
        <v>12</v>
      </c>
      <c r="B37" s="551" t="s">
        <v>111</v>
      </c>
      <c r="C37" t="s">
        <v>1037</v>
      </c>
      <c r="D37" s="406">
        <v>603.79999999999995</v>
      </c>
      <c r="E37" s="560">
        <v>6591</v>
      </c>
      <c r="F37" s="561">
        <v>562.23</v>
      </c>
      <c r="G37" s="561">
        <v>61.620000000000005</v>
      </c>
      <c r="H37" s="561">
        <v>75.28</v>
      </c>
      <c r="I37" s="561">
        <v>319.72000000000003</v>
      </c>
      <c r="J37" s="561">
        <v>27.36</v>
      </c>
      <c r="K37" s="561">
        <v>20.58</v>
      </c>
      <c r="L37" s="561">
        <v>24.660000000000004</v>
      </c>
      <c r="M37" s="343">
        <v>0</v>
      </c>
      <c r="N37" s="477">
        <v>4.4700000000000006</v>
      </c>
      <c r="O37" s="477">
        <v>2.806</v>
      </c>
      <c r="P37" s="407">
        <v>12.98</v>
      </c>
      <c r="Q37" s="477">
        <v>0</v>
      </c>
      <c r="R37" s="483">
        <v>4031056</v>
      </c>
      <c r="S37" s="483">
        <v>343860</v>
      </c>
      <c r="T37" s="483">
        <v>37687</v>
      </c>
      <c r="U37" s="483">
        <v>46041</v>
      </c>
      <c r="V37" s="483">
        <v>195541</v>
      </c>
      <c r="W37" s="483">
        <v>202600</v>
      </c>
      <c r="X37" s="483">
        <v>0</v>
      </c>
      <c r="Y37" s="483">
        <v>391</v>
      </c>
      <c r="Z37" s="406">
        <v>4.5999999999999996</v>
      </c>
      <c r="AA37" s="483">
        <v>20354</v>
      </c>
      <c r="AB37" s="483">
        <v>2434</v>
      </c>
      <c r="AC37" s="385">
        <v>10271</v>
      </c>
      <c r="AD37" s="545">
        <v>5.4</v>
      </c>
      <c r="AE37" s="483">
        <v>21288</v>
      </c>
      <c r="AF37" s="483">
        <v>21763</v>
      </c>
      <c r="AG37" s="481">
        <v>27787</v>
      </c>
      <c r="AH37" s="481">
        <v>10713</v>
      </c>
      <c r="AI37">
        <v>26.5</v>
      </c>
      <c r="AJ37" s="385">
        <v>213899758</v>
      </c>
      <c r="AK37" s="385">
        <v>9771</v>
      </c>
      <c r="AL37" s="385">
        <v>0</v>
      </c>
      <c r="AM37" s="287">
        <v>0</v>
      </c>
      <c r="AN37" s="542">
        <v>330000</v>
      </c>
      <c r="AO37" s="549">
        <v>0.17</v>
      </c>
      <c r="AP37" s="385">
        <v>14448</v>
      </c>
      <c r="AQ37" s="385">
        <v>14770</v>
      </c>
      <c r="AR37" s="481">
        <v>18858</v>
      </c>
      <c r="AS37" s="481">
        <v>7435</v>
      </c>
      <c r="AT37" s="617"/>
      <c r="AU37" s="618">
        <v>0</v>
      </c>
      <c r="AV37" s="618">
        <v>0</v>
      </c>
      <c r="AW37" s="620"/>
      <c r="AX37" s="620"/>
      <c r="AY37" s="625"/>
      <c r="AZ37" s="626"/>
      <c r="BA37" s="620"/>
      <c r="BB37" s="673">
        <v>541584</v>
      </c>
      <c r="BC37" s="781">
        <v>3.2000000000000001E-2</v>
      </c>
      <c r="BD37" s="790">
        <v>84</v>
      </c>
      <c r="BE37" s="673">
        <v>72843.850000000006</v>
      </c>
    </row>
    <row r="38" spans="1:57" x14ac:dyDescent="0.2">
      <c r="A38" s="390">
        <v>13</v>
      </c>
      <c r="B38" s="551" t="s">
        <v>168</v>
      </c>
      <c r="C38" t="s">
        <v>1094</v>
      </c>
      <c r="D38" s="406">
        <v>415.7</v>
      </c>
      <c r="E38" s="560">
        <v>6599</v>
      </c>
      <c r="F38" s="561">
        <v>640.65</v>
      </c>
      <c r="G38" s="561">
        <v>76.790000000000006</v>
      </c>
      <c r="H38" s="561">
        <v>72.64</v>
      </c>
      <c r="I38" s="561">
        <v>319.72000000000003</v>
      </c>
      <c r="J38" s="561">
        <v>22.32</v>
      </c>
      <c r="K38" s="561">
        <v>13.31</v>
      </c>
      <c r="L38" s="561">
        <v>19.18</v>
      </c>
      <c r="M38" s="343">
        <v>0</v>
      </c>
      <c r="N38" s="477">
        <v>18.04</v>
      </c>
      <c r="O38" s="477">
        <v>1.9660000000000002</v>
      </c>
      <c r="P38" s="407">
        <v>0.66</v>
      </c>
      <c r="Q38" s="477">
        <v>0</v>
      </c>
      <c r="R38" s="483">
        <v>2796656</v>
      </c>
      <c r="S38" s="483">
        <v>271507</v>
      </c>
      <c r="T38" s="483">
        <v>32544</v>
      </c>
      <c r="U38" s="483">
        <v>30785</v>
      </c>
      <c r="V38" s="483">
        <v>135497</v>
      </c>
      <c r="W38" s="483">
        <v>139626</v>
      </c>
      <c r="X38" s="483">
        <v>3705</v>
      </c>
      <c r="Y38" s="483">
        <v>4</v>
      </c>
      <c r="Z38" s="406">
        <v>0</v>
      </c>
      <c r="AA38" s="483">
        <v>14337</v>
      </c>
      <c r="AB38" s="483">
        <v>1528</v>
      </c>
      <c r="AC38" s="385">
        <v>8726</v>
      </c>
      <c r="AD38" s="545">
        <v>5.4</v>
      </c>
      <c r="AE38" s="483">
        <v>16545</v>
      </c>
      <c r="AF38" s="483">
        <v>16867</v>
      </c>
      <c r="AG38" s="481">
        <v>6927</v>
      </c>
      <c r="AH38" s="481">
        <v>6927</v>
      </c>
      <c r="AI38">
        <v>10.5</v>
      </c>
      <c r="AJ38" s="385">
        <v>195911260</v>
      </c>
      <c r="AK38" s="385">
        <v>0</v>
      </c>
      <c r="AL38" s="385">
        <v>0</v>
      </c>
      <c r="AM38" s="287">
        <v>0</v>
      </c>
      <c r="AN38" s="542">
        <v>330000</v>
      </c>
      <c r="AO38" s="549">
        <v>0.17</v>
      </c>
      <c r="AP38" s="385">
        <v>9203</v>
      </c>
      <c r="AQ38" s="385">
        <v>9382</v>
      </c>
      <c r="AR38" s="481">
        <v>3853</v>
      </c>
      <c r="AS38" s="481">
        <v>3878</v>
      </c>
      <c r="AT38" s="617"/>
      <c r="AU38" s="618">
        <v>0</v>
      </c>
      <c r="AV38" s="618">
        <v>58465</v>
      </c>
      <c r="AW38" s="620"/>
      <c r="AX38" s="620"/>
      <c r="AY38" s="625"/>
      <c r="AZ38" s="626"/>
      <c r="BA38" s="620"/>
      <c r="BB38" s="673">
        <v>0</v>
      </c>
      <c r="BC38" s="781">
        <v>2.5000000000000001E-2</v>
      </c>
      <c r="BD38" s="790">
        <v>43</v>
      </c>
      <c r="BE38" s="673">
        <v>16950.34</v>
      </c>
    </row>
    <row r="39" spans="1:57" x14ac:dyDescent="0.2">
      <c r="A39" s="390">
        <v>7</v>
      </c>
      <c r="B39" s="551" t="s">
        <v>114</v>
      </c>
      <c r="C39" t="s">
        <v>1039</v>
      </c>
      <c r="D39" s="406">
        <v>527.1</v>
      </c>
      <c r="E39" s="560">
        <v>6606</v>
      </c>
      <c r="F39" s="561">
        <v>597.29</v>
      </c>
      <c r="G39" s="561">
        <v>60.03</v>
      </c>
      <c r="H39" s="561">
        <v>64.010000000000005</v>
      </c>
      <c r="I39" s="561">
        <v>319.72000000000003</v>
      </c>
      <c r="J39" s="561">
        <v>35.28</v>
      </c>
      <c r="K39" s="561">
        <v>24.2</v>
      </c>
      <c r="L39" s="561">
        <v>12.330000000000002</v>
      </c>
      <c r="M39" s="343">
        <v>0</v>
      </c>
      <c r="N39" s="477">
        <v>23.82</v>
      </c>
      <c r="O39" s="477">
        <v>2.33</v>
      </c>
      <c r="P39" s="407">
        <v>1.54</v>
      </c>
      <c r="Q39" s="477">
        <v>0</v>
      </c>
      <c r="R39" s="483">
        <v>3526943</v>
      </c>
      <c r="S39" s="483">
        <v>318893</v>
      </c>
      <c r="T39" s="483">
        <v>32050</v>
      </c>
      <c r="U39" s="483">
        <v>34175</v>
      </c>
      <c r="V39" s="483">
        <v>170699</v>
      </c>
      <c r="W39" s="483">
        <v>174415</v>
      </c>
      <c r="X39" s="483">
        <v>0</v>
      </c>
      <c r="Y39" s="483">
        <v>5</v>
      </c>
      <c r="Z39" s="406">
        <v>0</v>
      </c>
      <c r="AA39" s="483">
        <v>22116</v>
      </c>
      <c r="AB39" s="483">
        <v>2541</v>
      </c>
      <c r="AC39" s="385">
        <v>9723</v>
      </c>
      <c r="AD39" s="545">
        <v>5.4</v>
      </c>
      <c r="AE39" s="483">
        <v>21631</v>
      </c>
      <c r="AF39" s="483">
        <v>21597</v>
      </c>
      <c r="AG39" s="481">
        <v>13772</v>
      </c>
      <c r="AH39" s="481">
        <v>8334</v>
      </c>
      <c r="AI39">
        <v>18</v>
      </c>
      <c r="AJ39" s="385">
        <v>211023155</v>
      </c>
      <c r="AK39" s="385">
        <v>20080</v>
      </c>
      <c r="AL39" s="385">
        <v>0</v>
      </c>
      <c r="AM39" s="287">
        <v>0</v>
      </c>
      <c r="AN39" s="542">
        <v>330000</v>
      </c>
      <c r="AO39" s="549">
        <v>0.17</v>
      </c>
      <c r="AP39" s="385">
        <v>12466</v>
      </c>
      <c r="AQ39" s="385">
        <v>12446</v>
      </c>
      <c r="AR39" s="481">
        <v>7936</v>
      </c>
      <c r="AS39" s="481">
        <v>4853</v>
      </c>
      <c r="AT39" s="617"/>
      <c r="AU39" s="618">
        <v>0</v>
      </c>
      <c r="AV39" s="618">
        <v>9938</v>
      </c>
      <c r="AW39" s="620"/>
      <c r="AX39" s="620"/>
      <c r="AY39" s="625"/>
      <c r="AZ39" s="626"/>
      <c r="BA39" s="620"/>
      <c r="BB39" s="673">
        <v>379519</v>
      </c>
      <c r="BC39" s="781">
        <v>3.2000000000000001E-2</v>
      </c>
      <c r="BD39" s="790">
        <v>79</v>
      </c>
      <c r="BE39" s="673">
        <v>36384.69</v>
      </c>
    </row>
    <row r="40" spans="1:57" x14ac:dyDescent="0.2">
      <c r="A40" s="390">
        <v>15</v>
      </c>
      <c r="B40" s="551" t="s">
        <v>116</v>
      </c>
      <c r="C40" t="s">
        <v>1041</v>
      </c>
      <c r="D40" s="406">
        <v>4422.7</v>
      </c>
      <c r="E40" s="560">
        <v>6591</v>
      </c>
      <c r="F40" s="561">
        <v>558.15</v>
      </c>
      <c r="G40" s="561">
        <v>61.32</v>
      </c>
      <c r="H40" s="561">
        <v>76.650000000000006</v>
      </c>
      <c r="I40" s="561">
        <v>319.72000000000003</v>
      </c>
      <c r="J40" s="561">
        <v>231.84</v>
      </c>
      <c r="K40" s="561">
        <v>246.91</v>
      </c>
      <c r="L40" s="561">
        <v>253.45000000000002</v>
      </c>
      <c r="M40" s="343">
        <v>0</v>
      </c>
      <c r="N40" s="477">
        <v>9.36</v>
      </c>
      <c r="O40" s="477">
        <v>28.5</v>
      </c>
      <c r="P40" s="407">
        <v>9.68</v>
      </c>
      <c r="Q40" s="477">
        <v>0</v>
      </c>
      <c r="R40" s="483">
        <v>29379383</v>
      </c>
      <c r="S40" s="483">
        <v>2487954</v>
      </c>
      <c r="T40" s="483">
        <v>273334</v>
      </c>
      <c r="U40" s="483">
        <v>341667</v>
      </c>
      <c r="V40" s="483">
        <v>1425152</v>
      </c>
      <c r="W40" s="483">
        <v>1492041</v>
      </c>
      <c r="X40" s="483">
        <v>30425</v>
      </c>
      <c r="Y40" s="483">
        <v>366</v>
      </c>
      <c r="Z40" s="406">
        <v>1.6</v>
      </c>
      <c r="AA40" s="483">
        <v>149464</v>
      </c>
      <c r="AB40" s="483">
        <v>16214</v>
      </c>
      <c r="AC40" s="385">
        <v>78051</v>
      </c>
      <c r="AD40" s="545">
        <v>5.4</v>
      </c>
      <c r="AE40" s="483">
        <v>282034</v>
      </c>
      <c r="AF40" s="483">
        <v>281236</v>
      </c>
      <c r="AG40" s="481">
        <v>160467</v>
      </c>
      <c r="AH40" s="481">
        <v>117971</v>
      </c>
      <c r="AI40">
        <v>95.5</v>
      </c>
      <c r="AJ40" s="385">
        <v>887992317</v>
      </c>
      <c r="AK40" s="385">
        <v>0</v>
      </c>
      <c r="AL40" s="385">
        <v>0</v>
      </c>
      <c r="AM40" s="287">
        <v>0</v>
      </c>
      <c r="AN40" s="542">
        <v>330000</v>
      </c>
      <c r="AO40" s="549">
        <v>0.17</v>
      </c>
      <c r="AP40" s="385">
        <v>291592</v>
      </c>
      <c r="AQ40" s="385">
        <v>290767</v>
      </c>
      <c r="AR40" s="481">
        <v>165905</v>
      </c>
      <c r="AS40" s="481">
        <v>125372</v>
      </c>
      <c r="AT40" s="617"/>
      <c r="AU40" s="618">
        <v>198840</v>
      </c>
      <c r="AV40" s="618">
        <v>529019</v>
      </c>
      <c r="AW40" s="620"/>
      <c r="AX40" s="620"/>
      <c r="AY40" s="625"/>
      <c r="AZ40" s="626"/>
      <c r="BA40" s="620"/>
      <c r="BB40" s="673">
        <v>497446</v>
      </c>
      <c r="BC40" s="781">
        <v>3.3000000000000002E-2</v>
      </c>
      <c r="BD40" s="790">
        <v>29</v>
      </c>
      <c r="BE40" s="673">
        <v>469231.87</v>
      </c>
    </row>
    <row r="41" spans="1:57" x14ac:dyDescent="0.2">
      <c r="A41" s="390">
        <v>7</v>
      </c>
      <c r="B41" s="551" t="s">
        <v>118</v>
      </c>
      <c r="C41" t="s">
        <v>1042</v>
      </c>
      <c r="D41" s="406">
        <v>261.2</v>
      </c>
      <c r="E41" s="560">
        <v>6761</v>
      </c>
      <c r="F41" s="561">
        <v>643.91999999999996</v>
      </c>
      <c r="G41" s="561">
        <v>70.900000000000006</v>
      </c>
      <c r="H41" s="561">
        <v>72.540000000000006</v>
      </c>
      <c r="I41" s="561">
        <v>319.72000000000003</v>
      </c>
      <c r="J41" s="561">
        <v>20.88</v>
      </c>
      <c r="K41" s="561">
        <v>13.31</v>
      </c>
      <c r="L41" s="561">
        <v>19.18</v>
      </c>
      <c r="M41" s="343">
        <v>0</v>
      </c>
      <c r="N41" s="477">
        <v>22.86</v>
      </c>
      <c r="O41" s="477">
        <v>1.7250000000000001</v>
      </c>
      <c r="P41" s="407">
        <v>4.84</v>
      </c>
      <c r="Q41" s="477">
        <v>0</v>
      </c>
      <c r="R41" s="483">
        <v>1765297</v>
      </c>
      <c r="S41" s="483">
        <v>168128</v>
      </c>
      <c r="T41" s="483">
        <v>18512</v>
      </c>
      <c r="U41" s="483">
        <v>18940</v>
      </c>
      <c r="V41" s="483">
        <v>83479</v>
      </c>
      <c r="W41" s="483">
        <v>90893</v>
      </c>
      <c r="X41" s="483">
        <v>1215</v>
      </c>
      <c r="Y41" s="483">
        <v>35</v>
      </c>
      <c r="Z41" s="406">
        <v>0.1</v>
      </c>
      <c r="AA41" s="483">
        <v>11525</v>
      </c>
      <c r="AB41" s="483">
        <v>1324</v>
      </c>
      <c r="AC41" s="385">
        <v>4779</v>
      </c>
      <c r="AD41" s="545">
        <v>5.4</v>
      </c>
      <c r="AE41" s="483">
        <v>17855</v>
      </c>
      <c r="AF41" s="483">
        <v>18069</v>
      </c>
      <c r="AG41" s="481">
        <v>5629</v>
      </c>
      <c r="AH41" s="481">
        <v>5630</v>
      </c>
      <c r="AI41">
        <v>7.5</v>
      </c>
      <c r="AJ41" s="385">
        <v>131747307</v>
      </c>
      <c r="AK41" s="385">
        <v>4801</v>
      </c>
      <c r="AL41" s="385">
        <v>0</v>
      </c>
      <c r="AM41" s="287">
        <v>0</v>
      </c>
      <c r="AN41" s="542">
        <v>330000</v>
      </c>
      <c r="AO41" s="549">
        <v>0.17</v>
      </c>
      <c r="AP41" s="385">
        <v>10433</v>
      </c>
      <c r="AQ41" s="385">
        <v>10558</v>
      </c>
      <c r="AR41" s="481">
        <v>3289</v>
      </c>
      <c r="AS41" s="481">
        <v>3316</v>
      </c>
      <c r="AT41" s="617"/>
      <c r="AU41" s="618">
        <v>78167</v>
      </c>
      <c r="AV41" s="618">
        <v>0</v>
      </c>
      <c r="AW41" s="620"/>
      <c r="AX41" s="620"/>
      <c r="AY41" s="625"/>
      <c r="AZ41" s="626"/>
      <c r="BA41" s="620"/>
      <c r="BB41" s="673">
        <v>1002513</v>
      </c>
      <c r="BC41" s="781">
        <v>4.4999999999999998E-2</v>
      </c>
      <c r="BD41" s="790">
        <v>35</v>
      </c>
      <c r="BE41" s="673">
        <v>13531.44</v>
      </c>
    </row>
    <row r="42" spans="1:57" x14ac:dyDescent="0.2">
      <c r="A42" s="390">
        <v>9</v>
      </c>
      <c r="B42" s="551" t="s">
        <v>119</v>
      </c>
      <c r="C42" t="s">
        <v>1043</v>
      </c>
      <c r="D42" s="406">
        <v>448.7</v>
      </c>
      <c r="E42" s="560">
        <v>6650</v>
      </c>
      <c r="F42" s="561">
        <v>629.05999999999995</v>
      </c>
      <c r="G42" s="561">
        <v>68.739999999999995</v>
      </c>
      <c r="H42" s="561">
        <v>72.180000000000007</v>
      </c>
      <c r="I42" s="561">
        <v>319.72000000000003</v>
      </c>
      <c r="J42" s="561">
        <v>18.72</v>
      </c>
      <c r="K42" s="561">
        <v>12.709999999999999</v>
      </c>
      <c r="L42" s="561">
        <v>19.18</v>
      </c>
      <c r="M42" s="343">
        <v>0</v>
      </c>
      <c r="N42" s="477">
        <v>7.58</v>
      </c>
      <c r="O42" s="477">
        <v>1.9610000000000001</v>
      </c>
      <c r="P42" s="407">
        <v>0</v>
      </c>
      <c r="Q42" s="477">
        <v>0</v>
      </c>
      <c r="R42" s="483">
        <v>3186015</v>
      </c>
      <c r="S42" s="483">
        <v>301383</v>
      </c>
      <c r="T42" s="483">
        <v>32933</v>
      </c>
      <c r="U42" s="483">
        <v>34581</v>
      </c>
      <c r="V42" s="483">
        <v>153178</v>
      </c>
      <c r="W42" s="483">
        <v>155719</v>
      </c>
      <c r="X42" s="483">
        <v>0</v>
      </c>
      <c r="Y42" s="483">
        <v>1</v>
      </c>
      <c r="Z42" s="406">
        <v>0</v>
      </c>
      <c r="AA42" s="483">
        <v>14051</v>
      </c>
      <c r="AB42" s="483">
        <v>1650</v>
      </c>
      <c r="AC42" s="385">
        <v>8223</v>
      </c>
      <c r="AD42" s="545">
        <v>5.4</v>
      </c>
      <c r="AE42" s="483">
        <v>28183</v>
      </c>
      <c r="AF42" s="483">
        <v>28366</v>
      </c>
      <c r="AG42" s="481">
        <v>3335</v>
      </c>
      <c r="AH42" s="481">
        <v>3335</v>
      </c>
      <c r="AI42">
        <v>10.5</v>
      </c>
      <c r="AJ42" s="385">
        <v>170885368</v>
      </c>
      <c r="AK42" s="385">
        <v>27932</v>
      </c>
      <c r="AL42" s="385">
        <v>0</v>
      </c>
      <c r="AM42" s="287">
        <v>0</v>
      </c>
      <c r="AN42" s="542">
        <v>330000</v>
      </c>
      <c r="AO42" s="549">
        <v>0.17</v>
      </c>
      <c r="AP42" s="385">
        <v>15229</v>
      </c>
      <c r="AQ42" s="385">
        <v>15328</v>
      </c>
      <c r="AR42" s="481">
        <v>1802</v>
      </c>
      <c r="AS42" s="481">
        <v>1808</v>
      </c>
      <c r="AT42" s="617"/>
      <c r="AU42" s="618">
        <v>0</v>
      </c>
      <c r="AV42" s="618">
        <v>0</v>
      </c>
      <c r="AW42" s="620"/>
      <c r="AX42" s="620"/>
      <c r="AY42" s="625"/>
      <c r="AZ42" s="626"/>
      <c r="BA42" s="620"/>
      <c r="BB42" s="673">
        <v>247514</v>
      </c>
      <c r="BC42" s="781">
        <v>2.5000000000000001E-2</v>
      </c>
      <c r="BD42" s="790">
        <v>23</v>
      </c>
      <c r="BE42" s="673">
        <v>7631.15</v>
      </c>
    </row>
    <row r="43" spans="1:57" x14ac:dyDescent="0.2">
      <c r="A43" s="390">
        <v>13</v>
      </c>
      <c r="B43" s="551" t="s">
        <v>117</v>
      </c>
      <c r="C43" t="s">
        <v>1478</v>
      </c>
      <c r="D43" s="406">
        <v>488.4</v>
      </c>
      <c r="E43" s="560">
        <v>6641</v>
      </c>
      <c r="F43" s="561">
        <v>617.16999999999996</v>
      </c>
      <c r="G43" s="561">
        <v>62.04</v>
      </c>
      <c r="H43" s="561">
        <v>63.38</v>
      </c>
      <c r="I43" s="561">
        <v>319.72000000000003</v>
      </c>
      <c r="J43" s="561">
        <v>19.439999999999998</v>
      </c>
      <c r="K43" s="561">
        <v>11.51</v>
      </c>
      <c r="L43" s="561">
        <v>10.96</v>
      </c>
      <c r="M43" s="343">
        <v>0</v>
      </c>
      <c r="N43" s="477">
        <v>19.22</v>
      </c>
      <c r="O43" s="477">
        <v>2.3689999999999998</v>
      </c>
      <c r="P43" s="407">
        <v>0.66</v>
      </c>
      <c r="Q43" s="477">
        <v>0</v>
      </c>
      <c r="R43" s="483">
        <v>3114629</v>
      </c>
      <c r="S43" s="483">
        <v>289453</v>
      </c>
      <c r="T43" s="483">
        <v>29097</v>
      </c>
      <c r="U43" s="483">
        <v>29725</v>
      </c>
      <c r="V43" s="483">
        <v>149949</v>
      </c>
      <c r="W43" s="483">
        <v>149138</v>
      </c>
      <c r="X43" s="483">
        <v>0</v>
      </c>
      <c r="Y43" s="483">
        <v>0</v>
      </c>
      <c r="Z43" s="406">
        <v>0</v>
      </c>
      <c r="AA43" s="483">
        <v>15313</v>
      </c>
      <c r="AB43" s="483">
        <v>1632</v>
      </c>
      <c r="AC43" s="385">
        <v>8794</v>
      </c>
      <c r="AD43" s="545">
        <v>5.4</v>
      </c>
      <c r="AE43" s="483">
        <v>70325</v>
      </c>
      <c r="AF43" s="483">
        <v>71990</v>
      </c>
      <c r="AG43" s="481">
        <v>66046</v>
      </c>
      <c r="AH43" s="481">
        <v>53737</v>
      </c>
      <c r="AI43">
        <v>11</v>
      </c>
      <c r="AJ43" s="385">
        <v>331560903</v>
      </c>
      <c r="AK43" s="385">
        <v>7823</v>
      </c>
      <c r="AL43" s="385">
        <v>0</v>
      </c>
      <c r="AM43" s="287">
        <v>0</v>
      </c>
      <c r="AN43" s="542">
        <v>330000</v>
      </c>
      <c r="AO43" s="549">
        <v>0.17</v>
      </c>
      <c r="AP43" s="385">
        <v>21750</v>
      </c>
      <c r="AQ43" s="385">
        <v>22265</v>
      </c>
      <c r="AR43" s="481">
        <v>20426</v>
      </c>
      <c r="AS43" s="481">
        <v>17218</v>
      </c>
      <c r="AT43" s="617"/>
      <c r="AU43" s="618">
        <v>15689</v>
      </c>
      <c r="AV43" s="618">
        <v>0</v>
      </c>
      <c r="AW43" s="620"/>
      <c r="AX43" s="620"/>
      <c r="AY43" s="625"/>
      <c r="AZ43" s="626"/>
      <c r="BA43" s="620"/>
      <c r="BB43" s="673">
        <v>923950</v>
      </c>
      <c r="BC43" s="781">
        <v>4.5999999999999999E-2</v>
      </c>
      <c r="BD43" s="790">
        <v>15</v>
      </c>
      <c r="BE43" s="673">
        <v>131531.95000000001</v>
      </c>
    </row>
    <row r="44" spans="1:57" x14ac:dyDescent="0.2">
      <c r="A44" s="390">
        <v>9</v>
      </c>
      <c r="B44" s="551" t="s">
        <v>120</v>
      </c>
      <c r="C44" t="s">
        <v>1044</v>
      </c>
      <c r="D44" s="406">
        <v>861.2</v>
      </c>
      <c r="E44" s="560">
        <v>6591</v>
      </c>
      <c r="F44" s="561">
        <v>580.41</v>
      </c>
      <c r="G44" s="561">
        <v>60.75</v>
      </c>
      <c r="H44" s="561">
        <v>72.34</v>
      </c>
      <c r="I44" s="561">
        <v>319.72000000000003</v>
      </c>
      <c r="J44" s="561">
        <v>47.519999999999996</v>
      </c>
      <c r="K44" s="561">
        <v>25.43</v>
      </c>
      <c r="L44" s="561">
        <v>19.18</v>
      </c>
      <c r="M44" s="343">
        <v>0</v>
      </c>
      <c r="N44" s="477">
        <v>2.84</v>
      </c>
      <c r="O44" s="477">
        <v>3.9630000000000001</v>
      </c>
      <c r="P44" s="407">
        <v>0.66</v>
      </c>
      <c r="Q44" s="477">
        <v>0</v>
      </c>
      <c r="R44" s="483">
        <v>5781625</v>
      </c>
      <c r="S44" s="483">
        <v>509136</v>
      </c>
      <c r="T44" s="483">
        <v>53290</v>
      </c>
      <c r="U44" s="483">
        <v>63457</v>
      </c>
      <c r="V44" s="483">
        <v>280458</v>
      </c>
      <c r="W44" s="483">
        <v>281642</v>
      </c>
      <c r="X44" s="483">
        <v>12</v>
      </c>
      <c r="Y44" s="483">
        <v>11</v>
      </c>
      <c r="Z44" s="406">
        <v>0</v>
      </c>
      <c r="AA44" s="483">
        <v>25413</v>
      </c>
      <c r="AB44" s="483">
        <v>2984</v>
      </c>
      <c r="AC44" s="385">
        <v>13761</v>
      </c>
      <c r="AD44" s="545">
        <v>5.4</v>
      </c>
      <c r="AE44" s="483">
        <v>195821</v>
      </c>
      <c r="AF44" s="483">
        <v>195214</v>
      </c>
      <c r="AG44" s="481">
        <v>48892</v>
      </c>
      <c r="AH44" s="481">
        <v>47025</v>
      </c>
      <c r="AI44">
        <v>24</v>
      </c>
      <c r="AJ44" s="385">
        <v>292720125</v>
      </c>
      <c r="AK44" s="385">
        <v>5122</v>
      </c>
      <c r="AL44" s="385">
        <v>0</v>
      </c>
      <c r="AM44" s="287">
        <v>0</v>
      </c>
      <c r="AN44" s="542">
        <v>330000</v>
      </c>
      <c r="AO44" s="549">
        <v>0.17</v>
      </c>
      <c r="AP44" s="385">
        <v>124711</v>
      </c>
      <c r="AQ44" s="385">
        <v>124324</v>
      </c>
      <c r="AR44" s="481">
        <v>31138</v>
      </c>
      <c r="AS44" s="481">
        <v>30777</v>
      </c>
      <c r="AT44" s="617"/>
      <c r="AU44" s="618">
        <v>113072</v>
      </c>
      <c r="AV44" s="618">
        <v>0</v>
      </c>
      <c r="AW44" s="620"/>
      <c r="AX44" s="620"/>
      <c r="AY44" s="625"/>
      <c r="AZ44" s="626"/>
      <c r="BA44" s="620"/>
      <c r="BB44" s="673">
        <v>1443789</v>
      </c>
      <c r="BC44" s="781">
        <v>2.5000000000000001E-2</v>
      </c>
      <c r="BD44" s="790">
        <v>23</v>
      </c>
      <c r="BE44" s="673">
        <v>134574.37</v>
      </c>
    </row>
    <row r="45" spans="1:57" x14ac:dyDescent="0.2">
      <c r="A45" s="390">
        <v>15</v>
      </c>
      <c r="B45" s="551" t="s">
        <v>121</v>
      </c>
      <c r="C45" t="s">
        <v>1045</v>
      </c>
      <c r="D45" s="406">
        <v>567.9</v>
      </c>
      <c r="E45" s="560">
        <v>6591</v>
      </c>
      <c r="F45" s="561">
        <v>597.04</v>
      </c>
      <c r="G45" s="561">
        <v>55.4</v>
      </c>
      <c r="H45" s="561">
        <v>74.23</v>
      </c>
      <c r="I45" s="561">
        <v>319.72000000000003</v>
      </c>
      <c r="J45" s="561">
        <v>25.919999999999998</v>
      </c>
      <c r="K45" s="561">
        <v>15.73</v>
      </c>
      <c r="L45" s="561">
        <v>27.4</v>
      </c>
      <c r="M45" s="343">
        <v>0</v>
      </c>
      <c r="N45" s="477">
        <v>18.41</v>
      </c>
      <c r="O45" s="477">
        <v>3.3099999999999996</v>
      </c>
      <c r="P45" s="407">
        <v>0</v>
      </c>
      <c r="Q45" s="477">
        <v>0</v>
      </c>
      <c r="R45" s="483">
        <v>3707438</v>
      </c>
      <c r="S45" s="483">
        <v>335835</v>
      </c>
      <c r="T45" s="483">
        <v>31163</v>
      </c>
      <c r="U45" s="483">
        <v>41754</v>
      </c>
      <c r="V45" s="483">
        <v>179843</v>
      </c>
      <c r="W45" s="483">
        <v>178197</v>
      </c>
      <c r="X45" s="483">
        <v>8205</v>
      </c>
      <c r="Y45" s="483">
        <v>0</v>
      </c>
      <c r="Z45" s="406">
        <v>0</v>
      </c>
      <c r="AA45" s="483">
        <v>17851</v>
      </c>
      <c r="AB45" s="483">
        <v>1937</v>
      </c>
      <c r="AC45" s="385">
        <v>9907</v>
      </c>
      <c r="AD45" s="545">
        <v>5.4</v>
      </c>
      <c r="AE45" s="483">
        <v>20109</v>
      </c>
      <c r="AF45" s="483">
        <v>20183</v>
      </c>
      <c r="AG45" s="481">
        <v>4594</v>
      </c>
      <c r="AH45" s="481">
        <v>4594</v>
      </c>
      <c r="AI45">
        <v>36.5</v>
      </c>
      <c r="AJ45" s="385">
        <v>142314059</v>
      </c>
      <c r="AK45" s="385">
        <v>12291</v>
      </c>
      <c r="AL45" s="385">
        <v>0</v>
      </c>
      <c r="AM45" s="287">
        <v>0</v>
      </c>
      <c r="AN45" s="542">
        <v>330000</v>
      </c>
      <c r="AO45" s="549">
        <v>0.17</v>
      </c>
      <c r="AP45" s="385">
        <v>18367</v>
      </c>
      <c r="AQ45" s="385">
        <v>18434</v>
      </c>
      <c r="AR45" s="481">
        <v>4196</v>
      </c>
      <c r="AS45" s="481">
        <v>4220</v>
      </c>
      <c r="AT45" s="617"/>
      <c r="AU45" s="618">
        <v>278961</v>
      </c>
      <c r="AV45" s="618">
        <v>0</v>
      </c>
      <c r="AW45" s="620"/>
      <c r="AX45" s="620"/>
      <c r="AY45" s="625"/>
      <c r="AZ45" s="626"/>
      <c r="BA45" s="620"/>
      <c r="BB45" s="673">
        <v>1101334</v>
      </c>
      <c r="BC45" s="781">
        <v>3.7999999999999999E-2</v>
      </c>
      <c r="BD45" s="790">
        <v>90</v>
      </c>
      <c r="BE45" s="673">
        <v>13862.61</v>
      </c>
    </row>
    <row r="46" spans="1:57" x14ac:dyDescent="0.2">
      <c r="A46" s="390">
        <v>11</v>
      </c>
      <c r="B46" s="551" t="s">
        <v>122</v>
      </c>
      <c r="C46" t="s">
        <v>1046</v>
      </c>
      <c r="D46" s="406">
        <v>1902.3</v>
      </c>
      <c r="E46" s="560">
        <v>6591</v>
      </c>
      <c r="F46" s="561">
        <v>550.55999999999995</v>
      </c>
      <c r="G46" s="561">
        <v>56.1</v>
      </c>
      <c r="H46" s="561">
        <v>67.100000000000009</v>
      </c>
      <c r="I46" s="561">
        <v>319.72000000000003</v>
      </c>
      <c r="J46" s="561">
        <v>96.47999999999999</v>
      </c>
      <c r="K46" s="561">
        <v>41.17</v>
      </c>
      <c r="L46" s="561">
        <v>58.910000000000004</v>
      </c>
      <c r="M46" s="343">
        <v>0</v>
      </c>
      <c r="N46" s="477">
        <v>19.84</v>
      </c>
      <c r="O46" s="477">
        <v>8.3629999999999995</v>
      </c>
      <c r="P46" s="407">
        <v>1.98</v>
      </c>
      <c r="Q46" s="477">
        <v>0</v>
      </c>
      <c r="R46" s="483">
        <v>12559151</v>
      </c>
      <c r="S46" s="483">
        <v>1049092</v>
      </c>
      <c r="T46" s="483">
        <v>106899</v>
      </c>
      <c r="U46" s="483">
        <v>127859</v>
      </c>
      <c r="V46" s="483">
        <v>609226</v>
      </c>
      <c r="W46" s="483">
        <v>592063</v>
      </c>
      <c r="X46" s="483">
        <v>0</v>
      </c>
      <c r="Y46" s="483">
        <v>20</v>
      </c>
      <c r="Z46" s="406">
        <v>0</v>
      </c>
      <c r="AA46" s="483">
        <v>48785</v>
      </c>
      <c r="AB46" s="483">
        <v>6201</v>
      </c>
      <c r="AC46" s="385">
        <v>18887</v>
      </c>
      <c r="AD46" s="545">
        <v>5.4</v>
      </c>
      <c r="AE46" s="483">
        <v>34783</v>
      </c>
      <c r="AF46" s="483">
        <v>35773</v>
      </c>
      <c r="AG46" s="481">
        <v>17563</v>
      </c>
      <c r="AH46" s="481">
        <v>16617</v>
      </c>
      <c r="AI46">
        <v>51.5</v>
      </c>
      <c r="AJ46" s="385">
        <v>316055211</v>
      </c>
      <c r="AK46" s="385">
        <v>277</v>
      </c>
      <c r="AL46" s="385">
        <v>0</v>
      </c>
      <c r="AM46" s="287">
        <v>0</v>
      </c>
      <c r="AN46" s="542">
        <v>330000</v>
      </c>
      <c r="AO46" s="549">
        <v>0.17</v>
      </c>
      <c r="AP46" s="385">
        <v>32439</v>
      </c>
      <c r="AQ46" s="385">
        <v>33363</v>
      </c>
      <c r="AR46" s="481">
        <v>16380</v>
      </c>
      <c r="AS46" s="481">
        <v>15661</v>
      </c>
      <c r="AT46" s="617"/>
      <c r="AU46" s="618">
        <v>0</v>
      </c>
      <c r="AV46" s="618">
        <v>0</v>
      </c>
      <c r="AW46" s="620"/>
      <c r="AX46" s="620"/>
      <c r="AY46" s="625"/>
      <c r="AZ46" s="626">
        <v>-0.755</v>
      </c>
      <c r="BA46" s="620"/>
      <c r="BB46" s="673">
        <v>0</v>
      </c>
      <c r="BC46" s="781">
        <v>3.6999999999999998E-2</v>
      </c>
      <c r="BD46" s="790">
        <v>91</v>
      </c>
      <c r="BE46" s="673">
        <v>58254.15</v>
      </c>
    </row>
    <row r="47" spans="1:57" x14ac:dyDescent="0.2">
      <c r="A47" s="390">
        <v>11</v>
      </c>
      <c r="B47" s="551" t="s">
        <v>123</v>
      </c>
      <c r="C47" t="s">
        <v>1047</v>
      </c>
      <c r="D47" s="406">
        <v>1678.9</v>
      </c>
      <c r="E47" s="560">
        <v>6591</v>
      </c>
      <c r="F47" s="561">
        <v>550.04999999999995</v>
      </c>
      <c r="G47" s="561">
        <v>63.31</v>
      </c>
      <c r="H47" s="561">
        <v>63.65</v>
      </c>
      <c r="I47" s="561">
        <v>319.72000000000003</v>
      </c>
      <c r="J47" s="561">
        <v>92.88</v>
      </c>
      <c r="K47" s="561">
        <v>50.23</v>
      </c>
      <c r="L47" s="561">
        <v>69.87</v>
      </c>
      <c r="M47" s="343">
        <v>0</v>
      </c>
      <c r="N47" s="477">
        <v>27.369999999999997</v>
      </c>
      <c r="O47" s="477">
        <v>7.8979999999999997</v>
      </c>
      <c r="P47" s="407">
        <v>4.62</v>
      </c>
      <c r="Q47" s="477">
        <v>0</v>
      </c>
      <c r="R47" s="483">
        <v>11324656</v>
      </c>
      <c r="S47" s="483">
        <v>945096</v>
      </c>
      <c r="T47" s="483">
        <v>108779</v>
      </c>
      <c r="U47" s="483">
        <v>109363</v>
      </c>
      <c r="V47" s="483">
        <v>549343</v>
      </c>
      <c r="W47" s="483">
        <v>546713</v>
      </c>
      <c r="X47" s="483">
        <v>0</v>
      </c>
      <c r="Y47" s="483">
        <v>879</v>
      </c>
      <c r="Z47" s="406">
        <v>22.4</v>
      </c>
      <c r="AA47" s="483">
        <v>45048</v>
      </c>
      <c r="AB47" s="483">
        <v>5726</v>
      </c>
      <c r="AC47" s="385">
        <v>31525</v>
      </c>
      <c r="AD47" s="545">
        <v>5.4</v>
      </c>
      <c r="AE47" s="483">
        <v>99384</v>
      </c>
      <c r="AF47" s="483">
        <v>102262</v>
      </c>
      <c r="AG47" s="481">
        <v>175423</v>
      </c>
      <c r="AH47" s="481">
        <v>154890</v>
      </c>
      <c r="AI47">
        <v>96.5</v>
      </c>
      <c r="AJ47" s="385">
        <v>900120951</v>
      </c>
      <c r="AK47" s="385">
        <v>19195</v>
      </c>
      <c r="AL47" s="385">
        <v>0</v>
      </c>
      <c r="AM47" s="287">
        <v>0</v>
      </c>
      <c r="AN47" s="542">
        <v>330000</v>
      </c>
      <c r="AO47" s="549">
        <v>0.17</v>
      </c>
      <c r="AP47" s="385">
        <v>36997</v>
      </c>
      <c r="AQ47" s="385">
        <v>38068</v>
      </c>
      <c r="AR47" s="481">
        <v>65302</v>
      </c>
      <c r="AS47" s="481">
        <v>59616</v>
      </c>
      <c r="AT47" s="617"/>
      <c r="AU47" s="618">
        <v>0</v>
      </c>
      <c r="AV47" s="618">
        <v>0</v>
      </c>
      <c r="AW47" s="620"/>
      <c r="AX47" s="620"/>
      <c r="AY47" s="625"/>
      <c r="AZ47" s="626"/>
      <c r="BA47" s="620"/>
      <c r="BB47" s="673">
        <v>1234807</v>
      </c>
      <c r="BC47" s="781">
        <v>4.4999999999999998E-2</v>
      </c>
      <c r="BD47" s="790">
        <v>14</v>
      </c>
      <c r="BE47" s="673">
        <v>295090.73</v>
      </c>
    </row>
    <row r="48" spans="1:57" x14ac:dyDescent="0.2">
      <c r="A48" s="390">
        <v>7</v>
      </c>
      <c r="B48" s="551" t="s">
        <v>124</v>
      </c>
      <c r="C48" t="s">
        <v>1048</v>
      </c>
      <c r="D48" s="406">
        <v>5146.8</v>
      </c>
      <c r="E48" s="560">
        <v>6598</v>
      </c>
      <c r="F48" s="561">
        <v>556.71</v>
      </c>
      <c r="G48" s="561">
        <v>66.17</v>
      </c>
      <c r="H48" s="561">
        <v>65.910000000000011</v>
      </c>
      <c r="I48" s="561">
        <v>319.72000000000003</v>
      </c>
      <c r="J48" s="561">
        <v>210.23999999999998</v>
      </c>
      <c r="K48" s="561">
        <v>186.39</v>
      </c>
      <c r="L48" s="561">
        <v>293.18</v>
      </c>
      <c r="M48" s="343">
        <v>0</v>
      </c>
      <c r="N48" s="477">
        <v>38.39</v>
      </c>
      <c r="O48" s="477">
        <v>18.066000000000003</v>
      </c>
      <c r="P48" s="407">
        <v>17.600000000000001</v>
      </c>
      <c r="Q48" s="477">
        <v>0</v>
      </c>
      <c r="R48" s="483">
        <v>33333756</v>
      </c>
      <c r="S48" s="483">
        <v>2812555</v>
      </c>
      <c r="T48" s="483">
        <v>334297</v>
      </c>
      <c r="U48" s="483">
        <v>332984</v>
      </c>
      <c r="V48" s="483">
        <v>1615257</v>
      </c>
      <c r="W48" s="483">
        <v>1660185</v>
      </c>
      <c r="X48" s="483">
        <v>0</v>
      </c>
      <c r="Y48" s="483">
        <v>301</v>
      </c>
      <c r="Z48" s="406">
        <v>0.7</v>
      </c>
      <c r="AA48" s="483">
        <v>210511</v>
      </c>
      <c r="AB48" s="483">
        <v>24190</v>
      </c>
      <c r="AC48" s="385">
        <v>66618</v>
      </c>
      <c r="AD48" s="545">
        <v>5.4</v>
      </c>
      <c r="AE48" s="483">
        <v>30611</v>
      </c>
      <c r="AF48" s="483">
        <v>31129</v>
      </c>
      <c r="AG48" s="481">
        <v>312867</v>
      </c>
      <c r="AH48" s="481">
        <v>172327</v>
      </c>
      <c r="AI48">
        <v>71.5</v>
      </c>
      <c r="AJ48" s="385">
        <v>1705405959</v>
      </c>
      <c r="AK48" s="385">
        <v>43366</v>
      </c>
      <c r="AL48" s="385">
        <v>0</v>
      </c>
      <c r="AM48" s="287">
        <v>0</v>
      </c>
      <c r="AN48" s="542">
        <v>330000</v>
      </c>
      <c r="AO48" s="549">
        <v>0.17</v>
      </c>
      <c r="AP48" s="385">
        <v>19668</v>
      </c>
      <c r="AQ48" s="385">
        <v>20001</v>
      </c>
      <c r="AR48" s="481">
        <v>201027</v>
      </c>
      <c r="AS48" s="481">
        <v>113259</v>
      </c>
      <c r="AT48" s="617"/>
      <c r="AU48" s="618">
        <v>0</v>
      </c>
      <c r="AV48" s="618">
        <v>0</v>
      </c>
      <c r="AW48" s="620"/>
      <c r="AX48" s="620"/>
      <c r="AY48" s="625"/>
      <c r="AZ48" s="626"/>
      <c r="BA48" s="620"/>
      <c r="BB48" s="673">
        <v>5772767</v>
      </c>
      <c r="BC48" s="781">
        <v>2.5000000000000001E-2</v>
      </c>
      <c r="BD48" s="790">
        <v>7</v>
      </c>
      <c r="BE48" s="673">
        <v>739855.12</v>
      </c>
    </row>
    <row r="49" spans="1:57" x14ac:dyDescent="0.2">
      <c r="A49" s="390">
        <v>10</v>
      </c>
      <c r="B49" s="551" t="s">
        <v>125</v>
      </c>
      <c r="C49" t="s">
        <v>1049</v>
      </c>
      <c r="D49" s="406">
        <v>17091.7</v>
      </c>
      <c r="E49" s="560">
        <v>6591</v>
      </c>
      <c r="F49" s="561">
        <v>556.91999999999996</v>
      </c>
      <c r="G49" s="561">
        <v>65.760000000000005</v>
      </c>
      <c r="H49" s="561">
        <v>71.760000000000005</v>
      </c>
      <c r="I49" s="561">
        <v>319.72000000000003</v>
      </c>
      <c r="J49" s="561">
        <v>850.31999999999994</v>
      </c>
      <c r="K49" s="561">
        <v>523.44000000000005</v>
      </c>
      <c r="L49" s="561">
        <v>1297.3899999999999</v>
      </c>
      <c r="M49" s="343">
        <v>0</v>
      </c>
      <c r="N49" s="477">
        <v>36.450000000000003</v>
      </c>
      <c r="O49" s="477">
        <v>95.217999999999989</v>
      </c>
      <c r="P49" s="407">
        <v>149.38</v>
      </c>
      <c r="Q49" s="477">
        <v>0</v>
      </c>
      <c r="R49" s="483">
        <v>111646926</v>
      </c>
      <c r="S49" s="483">
        <v>9433835</v>
      </c>
      <c r="T49" s="483">
        <v>1113928</v>
      </c>
      <c r="U49" s="483">
        <v>1215564</v>
      </c>
      <c r="V49" s="483">
        <v>5415833</v>
      </c>
      <c r="W49" s="483">
        <v>5640231</v>
      </c>
      <c r="X49" s="483">
        <v>0</v>
      </c>
      <c r="Y49" s="483">
        <v>2112</v>
      </c>
      <c r="Z49" s="406">
        <v>16.899999999999999</v>
      </c>
      <c r="AA49" s="483">
        <v>526953</v>
      </c>
      <c r="AB49" s="483">
        <v>61328</v>
      </c>
      <c r="AC49" s="385">
        <v>281992</v>
      </c>
      <c r="AD49" s="545">
        <v>5.4</v>
      </c>
      <c r="AE49" s="483">
        <v>1330171</v>
      </c>
      <c r="AF49" s="483">
        <v>1324215</v>
      </c>
      <c r="AG49" s="481">
        <v>865636</v>
      </c>
      <c r="AH49" s="481">
        <v>726254</v>
      </c>
      <c r="AI49">
        <v>286.5</v>
      </c>
      <c r="AJ49" s="385">
        <v>5003771124</v>
      </c>
      <c r="AK49" s="385">
        <v>251797</v>
      </c>
      <c r="AL49" s="385">
        <v>0</v>
      </c>
      <c r="AM49" s="287">
        <v>0</v>
      </c>
      <c r="AN49" s="542">
        <v>330000</v>
      </c>
      <c r="AO49" s="549">
        <v>0.17</v>
      </c>
      <c r="AP49" s="385">
        <v>1117437</v>
      </c>
      <c r="AQ49" s="385">
        <v>1112434</v>
      </c>
      <c r="AR49" s="481">
        <v>727195</v>
      </c>
      <c r="AS49" s="481">
        <v>628830</v>
      </c>
      <c r="AT49" s="617"/>
      <c r="AU49" s="618">
        <v>0</v>
      </c>
      <c r="AV49" s="618">
        <v>0</v>
      </c>
      <c r="AW49" s="620"/>
      <c r="AX49" s="620"/>
      <c r="AY49" s="625"/>
      <c r="AZ49" s="626"/>
      <c r="BA49" s="620"/>
      <c r="BB49" s="673">
        <v>17777211</v>
      </c>
      <c r="BC49" s="781">
        <v>0.05</v>
      </c>
      <c r="BD49" s="790">
        <v>57</v>
      </c>
      <c r="BE49" s="673">
        <v>2464667.62</v>
      </c>
    </row>
    <row r="50" spans="1:57" x14ac:dyDescent="0.2">
      <c r="A50" s="390">
        <v>10</v>
      </c>
      <c r="B50" s="551" t="s">
        <v>126</v>
      </c>
      <c r="C50" t="s">
        <v>637</v>
      </c>
      <c r="D50" s="406">
        <v>1364.1</v>
      </c>
      <c r="E50" s="560">
        <v>6591</v>
      </c>
      <c r="F50" s="561">
        <v>562.57000000000005</v>
      </c>
      <c r="G50" s="561">
        <v>62.39</v>
      </c>
      <c r="H50" s="561">
        <v>64.25</v>
      </c>
      <c r="I50" s="561">
        <v>319.72000000000003</v>
      </c>
      <c r="J50" s="561">
        <v>48.239999999999995</v>
      </c>
      <c r="K50" s="561">
        <v>52.06</v>
      </c>
      <c r="L50" s="561">
        <v>21.92</v>
      </c>
      <c r="M50" s="343">
        <v>0</v>
      </c>
      <c r="N50" s="477">
        <v>23.93</v>
      </c>
      <c r="O50" s="477">
        <v>4.2889999999999997</v>
      </c>
      <c r="P50" s="407">
        <v>0</v>
      </c>
      <c r="Q50" s="477">
        <v>0</v>
      </c>
      <c r="R50" s="483">
        <v>8963760</v>
      </c>
      <c r="S50" s="483">
        <v>765095</v>
      </c>
      <c r="T50" s="483">
        <v>84850</v>
      </c>
      <c r="U50" s="483">
        <v>87380</v>
      </c>
      <c r="V50" s="483">
        <v>434819</v>
      </c>
      <c r="W50" s="483">
        <v>427862</v>
      </c>
      <c r="X50" s="483">
        <v>0</v>
      </c>
      <c r="Y50" s="483">
        <v>8</v>
      </c>
      <c r="Z50" s="406">
        <v>0</v>
      </c>
      <c r="AA50" s="483">
        <v>39974</v>
      </c>
      <c r="AB50" s="483">
        <v>4652</v>
      </c>
      <c r="AC50" s="385">
        <v>15152</v>
      </c>
      <c r="AD50" s="545">
        <v>5.4</v>
      </c>
      <c r="AE50" s="483">
        <v>17068</v>
      </c>
      <c r="AF50" s="483">
        <v>17231</v>
      </c>
      <c r="AG50" s="481">
        <v>19822</v>
      </c>
      <c r="AH50" s="481">
        <v>18340</v>
      </c>
      <c r="AI50">
        <v>37</v>
      </c>
      <c r="AJ50" s="385">
        <v>262130780</v>
      </c>
      <c r="AK50" s="385">
        <v>9987</v>
      </c>
      <c r="AL50" s="385">
        <v>0</v>
      </c>
      <c r="AM50" s="287">
        <v>0</v>
      </c>
      <c r="AN50" s="542">
        <v>330000</v>
      </c>
      <c r="AO50" s="549">
        <v>0.17</v>
      </c>
      <c r="AP50" s="385">
        <v>13954</v>
      </c>
      <c r="AQ50" s="385">
        <v>14087</v>
      </c>
      <c r="AR50" s="481">
        <v>16205</v>
      </c>
      <c r="AS50" s="481">
        <v>15198</v>
      </c>
      <c r="AT50" s="617"/>
      <c r="AU50" s="618">
        <v>0</v>
      </c>
      <c r="AV50" s="618">
        <v>0</v>
      </c>
      <c r="AW50" s="620"/>
      <c r="AX50" s="620"/>
      <c r="AY50" s="625"/>
      <c r="AZ50" s="626"/>
      <c r="BA50" s="620"/>
      <c r="BB50" s="673">
        <v>2070460</v>
      </c>
      <c r="BC50" s="781">
        <v>2.5000000000000001E-2</v>
      </c>
      <c r="BD50" s="790">
        <v>57</v>
      </c>
      <c r="BE50" s="673">
        <v>65740.039999999994</v>
      </c>
    </row>
    <row r="51" spans="1:57" x14ac:dyDescent="0.2">
      <c r="A51" s="390">
        <v>15</v>
      </c>
      <c r="B51" s="551" t="s">
        <v>127</v>
      </c>
      <c r="C51" t="s">
        <v>1051</v>
      </c>
      <c r="D51" s="406">
        <v>1335.9</v>
      </c>
      <c r="E51" s="560">
        <v>6650</v>
      </c>
      <c r="F51" s="561">
        <v>568.38</v>
      </c>
      <c r="G51" s="561">
        <v>65.19</v>
      </c>
      <c r="H51" s="561">
        <v>68.86</v>
      </c>
      <c r="I51" s="561">
        <v>319.72000000000003</v>
      </c>
      <c r="J51" s="561">
        <v>79.2</v>
      </c>
      <c r="K51" s="561">
        <v>38.729999999999997</v>
      </c>
      <c r="L51" s="561">
        <v>30.14</v>
      </c>
      <c r="M51" s="343">
        <v>0</v>
      </c>
      <c r="N51" s="477">
        <v>8.33</v>
      </c>
      <c r="O51" s="477">
        <v>8.2479999999999993</v>
      </c>
      <c r="P51" s="407">
        <v>1.54</v>
      </c>
      <c r="Q51" s="477">
        <v>0</v>
      </c>
      <c r="R51" s="483">
        <v>8879080</v>
      </c>
      <c r="S51" s="483">
        <v>758901</v>
      </c>
      <c r="T51" s="483">
        <v>87042</v>
      </c>
      <c r="U51" s="483">
        <v>91942</v>
      </c>
      <c r="V51" s="483">
        <v>426890</v>
      </c>
      <c r="W51" s="483">
        <v>427615</v>
      </c>
      <c r="X51" s="483">
        <v>10461</v>
      </c>
      <c r="Y51" s="483">
        <v>0</v>
      </c>
      <c r="Z51" s="406">
        <v>0</v>
      </c>
      <c r="AA51" s="483">
        <v>42836</v>
      </c>
      <c r="AB51" s="483">
        <v>4647</v>
      </c>
      <c r="AC51" s="385">
        <v>25598</v>
      </c>
      <c r="AD51" s="545">
        <v>5.4</v>
      </c>
      <c r="AE51" s="483">
        <v>98320</v>
      </c>
      <c r="AF51" s="483">
        <v>97697</v>
      </c>
      <c r="AG51" s="481">
        <v>32064</v>
      </c>
      <c r="AH51" s="481">
        <v>32064</v>
      </c>
      <c r="AI51">
        <v>40</v>
      </c>
      <c r="AJ51" s="385">
        <v>235011604</v>
      </c>
      <c r="AK51" s="385">
        <v>77295</v>
      </c>
      <c r="AL51" s="385">
        <v>0</v>
      </c>
      <c r="AM51" s="287">
        <v>0</v>
      </c>
      <c r="AN51" s="542">
        <v>330000</v>
      </c>
      <c r="AO51" s="549">
        <v>0.17</v>
      </c>
      <c r="AP51" s="385">
        <v>109089</v>
      </c>
      <c r="AQ51" s="385">
        <v>108398</v>
      </c>
      <c r="AR51" s="481">
        <v>35576</v>
      </c>
      <c r="AS51" s="481">
        <v>36454</v>
      </c>
      <c r="AT51" s="617"/>
      <c r="AU51" s="618">
        <v>25259</v>
      </c>
      <c r="AV51" s="618">
        <v>74584</v>
      </c>
      <c r="AW51" s="620"/>
      <c r="AX51" s="620"/>
      <c r="AY51" s="625"/>
      <c r="AZ51" s="626"/>
      <c r="BA51" s="620"/>
      <c r="BB51" s="673">
        <v>1068207</v>
      </c>
      <c r="BC51" s="781">
        <v>0.05</v>
      </c>
      <c r="BD51" s="790">
        <v>4</v>
      </c>
      <c r="BE51" s="673">
        <v>103020.82</v>
      </c>
    </row>
    <row r="52" spans="1:57" x14ac:dyDescent="0.2">
      <c r="A52" s="390">
        <v>10</v>
      </c>
      <c r="B52" s="551" t="s">
        <v>131</v>
      </c>
      <c r="C52" t="s">
        <v>1054</v>
      </c>
      <c r="D52" s="406">
        <v>478.8</v>
      </c>
      <c r="E52" s="560">
        <v>6652</v>
      </c>
      <c r="F52" s="561">
        <v>612.70000000000005</v>
      </c>
      <c r="G52" s="561">
        <v>59.870000000000005</v>
      </c>
      <c r="H52" s="561">
        <v>68.38000000000001</v>
      </c>
      <c r="I52" s="561">
        <v>319.72000000000003</v>
      </c>
      <c r="J52" s="561">
        <v>22.32</v>
      </c>
      <c r="K52" s="561">
        <v>7.26</v>
      </c>
      <c r="L52" s="561">
        <v>10.96</v>
      </c>
      <c r="M52" s="343">
        <v>0</v>
      </c>
      <c r="N52" s="477">
        <v>27.41</v>
      </c>
      <c r="O52" s="477">
        <v>2.0219999999999998</v>
      </c>
      <c r="P52" s="407">
        <v>0.44</v>
      </c>
      <c r="Q52" s="477">
        <v>0</v>
      </c>
      <c r="R52" s="483">
        <v>3178991</v>
      </c>
      <c r="S52" s="483">
        <v>292809</v>
      </c>
      <c r="T52" s="483">
        <v>28612</v>
      </c>
      <c r="U52" s="483">
        <v>32679</v>
      </c>
      <c r="V52" s="483">
        <v>152794</v>
      </c>
      <c r="W52" s="483">
        <v>152594</v>
      </c>
      <c r="X52" s="483">
        <v>1393</v>
      </c>
      <c r="Y52" s="483">
        <v>6</v>
      </c>
      <c r="Z52" s="406">
        <v>0</v>
      </c>
      <c r="AA52" s="483">
        <v>14257</v>
      </c>
      <c r="AB52" s="483">
        <v>1659</v>
      </c>
      <c r="AC52" s="385">
        <v>7926</v>
      </c>
      <c r="AD52" s="545">
        <v>5.4</v>
      </c>
      <c r="AE52" s="483">
        <v>13266</v>
      </c>
      <c r="AF52" s="483">
        <v>13239</v>
      </c>
      <c r="AG52" s="481">
        <v>7082</v>
      </c>
      <c r="AH52" s="481">
        <v>6234</v>
      </c>
      <c r="AI52">
        <v>13.5</v>
      </c>
      <c r="AJ52" s="385">
        <v>131405995</v>
      </c>
      <c r="AK52" s="385">
        <v>20324</v>
      </c>
      <c r="AL52" s="385">
        <v>0</v>
      </c>
      <c r="AM52" s="287">
        <v>0</v>
      </c>
      <c r="AN52" s="542">
        <v>330000</v>
      </c>
      <c r="AO52" s="549">
        <v>0.17</v>
      </c>
      <c r="AP52" s="385">
        <v>12149</v>
      </c>
      <c r="AQ52" s="385">
        <v>12124</v>
      </c>
      <c r="AR52" s="481">
        <v>6486</v>
      </c>
      <c r="AS52" s="481">
        <v>5761</v>
      </c>
      <c r="AT52" s="617"/>
      <c r="AU52" s="618">
        <v>0</v>
      </c>
      <c r="AV52" s="618">
        <v>101129</v>
      </c>
      <c r="AW52" s="620"/>
      <c r="AX52" s="620"/>
      <c r="AY52" s="625"/>
      <c r="AZ52" s="626"/>
      <c r="BA52" s="620"/>
      <c r="BB52" s="673">
        <v>1490674</v>
      </c>
      <c r="BC52" s="781">
        <v>3.2000000000000001E-2</v>
      </c>
      <c r="BD52" s="790">
        <v>57</v>
      </c>
      <c r="BE52" s="673">
        <v>23082.41</v>
      </c>
    </row>
    <row r="53" spans="1:57" x14ac:dyDescent="0.2">
      <c r="A53" s="390">
        <v>1</v>
      </c>
      <c r="B53" s="551" t="s">
        <v>129</v>
      </c>
      <c r="C53" t="s">
        <v>1053</v>
      </c>
      <c r="D53" s="406">
        <v>433.3</v>
      </c>
      <c r="E53" s="560">
        <v>6591</v>
      </c>
      <c r="F53" s="561">
        <v>583.66999999999996</v>
      </c>
      <c r="G53" s="561">
        <v>60.31</v>
      </c>
      <c r="H53" s="561">
        <v>59.39</v>
      </c>
      <c r="I53" s="561">
        <v>319.72000000000003</v>
      </c>
      <c r="J53" s="561">
        <v>33.119999999999997</v>
      </c>
      <c r="K53" s="561">
        <v>8.4700000000000006</v>
      </c>
      <c r="L53" s="561">
        <v>10.96</v>
      </c>
      <c r="M53" s="343">
        <v>0</v>
      </c>
      <c r="N53" s="477">
        <v>19</v>
      </c>
      <c r="O53" s="477">
        <v>1.877</v>
      </c>
      <c r="P53" s="407">
        <v>0</v>
      </c>
      <c r="Q53" s="477">
        <v>0</v>
      </c>
      <c r="R53" s="483">
        <v>2954745</v>
      </c>
      <c r="S53" s="483">
        <v>261659</v>
      </c>
      <c r="T53" s="483">
        <v>27037</v>
      </c>
      <c r="U53" s="483">
        <v>26625</v>
      </c>
      <c r="V53" s="483">
        <v>143330</v>
      </c>
      <c r="W53" s="483">
        <v>154289</v>
      </c>
      <c r="X53" s="483">
        <v>14707</v>
      </c>
      <c r="Y53" s="483">
        <v>1</v>
      </c>
      <c r="Z53" s="406">
        <v>0</v>
      </c>
      <c r="AA53" s="483">
        <v>15193</v>
      </c>
      <c r="AB53" s="483">
        <v>1629</v>
      </c>
      <c r="AC53" s="385">
        <v>10193</v>
      </c>
      <c r="AD53" s="545">
        <v>5.4</v>
      </c>
      <c r="AE53" s="483">
        <v>19557</v>
      </c>
      <c r="AF53" s="483">
        <v>19513</v>
      </c>
      <c r="AG53" s="481">
        <v>14349</v>
      </c>
      <c r="AH53" s="481">
        <v>9915</v>
      </c>
      <c r="AI53">
        <v>8.5</v>
      </c>
      <c r="AJ53" s="385">
        <v>173448654</v>
      </c>
      <c r="AK53" s="385">
        <v>17191</v>
      </c>
      <c r="AL53" s="385">
        <v>0</v>
      </c>
      <c r="AM53" s="287">
        <v>0</v>
      </c>
      <c r="AN53" s="542">
        <v>330000</v>
      </c>
      <c r="AO53" s="549">
        <v>0.17</v>
      </c>
      <c r="AP53" s="385">
        <v>10697</v>
      </c>
      <c r="AQ53" s="385">
        <v>10673</v>
      </c>
      <c r="AR53" s="481">
        <v>7849</v>
      </c>
      <c r="AS53" s="481">
        <v>5509</v>
      </c>
      <c r="AT53" s="617"/>
      <c r="AU53" s="618">
        <v>101950</v>
      </c>
      <c r="AV53" s="618">
        <v>0</v>
      </c>
      <c r="AW53" s="620"/>
      <c r="AX53" s="620"/>
      <c r="AY53" s="625"/>
      <c r="AZ53" s="626"/>
      <c r="BA53" s="620"/>
      <c r="BB53" s="673">
        <v>0</v>
      </c>
      <c r="BC53" s="781">
        <v>4.3999999999999997E-2</v>
      </c>
      <c r="BD53" s="790">
        <v>22</v>
      </c>
      <c r="BE53" s="673">
        <v>29409.53</v>
      </c>
    </row>
    <row r="54" spans="1:57" x14ac:dyDescent="0.2">
      <c r="A54" s="390">
        <v>9</v>
      </c>
      <c r="B54" s="551" t="s">
        <v>130</v>
      </c>
      <c r="C54" t="s">
        <v>1722</v>
      </c>
      <c r="D54" s="406">
        <v>1462.5</v>
      </c>
      <c r="E54" s="560">
        <v>6591</v>
      </c>
      <c r="F54" s="561">
        <v>582.76</v>
      </c>
      <c r="G54" s="561">
        <v>63.07</v>
      </c>
      <c r="H54" s="561">
        <v>59.4</v>
      </c>
      <c r="I54" s="561">
        <v>319.72000000000003</v>
      </c>
      <c r="J54" s="561">
        <v>60.48</v>
      </c>
      <c r="K54" s="561">
        <v>55.08</v>
      </c>
      <c r="L54" s="561">
        <v>53.43</v>
      </c>
      <c r="M54" s="343">
        <v>0</v>
      </c>
      <c r="N54" s="477">
        <v>17.62</v>
      </c>
      <c r="O54" s="477">
        <v>6.3450000000000006</v>
      </c>
      <c r="P54" s="407">
        <v>1.32</v>
      </c>
      <c r="Q54" s="477">
        <v>0</v>
      </c>
      <c r="R54" s="483">
        <v>9562882</v>
      </c>
      <c r="S54" s="483">
        <v>845526</v>
      </c>
      <c r="T54" s="483">
        <v>91508</v>
      </c>
      <c r="U54" s="483">
        <v>86183</v>
      </c>
      <c r="V54" s="483">
        <v>463882</v>
      </c>
      <c r="W54" s="483">
        <v>467079</v>
      </c>
      <c r="X54" s="483">
        <v>0</v>
      </c>
      <c r="Y54" s="483">
        <v>168</v>
      </c>
      <c r="Z54" s="406">
        <v>0</v>
      </c>
      <c r="AA54" s="483">
        <v>42145</v>
      </c>
      <c r="AB54" s="483">
        <v>4949</v>
      </c>
      <c r="AC54" s="385">
        <v>26022</v>
      </c>
      <c r="AD54" s="545">
        <v>5.4</v>
      </c>
      <c r="AE54" s="483">
        <v>63110</v>
      </c>
      <c r="AF54" s="483">
        <v>63846</v>
      </c>
      <c r="AG54" s="481">
        <v>49413</v>
      </c>
      <c r="AH54" s="481">
        <v>40862</v>
      </c>
      <c r="AI54">
        <v>50</v>
      </c>
      <c r="AJ54" s="385">
        <v>470884595</v>
      </c>
      <c r="AK54" s="385">
        <v>27565</v>
      </c>
      <c r="AL54" s="385">
        <v>0</v>
      </c>
      <c r="AM54" s="287">
        <v>0</v>
      </c>
      <c r="AN54" s="542">
        <v>330000</v>
      </c>
      <c r="AO54" s="549">
        <v>0.17</v>
      </c>
      <c r="AP54" s="385">
        <v>39799</v>
      </c>
      <c r="AQ54" s="385">
        <v>40263</v>
      </c>
      <c r="AR54" s="481">
        <v>31161</v>
      </c>
      <c r="AS54" s="481">
        <v>26263</v>
      </c>
      <c r="AT54" s="617"/>
      <c r="AU54" s="618">
        <v>111867</v>
      </c>
      <c r="AV54" s="618">
        <v>0</v>
      </c>
      <c r="AW54" s="620"/>
      <c r="AX54" s="620"/>
      <c r="AY54" s="625"/>
      <c r="AZ54" s="626"/>
      <c r="BA54" s="620"/>
      <c r="BB54" s="673">
        <v>1584965</v>
      </c>
      <c r="BC54" s="781">
        <v>3.4000000000000002E-2</v>
      </c>
      <c r="BD54" s="790">
        <v>23</v>
      </c>
      <c r="BE54" s="673">
        <v>134448.56</v>
      </c>
    </row>
    <row r="55" spans="1:57" x14ac:dyDescent="0.2">
      <c r="A55" s="390">
        <v>13</v>
      </c>
      <c r="B55" s="551" t="s">
        <v>132</v>
      </c>
      <c r="C55" t="s">
        <v>1055</v>
      </c>
      <c r="D55" s="406">
        <v>650.79999999999995</v>
      </c>
      <c r="E55" s="560">
        <v>6591</v>
      </c>
      <c r="F55" s="561">
        <v>592.39</v>
      </c>
      <c r="G55" s="561">
        <v>61.120000000000005</v>
      </c>
      <c r="H55" s="561">
        <v>79.7</v>
      </c>
      <c r="I55" s="561">
        <v>319.72000000000003</v>
      </c>
      <c r="J55" s="561">
        <v>38.879999999999995</v>
      </c>
      <c r="K55" s="561">
        <v>23.61</v>
      </c>
      <c r="L55" s="561">
        <v>35.619999999999997</v>
      </c>
      <c r="M55" s="343">
        <v>0</v>
      </c>
      <c r="N55" s="477">
        <v>13.530000000000001</v>
      </c>
      <c r="O55" s="477">
        <v>4.056</v>
      </c>
      <c r="P55" s="407">
        <v>0</v>
      </c>
      <c r="Q55" s="477">
        <v>0</v>
      </c>
      <c r="R55" s="483">
        <v>4508244</v>
      </c>
      <c r="S55" s="483">
        <v>405195</v>
      </c>
      <c r="T55" s="483">
        <v>41806</v>
      </c>
      <c r="U55" s="483">
        <v>54515</v>
      </c>
      <c r="V55" s="483">
        <v>218688</v>
      </c>
      <c r="W55" s="483">
        <v>225589</v>
      </c>
      <c r="X55" s="483">
        <v>0</v>
      </c>
      <c r="Y55" s="483">
        <v>0</v>
      </c>
      <c r="Z55" s="406">
        <v>0</v>
      </c>
      <c r="AA55" s="483">
        <v>23163</v>
      </c>
      <c r="AB55" s="483">
        <v>2468</v>
      </c>
      <c r="AC55" s="385">
        <v>11473</v>
      </c>
      <c r="AD55" s="545">
        <v>5.4</v>
      </c>
      <c r="AE55" s="483">
        <v>29135</v>
      </c>
      <c r="AF55" s="483">
        <v>29205</v>
      </c>
      <c r="AG55" s="481">
        <v>7976</v>
      </c>
      <c r="AH55" s="481">
        <v>7976</v>
      </c>
      <c r="AI55">
        <v>18</v>
      </c>
      <c r="AJ55" s="385">
        <v>130743006</v>
      </c>
      <c r="AK55" s="385">
        <v>20494</v>
      </c>
      <c r="AL55" s="385">
        <v>0</v>
      </c>
      <c r="AM55" s="287">
        <v>0</v>
      </c>
      <c r="AN55" s="542">
        <v>330000</v>
      </c>
      <c r="AO55" s="549">
        <v>0.17</v>
      </c>
      <c r="AP55" s="385">
        <v>24416</v>
      </c>
      <c r="AQ55" s="385">
        <v>24475</v>
      </c>
      <c r="AR55" s="481">
        <v>6684</v>
      </c>
      <c r="AS55" s="481">
        <v>6759</v>
      </c>
      <c r="AT55" s="617"/>
      <c r="AU55" s="618">
        <v>0</v>
      </c>
      <c r="AV55" s="618">
        <v>0</v>
      </c>
      <c r="AW55" s="620"/>
      <c r="AX55" s="620"/>
      <c r="AY55" s="625"/>
      <c r="AZ55" s="626"/>
      <c r="BA55" s="620"/>
      <c r="BB55" s="673">
        <v>56010</v>
      </c>
      <c r="BC55" s="781">
        <v>3.5000000000000003E-2</v>
      </c>
      <c r="BD55" s="790">
        <v>27</v>
      </c>
      <c r="BE55" s="673">
        <v>25352.53</v>
      </c>
    </row>
    <row r="56" spans="1:57" x14ac:dyDescent="0.2">
      <c r="A56" s="390">
        <v>15</v>
      </c>
      <c r="B56" s="551" t="s">
        <v>128</v>
      </c>
      <c r="C56" t="s">
        <v>1052</v>
      </c>
      <c r="D56" s="406">
        <v>787.4</v>
      </c>
      <c r="E56" s="560">
        <v>6591</v>
      </c>
      <c r="F56" s="561">
        <v>595.1</v>
      </c>
      <c r="G56" s="561">
        <v>76.56</v>
      </c>
      <c r="H56" s="561">
        <v>64.86</v>
      </c>
      <c r="I56" s="561">
        <v>319.72000000000003</v>
      </c>
      <c r="J56" s="561">
        <v>28.08</v>
      </c>
      <c r="K56" s="561">
        <v>31.46</v>
      </c>
      <c r="L56" s="561">
        <v>31.51</v>
      </c>
      <c r="M56" s="343">
        <v>0</v>
      </c>
      <c r="N56" s="477">
        <v>4.9000000000000004</v>
      </c>
      <c r="O56" s="477">
        <v>3.6030000000000002</v>
      </c>
      <c r="P56" s="407">
        <v>0</v>
      </c>
      <c r="Q56" s="477">
        <v>0</v>
      </c>
      <c r="R56" s="483">
        <v>5181185</v>
      </c>
      <c r="S56" s="483">
        <v>467808</v>
      </c>
      <c r="T56" s="483">
        <v>60184</v>
      </c>
      <c r="U56" s="483">
        <v>50986</v>
      </c>
      <c r="V56" s="483">
        <v>251332</v>
      </c>
      <c r="W56" s="483">
        <v>250236</v>
      </c>
      <c r="X56" s="483">
        <v>6166</v>
      </c>
      <c r="Y56" s="483">
        <v>17</v>
      </c>
      <c r="Z56" s="406">
        <v>0</v>
      </c>
      <c r="AA56" s="483">
        <v>25067</v>
      </c>
      <c r="AB56" s="483">
        <v>2719</v>
      </c>
      <c r="AC56" s="385">
        <v>15811</v>
      </c>
      <c r="AD56" s="545">
        <v>5.4</v>
      </c>
      <c r="AE56" s="483">
        <v>43522</v>
      </c>
      <c r="AF56" s="483">
        <v>43333</v>
      </c>
      <c r="AG56" s="481">
        <v>23557</v>
      </c>
      <c r="AH56" s="481">
        <v>20710</v>
      </c>
      <c r="AI56">
        <v>0</v>
      </c>
      <c r="AJ56" s="385">
        <v>239366047</v>
      </c>
      <c r="AK56" s="385">
        <v>20473</v>
      </c>
      <c r="AL56" s="385">
        <v>0</v>
      </c>
      <c r="AM56" s="287">
        <v>0</v>
      </c>
      <c r="AN56" s="542">
        <v>330000</v>
      </c>
      <c r="AO56" s="549">
        <v>0.17</v>
      </c>
      <c r="AP56" s="385">
        <v>35591</v>
      </c>
      <c r="AQ56" s="385">
        <v>35437</v>
      </c>
      <c r="AR56" s="481">
        <v>19265</v>
      </c>
      <c r="AS56" s="481">
        <v>17198</v>
      </c>
      <c r="AT56" s="617"/>
      <c r="AU56" s="618">
        <v>0</v>
      </c>
      <c r="AV56" s="618">
        <v>183434</v>
      </c>
      <c r="AW56" s="620"/>
      <c r="AX56" s="620"/>
      <c r="AY56" s="625"/>
      <c r="AZ56" s="626"/>
      <c r="BA56" s="620"/>
      <c r="BB56" s="673">
        <v>366771</v>
      </c>
      <c r="BC56" s="781">
        <v>2.5000000000000001E-2</v>
      </c>
      <c r="BD56" s="790">
        <v>56</v>
      </c>
      <c r="BE56" s="673">
        <v>50699.08</v>
      </c>
    </row>
    <row r="57" spans="1:57" x14ac:dyDescent="0.2">
      <c r="A57" s="390">
        <v>12</v>
      </c>
      <c r="B57" s="551" t="s">
        <v>133</v>
      </c>
      <c r="C57" t="s">
        <v>1057</v>
      </c>
      <c r="D57" s="406">
        <v>751.4</v>
      </c>
      <c r="E57" s="560">
        <v>6591</v>
      </c>
      <c r="F57" s="561">
        <v>552.08000000000004</v>
      </c>
      <c r="G57" s="561">
        <v>63.63</v>
      </c>
      <c r="H57" s="561">
        <v>58.56</v>
      </c>
      <c r="I57" s="561">
        <v>319.72000000000003</v>
      </c>
      <c r="J57" s="561">
        <v>31.68</v>
      </c>
      <c r="K57" s="561">
        <v>21.78</v>
      </c>
      <c r="L57" s="561">
        <v>31.51</v>
      </c>
      <c r="M57" s="343">
        <v>0</v>
      </c>
      <c r="N57" s="477">
        <v>4.72</v>
      </c>
      <c r="O57" s="477">
        <v>3.0140000000000002</v>
      </c>
      <c r="P57" s="407">
        <v>5.72</v>
      </c>
      <c r="Q57" s="477">
        <v>0</v>
      </c>
      <c r="R57" s="483">
        <v>5061888</v>
      </c>
      <c r="S57" s="483">
        <v>423997</v>
      </c>
      <c r="T57" s="483">
        <v>48868</v>
      </c>
      <c r="U57" s="483">
        <v>44974</v>
      </c>
      <c r="V57" s="483">
        <v>245545</v>
      </c>
      <c r="W57" s="483">
        <v>250983</v>
      </c>
      <c r="X57" s="483">
        <v>0</v>
      </c>
      <c r="Y57" s="483">
        <v>122</v>
      </c>
      <c r="Z57" s="406">
        <v>0</v>
      </c>
      <c r="AA57" s="483">
        <v>25215</v>
      </c>
      <c r="AB57" s="483">
        <v>3015</v>
      </c>
      <c r="AC57" s="385">
        <v>11802</v>
      </c>
      <c r="AD57" s="545">
        <v>5.4</v>
      </c>
      <c r="AE57" s="483">
        <v>6299</v>
      </c>
      <c r="AF57" s="483">
        <v>6431</v>
      </c>
      <c r="AG57" s="481">
        <v>16967</v>
      </c>
      <c r="AH57" s="481">
        <v>14513</v>
      </c>
      <c r="AI57">
        <v>15.5</v>
      </c>
      <c r="AJ57" s="385">
        <v>266954947</v>
      </c>
      <c r="AK57" s="385">
        <v>9639</v>
      </c>
      <c r="AL57" s="385">
        <v>0</v>
      </c>
      <c r="AM57" s="287">
        <v>0</v>
      </c>
      <c r="AN57" s="542">
        <v>330000</v>
      </c>
      <c r="AO57" s="549">
        <v>0.17</v>
      </c>
      <c r="AP57" s="385">
        <v>4103</v>
      </c>
      <c r="AQ57" s="385">
        <v>4189</v>
      </c>
      <c r="AR57" s="481">
        <v>11052</v>
      </c>
      <c r="AS57" s="481">
        <v>9560</v>
      </c>
      <c r="AT57" s="617"/>
      <c r="AU57" s="618">
        <v>0</v>
      </c>
      <c r="AV57" s="618">
        <v>0</v>
      </c>
      <c r="AW57" s="620"/>
      <c r="AX57" s="620"/>
      <c r="AY57" s="625"/>
      <c r="AZ57" s="626"/>
      <c r="BA57" s="620"/>
      <c r="BB57" s="673">
        <v>1409280</v>
      </c>
      <c r="BC57" s="781">
        <v>4.5999999999999999E-2</v>
      </c>
      <c r="BD57" s="790">
        <v>60</v>
      </c>
      <c r="BE57" s="673">
        <v>41805.1</v>
      </c>
    </row>
    <row r="58" spans="1:57" x14ac:dyDescent="0.2">
      <c r="A58" s="390">
        <v>7</v>
      </c>
      <c r="B58" s="551" t="s">
        <v>285</v>
      </c>
      <c r="C58" t="s">
        <v>1479</v>
      </c>
      <c r="D58" s="406">
        <v>814.1</v>
      </c>
      <c r="E58" s="560">
        <v>6617</v>
      </c>
      <c r="F58" s="561">
        <v>598.66</v>
      </c>
      <c r="G58" s="561">
        <v>67.19</v>
      </c>
      <c r="H58" s="561">
        <v>61.199999999999996</v>
      </c>
      <c r="I58" s="561">
        <v>319.72000000000003</v>
      </c>
      <c r="J58" s="561">
        <v>42.48</v>
      </c>
      <c r="K58" s="561">
        <v>26.62</v>
      </c>
      <c r="L58" s="561">
        <v>39.729999999999997</v>
      </c>
      <c r="M58" s="343">
        <v>0</v>
      </c>
      <c r="N58" s="477">
        <v>6.39</v>
      </c>
      <c r="O58" s="477">
        <v>3.778</v>
      </c>
      <c r="P58" s="407">
        <v>0</v>
      </c>
      <c r="Q58" s="477">
        <v>0</v>
      </c>
      <c r="R58" s="483">
        <v>5366387</v>
      </c>
      <c r="S58" s="483">
        <v>485513</v>
      </c>
      <c r="T58" s="483">
        <v>54491</v>
      </c>
      <c r="U58" s="483">
        <v>49633</v>
      </c>
      <c r="V58" s="483">
        <v>259293</v>
      </c>
      <c r="W58" s="483">
        <v>265084</v>
      </c>
      <c r="X58" s="483">
        <v>9880</v>
      </c>
      <c r="Y58" s="483">
        <v>41</v>
      </c>
      <c r="Z58" s="406">
        <v>0</v>
      </c>
      <c r="AA58" s="483">
        <v>33613</v>
      </c>
      <c r="AB58" s="483">
        <v>3862</v>
      </c>
      <c r="AC58" s="385">
        <v>15779</v>
      </c>
      <c r="AD58" s="545">
        <v>5.4</v>
      </c>
      <c r="AE58" s="483">
        <v>175982</v>
      </c>
      <c r="AF58" s="483">
        <v>175206</v>
      </c>
      <c r="AG58" s="481">
        <v>29503</v>
      </c>
      <c r="AH58" s="481">
        <v>27394</v>
      </c>
      <c r="AI58">
        <v>21.5</v>
      </c>
      <c r="AJ58" s="385">
        <v>339879544</v>
      </c>
      <c r="AK58" s="385">
        <v>13595</v>
      </c>
      <c r="AL58" s="385">
        <v>0</v>
      </c>
      <c r="AM58" s="287">
        <v>0</v>
      </c>
      <c r="AN58" s="542">
        <v>330000</v>
      </c>
      <c r="AO58" s="549">
        <v>0.17</v>
      </c>
      <c r="AP58" s="385">
        <v>93960</v>
      </c>
      <c r="AQ58" s="385">
        <v>93546</v>
      </c>
      <c r="AR58" s="481">
        <v>15752</v>
      </c>
      <c r="AS58" s="481">
        <v>14916</v>
      </c>
      <c r="AT58" s="617"/>
      <c r="AU58" s="618">
        <v>126230</v>
      </c>
      <c r="AV58" s="618">
        <v>6797</v>
      </c>
      <c r="AW58" s="620"/>
      <c r="AX58" s="620"/>
      <c r="AY58" s="625"/>
      <c r="AZ58" s="626"/>
      <c r="BA58" s="620"/>
      <c r="BB58" s="673">
        <v>790896</v>
      </c>
      <c r="BC58" s="781">
        <v>2.5000000000000001E-2</v>
      </c>
      <c r="BD58" s="790">
        <v>98</v>
      </c>
      <c r="BE58" s="673">
        <v>60995.89</v>
      </c>
    </row>
    <row r="59" spans="1:57" x14ac:dyDescent="0.2">
      <c r="A59" s="390">
        <v>15</v>
      </c>
      <c r="B59" s="551" t="s">
        <v>134</v>
      </c>
      <c r="C59" t="s">
        <v>1058</v>
      </c>
      <c r="D59" s="406">
        <v>1281.5999999999999</v>
      </c>
      <c r="E59" s="560">
        <v>6591</v>
      </c>
      <c r="F59" s="561">
        <v>558.41999999999996</v>
      </c>
      <c r="G59" s="561">
        <v>59.63</v>
      </c>
      <c r="H59" s="561">
        <v>77.220000000000013</v>
      </c>
      <c r="I59" s="561">
        <v>319.72000000000003</v>
      </c>
      <c r="J59" s="561">
        <v>67.679999999999993</v>
      </c>
      <c r="K59" s="561">
        <v>38.729999999999997</v>
      </c>
      <c r="L59" s="561">
        <v>26.03</v>
      </c>
      <c r="M59" s="343">
        <v>0</v>
      </c>
      <c r="N59" s="477">
        <v>6.58</v>
      </c>
      <c r="O59" s="477">
        <v>7.1890000000000001</v>
      </c>
      <c r="P59" s="407">
        <v>12.1</v>
      </c>
      <c r="Q59" s="477">
        <v>0</v>
      </c>
      <c r="R59" s="483">
        <v>8560391</v>
      </c>
      <c r="S59" s="483">
        <v>725276</v>
      </c>
      <c r="T59" s="483">
        <v>77447</v>
      </c>
      <c r="U59" s="483">
        <v>100293</v>
      </c>
      <c r="V59" s="483">
        <v>415252</v>
      </c>
      <c r="W59" s="483">
        <v>413151</v>
      </c>
      <c r="X59" s="483">
        <v>27230</v>
      </c>
      <c r="Y59" s="483">
        <v>2</v>
      </c>
      <c r="Z59" s="406">
        <v>0</v>
      </c>
      <c r="AA59" s="483">
        <v>41387</v>
      </c>
      <c r="AB59" s="483">
        <v>4490</v>
      </c>
      <c r="AC59" s="385">
        <v>22710</v>
      </c>
      <c r="AD59" s="545">
        <v>5.4</v>
      </c>
      <c r="AE59" s="483">
        <v>47787</v>
      </c>
      <c r="AF59" s="483">
        <v>47736</v>
      </c>
      <c r="AG59" s="481">
        <v>23804</v>
      </c>
      <c r="AH59" s="481">
        <v>23279</v>
      </c>
      <c r="AI59">
        <v>26</v>
      </c>
      <c r="AJ59" s="385">
        <v>283045646</v>
      </c>
      <c r="AK59" s="385">
        <v>46530</v>
      </c>
      <c r="AL59" s="385">
        <v>0</v>
      </c>
      <c r="AM59" s="287">
        <v>0</v>
      </c>
      <c r="AN59" s="542">
        <v>330000</v>
      </c>
      <c r="AO59" s="549">
        <v>0.17</v>
      </c>
      <c r="AP59" s="385">
        <v>50909</v>
      </c>
      <c r="AQ59" s="385">
        <v>50855</v>
      </c>
      <c r="AR59" s="481">
        <v>25360</v>
      </c>
      <c r="AS59" s="481">
        <v>25163</v>
      </c>
      <c r="AT59" s="617"/>
      <c r="AU59" s="618">
        <v>0</v>
      </c>
      <c r="AV59" s="618">
        <v>297090</v>
      </c>
      <c r="AW59" s="620"/>
      <c r="AX59" s="620"/>
      <c r="AY59" s="625"/>
      <c r="AZ59" s="626"/>
      <c r="BA59" s="620"/>
      <c r="BB59" s="673">
        <v>335499</v>
      </c>
      <c r="BC59" s="781">
        <v>2.7E-2</v>
      </c>
      <c r="BD59" s="790">
        <v>59</v>
      </c>
      <c r="BE59" s="673">
        <v>65197.84</v>
      </c>
    </row>
    <row r="60" spans="1:57" x14ac:dyDescent="0.2">
      <c r="A60" s="390">
        <v>7</v>
      </c>
      <c r="B60" s="551" t="s">
        <v>135</v>
      </c>
      <c r="C60" t="s">
        <v>1059</v>
      </c>
      <c r="D60" s="406">
        <v>1512.9</v>
      </c>
      <c r="E60" s="560">
        <v>6651</v>
      </c>
      <c r="F60" s="561">
        <v>566.37</v>
      </c>
      <c r="G60" s="561">
        <v>66.98</v>
      </c>
      <c r="H60" s="561">
        <v>65.940000000000012</v>
      </c>
      <c r="I60" s="561">
        <v>319.72000000000003</v>
      </c>
      <c r="J60" s="561">
        <v>97.92</v>
      </c>
      <c r="K60" s="561">
        <v>54.45</v>
      </c>
      <c r="L60" s="561">
        <v>71.239999999999995</v>
      </c>
      <c r="M60" s="343">
        <v>0</v>
      </c>
      <c r="N60" s="477">
        <v>8.2899999999999991</v>
      </c>
      <c r="O60" s="477">
        <v>8.8070000000000004</v>
      </c>
      <c r="P60" s="407">
        <v>5.72</v>
      </c>
      <c r="Q60" s="477">
        <v>0</v>
      </c>
      <c r="R60" s="483">
        <v>10185341</v>
      </c>
      <c r="S60" s="483">
        <v>867339</v>
      </c>
      <c r="T60" s="483">
        <v>102573</v>
      </c>
      <c r="U60" s="483">
        <v>100981</v>
      </c>
      <c r="V60" s="483">
        <v>489619</v>
      </c>
      <c r="W60" s="483">
        <v>509719</v>
      </c>
      <c r="X60" s="483">
        <v>2162</v>
      </c>
      <c r="Y60" s="483">
        <v>189</v>
      </c>
      <c r="Z60" s="406">
        <v>2.2000000000000002</v>
      </c>
      <c r="AA60" s="483">
        <v>64632</v>
      </c>
      <c r="AB60" s="483">
        <v>7427</v>
      </c>
      <c r="AC60" s="385">
        <v>27781</v>
      </c>
      <c r="AD60" s="545">
        <v>5.4</v>
      </c>
      <c r="AE60" s="483">
        <v>154082</v>
      </c>
      <c r="AF60" s="483">
        <v>155765</v>
      </c>
      <c r="AG60" s="481">
        <v>68713</v>
      </c>
      <c r="AH60" s="481">
        <v>65358</v>
      </c>
      <c r="AI60">
        <v>32.5</v>
      </c>
      <c r="AJ60" s="385">
        <v>507874355</v>
      </c>
      <c r="AK60" s="385">
        <v>131804</v>
      </c>
      <c r="AL60" s="385">
        <v>0</v>
      </c>
      <c r="AM60" s="287">
        <v>0</v>
      </c>
      <c r="AN60" s="542">
        <v>330000</v>
      </c>
      <c r="AO60" s="549">
        <v>0.17</v>
      </c>
      <c r="AP60" s="385">
        <v>108200</v>
      </c>
      <c r="AQ60" s="385">
        <v>109382</v>
      </c>
      <c r="AR60" s="481">
        <v>48252</v>
      </c>
      <c r="AS60" s="481">
        <v>47044</v>
      </c>
      <c r="AT60" s="617"/>
      <c r="AU60" s="618">
        <v>280766</v>
      </c>
      <c r="AV60" s="618">
        <v>0</v>
      </c>
      <c r="AW60" s="620"/>
      <c r="AX60" s="620"/>
      <c r="AY60" s="625"/>
      <c r="AZ60" s="626"/>
      <c r="BA60" s="620"/>
      <c r="BB60" s="673">
        <v>1600808</v>
      </c>
      <c r="BC60" s="781">
        <v>4.2999999999999997E-2</v>
      </c>
      <c r="BD60" s="790">
        <v>34</v>
      </c>
      <c r="BE60" s="673">
        <v>164572.6</v>
      </c>
    </row>
    <row r="61" spans="1:57" x14ac:dyDescent="0.2">
      <c r="A61" s="390">
        <v>12</v>
      </c>
      <c r="B61" s="551" t="s">
        <v>136</v>
      </c>
      <c r="C61" t="s">
        <v>1060</v>
      </c>
      <c r="D61" s="406">
        <v>271</v>
      </c>
      <c r="E61" s="560">
        <v>6608</v>
      </c>
      <c r="F61" s="561">
        <v>635.12</v>
      </c>
      <c r="G61" s="561">
        <v>66.42</v>
      </c>
      <c r="H61" s="561">
        <v>72.790000000000006</v>
      </c>
      <c r="I61" s="561">
        <v>319.72000000000003</v>
      </c>
      <c r="J61" s="561">
        <v>15.84</v>
      </c>
      <c r="K61" s="561">
        <v>7.26</v>
      </c>
      <c r="L61" s="561">
        <v>16.440000000000001</v>
      </c>
      <c r="M61" s="343">
        <v>0</v>
      </c>
      <c r="N61" s="477">
        <v>14.05</v>
      </c>
      <c r="O61" s="477">
        <v>1.4660000000000002</v>
      </c>
      <c r="P61" s="407">
        <v>0.88</v>
      </c>
      <c r="Q61" s="477">
        <v>0</v>
      </c>
      <c r="R61" s="483">
        <v>1812574</v>
      </c>
      <c r="S61" s="483">
        <v>174213</v>
      </c>
      <c r="T61" s="483">
        <v>18219</v>
      </c>
      <c r="U61" s="483">
        <v>19966</v>
      </c>
      <c r="V61" s="483">
        <v>87699</v>
      </c>
      <c r="W61" s="483">
        <v>94816</v>
      </c>
      <c r="X61" s="483">
        <v>4865</v>
      </c>
      <c r="Y61" s="483">
        <v>1</v>
      </c>
      <c r="Z61" s="406">
        <v>0</v>
      </c>
      <c r="AA61" s="483">
        <v>9526</v>
      </c>
      <c r="AB61" s="483">
        <v>1139</v>
      </c>
      <c r="AC61" s="385">
        <v>5904</v>
      </c>
      <c r="AD61" s="545">
        <v>5.4</v>
      </c>
      <c r="AE61" s="483">
        <v>18106</v>
      </c>
      <c r="AF61" s="483">
        <v>18384</v>
      </c>
      <c r="AG61" s="481">
        <v>5927</v>
      </c>
      <c r="AH61" s="481">
        <v>5475</v>
      </c>
      <c r="AI61">
        <v>8.5</v>
      </c>
      <c r="AJ61" s="385">
        <v>161375113</v>
      </c>
      <c r="AK61" s="385">
        <v>3650</v>
      </c>
      <c r="AL61" s="385">
        <v>0</v>
      </c>
      <c r="AM61" s="287">
        <v>0</v>
      </c>
      <c r="AN61" s="542">
        <v>330000</v>
      </c>
      <c r="AO61" s="549">
        <v>0.17</v>
      </c>
      <c r="AP61" s="385">
        <v>8246</v>
      </c>
      <c r="AQ61" s="385">
        <v>8373</v>
      </c>
      <c r="AR61" s="481">
        <v>2699</v>
      </c>
      <c r="AS61" s="481">
        <v>2509</v>
      </c>
      <c r="AT61" s="617"/>
      <c r="AU61" s="618">
        <v>24336</v>
      </c>
      <c r="AV61" s="618">
        <v>74564</v>
      </c>
      <c r="AW61" s="620"/>
      <c r="AX61" s="620"/>
      <c r="AY61" s="625"/>
      <c r="AZ61" s="626"/>
      <c r="BA61" s="620"/>
      <c r="BB61" s="673">
        <v>239468</v>
      </c>
      <c r="BC61" s="781">
        <v>2.5000000000000001E-2</v>
      </c>
      <c r="BD61" s="790">
        <v>24</v>
      </c>
      <c r="BE61" s="673">
        <v>11345.37</v>
      </c>
    </row>
    <row r="62" spans="1:57" x14ac:dyDescent="0.2">
      <c r="A62" s="390">
        <v>12</v>
      </c>
      <c r="B62" s="551" t="s">
        <v>137</v>
      </c>
      <c r="C62" t="s">
        <v>1061</v>
      </c>
      <c r="D62" s="406">
        <v>942.5</v>
      </c>
      <c r="E62" s="560">
        <v>6642</v>
      </c>
      <c r="F62" s="561">
        <v>581</v>
      </c>
      <c r="G62" s="561">
        <v>65.34</v>
      </c>
      <c r="H62" s="561">
        <v>69.820000000000007</v>
      </c>
      <c r="I62" s="561">
        <v>319.72000000000003</v>
      </c>
      <c r="J62" s="561">
        <v>56.16</v>
      </c>
      <c r="K62" s="561">
        <v>26.02</v>
      </c>
      <c r="L62" s="561">
        <v>35.619999999999997</v>
      </c>
      <c r="M62" s="343">
        <v>0</v>
      </c>
      <c r="N62" s="477">
        <v>0.68</v>
      </c>
      <c r="O62" s="477">
        <v>4.5069999999999997</v>
      </c>
      <c r="P62" s="407">
        <v>6.38</v>
      </c>
      <c r="Q62" s="477">
        <v>0</v>
      </c>
      <c r="R62" s="483">
        <v>6254107</v>
      </c>
      <c r="S62" s="483">
        <v>547070</v>
      </c>
      <c r="T62" s="483">
        <v>61524</v>
      </c>
      <c r="U62" s="483">
        <v>65743</v>
      </c>
      <c r="V62" s="483">
        <v>301048</v>
      </c>
      <c r="W62" s="483">
        <v>319374</v>
      </c>
      <c r="X62" s="483">
        <v>4220</v>
      </c>
      <c r="Y62" s="483">
        <v>1</v>
      </c>
      <c r="Z62" s="406">
        <v>0</v>
      </c>
      <c r="AA62" s="483">
        <v>32086</v>
      </c>
      <c r="AB62" s="483">
        <v>3837</v>
      </c>
      <c r="AC62" s="385">
        <v>18016</v>
      </c>
      <c r="AD62" s="545">
        <v>5.4</v>
      </c>
      <c r="AE62" s="483">
        <v>30843</v>
      </c>
      <c r="AF62" s="483">
        <v>31713</v>
      </c>
      <c r="AG62" s="481">
        <v>33357</v>
      </c>
      <c r="AH62" s="481">
        <v>33073</v>
      </c>
      <c r="AI62">
        <v>22</v>
      </c>
      <c r="AJ62" s="385">
        <v>277448230</v>
      </c>
      <c r="AK62" s="385">
        <v>46905</v>
      </c>
      <c r="AL62" s="385">
        <v>0</v>
      </c>
      <c r="AM62" s="287">
        <v>0</v>
      </c>
      <c r="AN62" s="542">
        <v>330000</v>
      </c>
      <c r="AO62" s="549">
        <v>0.17</v>
      </c>
      <c r="AP62" s="385">
        <v>24017</v>
      </c>
      <c r="AQ62" s="385">
        <v>24694</v>
      </c>
      <c r="AR62" s="481">
        <v>25974</v>
      </c>
      <c r="AS62" s="481">
        <v>26290</v>
      </c>
      <c r="AT62" s="617"/>
      <c r="AU62" s="618">
        <v>107358</v>
      </c>
      <c r="AV62" s="618">
        <v>20448</v>
      </c>
      <c r="AW62" s="620"/>
      <c r="AX62" s="620"/>
      <c r="AY62" s="625"/>
      <c r="AZ62" s="626"/>
      <c r="BA62" s="620"/>
      <c r="BB62" s="673">
        <v>102112</v>
      </c>
      <c r="BC62" s="781">
        <v>2.5000000000000001E-2</v>
      </c>
      <c r="BD62" s="790">
        <v>18</v>
      </c>
      <c r="BE62" s="673">
        <v>78915.12</v>
      </c>
    </row>
    <row r="63" spans="1:57" x14ac:dyDescent="0.2">
      <c r="A63" s="390">
        <v>13</v>
      </c>
      <c r="B63" s="551" t="s">
        <v>138</v>
      </c>
      <c r="C63" t="s">
        <v>1067</v>
      </c>
      <c r="D63" s="406">
        <v>961.3</v>
      </c>
      <c r="E63" s="560">
        <v>6591</v>
      </c>
      <c r="F63" s="561">
        <v>548.28</v>
      </c>
      <c r="G63" s="561">
        <v>51.5</v>
      </c>
      <c r="H63" s="561">
        <v>60.3</v>
      </c>
      <c r="I63" s="561">
        <v>319.72000000000003</v>
      </c>
      <c r="J63" s="561">
        <v>43.92</v>
      </c>
      <c r="K63" s="561">
        <v>18.149999999999999</v>
      </c>
      <c r="L63" s="561">
        <v>20.55</v>
      </c>
      <c r="M63" s="343">
        <v>0</v>
      </c>
      <c r="N63" s="477">
        <v>1.91</v>
      </c>
      <c r="O63" s="477">
        <v>4.5840000000000005</v>
      </c>
      <c r="P63" s="407">
        <v>1.1000000000000001</v>
      </c>
      <c r="Q63" s="477">
        <v>0</v>
      </c>
      <c r="R63" s="483">
        <v>6479612</v>
      </c>
      <c r="S63" s="483">
        <v>539014</v>
      </c>
      <c r="T63" s="483">
        <v>50630</v>
      </c>
      <c r="U63" s="483">
        <v>59281</v>
      </c>
      <c r="V63" s="483">
        <v>314317</v>
      </c>
      <c r="W63" s="483">
        <v>307608</v>
      </c>
      <c r="X63" s="483">
        <v>0</v>
      </c>
      <c r="Y63" s="483">
        <v>80</v>
      </c>
      <c r="Z63" s="406">
        <v>1.2</v>
      </c>
      <c r="AA63" s="483">
        <v>31585</v>
      </c>
      <c r="AB63" s="483">
        <v>3365</v>
      </c>
      <c r="AC63" s="385">
        <v>17062</v>
      </c>
      <c r="AD63" s="545">
        <v>5.4</v>
      </c>
      <c r="AE63" s="483">
        <v>57740</v>
      </c>
      <c r="AF63" s="483">
        <v>59396</v>
      </c>
      <c r="AG63" s="481">
        <v>24559</v>
      </c>
      <c r="AH63" s="481">
        <v>23122</v>
      </c>
      <c r="AI63">
        <v>0</v>
      </c>
      <c r="AJ63" s="385">
        <v>279600015</v>
      </c>
      <c r="AK63" s="385">
        <v>1973</v>
      </c>
      <c r="AL63" s="385">
        <v>0</v>
      </c>
      <c r="AM63" s="287">
        <v>0</v>
      </c>
      <c r="AN63" s="542">
        <v>330000</v>
      </c>
      <c r="AO63" s="549">
        <v>0.17</v>
      </c>
      <c r="AP63" s="385">
        <v>41685</v>
      </c>
      <c r="AQ63" s="385">
        <v>42881</v>
      </c>
      <c r="AR63" s="481">
        <v>17730</v>
      </c>
      <c r="AS63" s="481">
        <v>16947</v>
      </c>
      <c r="AT63" s="617"/>
      <c r="AU63" s="618">
        <v>54923</v>
      </c>
      <c r="AV63" s="618">
        <v>0</v>
      </c>
      <c r="AW63" s="620"/>
      <c r="AX63" s="620"/>
      <c r="AY63" s="625"/>
      <c r="AZ63" s="626"/>
      <c r="BA63" s="620"/>
      <c r="BB63" s="673">
        <v>122207</v>
      </c>
      <c r="BC63" s="781">
        <v>2.5000000000000001E-2</v>
      </c>
      <c r="BD63" s="790">
        <v>73</v>
      </c>
      <c r="BE63" s="673">
        <v>48063.46</v>
      </c>
    </row>
    <row r="64" spans="1:57" x14ac:dyDescent="0.2">
      <c r="A64" s="390">
        <v>5</v>
      </c>
      <c r="B64" s="551" t="s">
        <v>139</v>
      </c>
      <c r="C64" t="s">
        <v>1636</v>
      </c>
      <c r="D64" s="406">
        <v>966.7</v>
      </c>
      <c r="E64" s="560">
        <v>6626</v>
      </c>
      <c r="F64" s="561">
        <v>578.16999999999996</v>
      </c>
      <c r="G64" s="561">
        <v>65.14</v>
      </c>
      <c r="H64" s="561">
        <v>71.040000000000006</v>
      </c>
      <c r="I64" s="561">
        <v>319.72000000000003</v>
      </c>
      <c r="J64" s="561">
        <v>56.879999999999995</v>
      </c>
      <c r="K64" s="561">
        <v>26.02</v>
      </c>
      <c r="L64" s="561">
        <v>49.32</v>
      </c>
      <c r="M64" s="343">
        <v>3.22</v>
      </c>
      <c r="N64" s="477">
        <v>14.3</v>
      </c>
      <c r="O64" s="477">
        <v>5.5030000000000001</v>
      </c>
      <c r="P64" s="407">
        <v>26.18</v>
      </c>
      <c r="Q64" s="477">
        <v>51</v>
      </c>
      <c r="R64" s="483">
        <v>6301989</v>
      </c>
      <c r="S64" s="483">
        <v>549897</v>
      </c>
      <c r="T64" s="483">
        <v>61955</v>
      </c>
      <c r="U64" s="483">
        <v>67566</v>
      </c>
      <c r="V64" s="483">
        <v>304086</v>
      </c>
      <c r="W64" s="483">
        <v>324672</v>
      </c>
      <c r="X64" s="483">
        <v>0</v>
      </c>
      <c r="Y64" s="483">
        <v>2</v>
      </c>
      <c r="Z64" s="406">
        <v>0</v>
      </c>
      <c r="AA64" s="483">
        <v>34548</v>
      </c>
      <c r="AB64" s="483">
        <v>4117</v>
      </c>
      <c r="AC64" s="385">
        <v>17391</v>
      </c>
      <c r="AD64" s="545">
        <v>5.4</v>
      </c>
      <c r="AE64" s="483">
        <v>74856</v>
      </c>
      <c r="AF64" s="483">
        <v>78818</v>
      </c>
      <c r="AG64" s="481">
        <v>35209</v>
      </c>
      <c r="AH64" s="481">
        <v>23486</v>
      </c>
      <c r="AI64">
        <v>31.5</v>
      </c>
      <c r="AJ64" s="385">
        <v>452475744</v>
      </c>
      <c r="AK64" s="385">
        <v>9244</v>
      </c>
      <c r="AL64" s="385">
        <v>0</v>
      </c>
      <c r="AM64" s="287">
        <v>0</v>
      </c>
      <c r="AN64" s="542">
        <v>330000</v>
      </c>
      <c r="AO64" s="549">
        <v>0.17</v>
      </c>
      <c r="AP64" s="385">
        <v>41247</v>
      </c>
      <c r="AQ64" s="385">
        <v>43430</v>
      </c>
      <c r="AR64" s="481">
        <v>21019</v>
      </c>
      <c r="AS64" s="481">
        <v>13468</v>
      </c>
      <c r="AT64" s="617"/>
      <c r="AU64" s="618">
        <v>0</v>
      </c>
      <c r="AV64" s="618">
        <v>0</v>
      </c>
      <c r="AW64" s="620"/>
      <c r="AX64" s="620"/>
      <c r="AY64" s="625"/>
      <c r="AZ64" s="626"/>
      <c r="BA64" s="620"/>
      <c r="BB64" s="673">
        <v>848140</v>
      </c>
      <c r="BC64" s="781">
        <v>0.05</v>
      </c>
      <c r="BD64" s="790">
        <v>99</v>
      </c>
      <c r="BE64" s="673">
        <v>85164.83</v>
      </c>
    </row>
    <row r="65" spans="1:57" x14ac:dyDescent="0.2">
      <c r="A65" s="390">
        <v>13</v>
      </c>
      <c r="B65" s="551" t="s">
        <v>140</v>
      </c>
      <c r="C65" t="s">
        <v>1068</v>
      </c>
      <c r="D65" s="406">
        <v>1417.1</v>
      </c>
      <c r="E65" s="560">
        <v>6591</v>
      </c>
      <c r="F65" s="561">
        <v>567.67999999999995</v>
      </c>
      <c r="G65" s="561">
        <v>58.53</v>
      </c>
      <c r="H65" s="561">
        <v>74.59</v>
      </c>
      <c r="I65" s="561">
        <v>319.72000000000003</v>
      </c>
      <c r="J65" s="561">
        <v>110.88</v>
      </c>
      <c r="K65" s="561">
        <v>46.63</v>
      </c>
      <c r="L65" s="561">
        <v>38.36</v>
      </c>
      <c r="M65" s="343">
        <v>0</v>
      </c>
      <c r="N65" s="477">
        <v>4.13</v>
      </c>
      <c r="O65" s="477">
        <v>8.75</v>
      </c>
      <c r="P65" s="407">
        <v>33.44</v>
      </c>
      <c r="Q65" s="477">
        <v>0</v>
      </c>
      <c r="R65" s="483">
        <v>9467312</v>
      </c>
      <c r="S65" s="483">
        <v>815416</v>
      </c>
      <c r="T65" s="483">
        <v>84072</v>
      </c>
      <c r="U65" s="483">
        <v>107141</v>
      </c>
      <c r="V65" s="483">
        <v>459246</v>
      </c>
      <c r="W65" s="483">
        <v>473012</v>
      </c>
      <c r="X65" s="483">
        <v>0</v>
      </c>
      <c r="Y65" s="483">
        <v>2</v>
      </c>
      <c r="Z65" s="406">
        <v>0</v>
      </c>
      <c r="AA65" s="483">
        <v>48568</v>
      </c>
      <c r="AB65" s="483">
        <v>5175</v>
      </c>
      <c r="AC65" s="385">
        <v>22187</v>
      </c>
      <c r="AD65" s="545">
        <v>5.4</v>
      </c>
      <c r="AE65" s="483">
        <v>37322</v>
      </c>
      <c r="AF65" s="483">
        <v>37472</v>
      </c>
      <c r="AG65" s="481">
        <v>57297</v>
      </c>
      <c r="AH65" s="481">
        <v>50191</v>
      </c>
      <c r="AI65">
        <v>27</v>
      </c>
      <c r="AJ65" s="385">
        <v>320864774</v>
      </c>
      <c r="AK65" s="385">
        <v>0</v>
      </c>
      <c r="AL65" s="385">
        <v>0</v>
      </c>
      <c r="AM65" s="287">
        <v>0</v>
      </c>
      <c r="AN65" s="542">
        <v>330000</v>
      </c>
      <c r="AO65" s="549">
        <v>0.17</v>
      </c>
      <c r="AP65" s="385">
        <v>27332</v>
      </c>
      <c r="AQ65" s="385">
        <v>27441</v>
      </c>
      <c r="AR65" s="481">
        <v>41959</v>
      </c>
      <c r="AS65" s="481">
        <v>37775</v>
      </c>
      <c r="AT65" s="617"/>
      <c r="AU65" s="618">
        <v>136199</v>
      </c>
      <c r="AV65" s="618">
        <v>0</v>
      </c>
      <c r="AW65" s="620"/>
      <c r="AX65" s="620"/>
      <c r="AY65" s="625">
        <v>-1</v>
      </c>
      <c r="AZ65" s="626"/>
      <c r="BA65" s="620"/>
      <c r="BB65" s="673">
        <v>0</v>
      </c>
      <c r="BC65" s="781">
        <v>2.5000000000000001E-2</v>
      </c>
      <c r="BD65" s="790">
        <v>20</v>
      </c>
      <c r="BE65" s="673">
        <v>167468.91</v>
      </c>
    </row>
    <row r="66" spans="1:57" x14ac:dyDescent="0.2">
      <c r="A66" s="390">
        <v>7</v>
      </c>
      <c r="B66" s="551" t="s">
        <v>141</v>
      </c>
      <c r="C66" t="s">
        <v>1069</v>
      </c>
      <c r="D66" s="406">
        <v>326</v>
      </c>
      <c r="E66" s="560">
        <v>6591</v>
      </c>
      <c r="F66" s="561">
        <v>656.92</v>
      </c>
      <c r="G66" s="561">
        <v>70.2</v>
      </c>
      <c r="H66" s="561">
        <v>72.03</v>
      </c>
      <c r="I66" s="561">
        <v>319.72000000000003</v>
      </c>
      <c r="J66" s="561">
        <v>18</v>
      </c>
      <c r="K66" s="561">
        <v>12.72</v>
      </c>
      <c r="L66" s="561">
        <v>10.96</v>
      </c>
      <c r="M66" s="343">
        <v>0</v>
      </c>
      <c r="N66" s="477">
        <v>19.36</v>
      </c>
      <c r="O66" s="477">
        <v>1.49</v>
      </c>
      <c r="P66" s="407">
        <v>0.66</v>
      </c>
      <c r="Q66" s="477">
        <v>0</v>
      </c>
      <c r="R66" s="483">
        <v>2254122</v>
      </c>
      <c r="S66" s="483">
        <v>224667</v>
      </c>
      <c r="T66" s="483">
        <v>24008</v>
      </c>
      <c r="U66" s="483">
        <v>24634</v>
      </c>
      <c r="V66" s="483">
        <v>109344</v>
      </c>
      <c r="W66" s="483">
        <v>112556</v>
      </c>
      <c r="X66" s="483">
        <v>5238</v>
      </c>
      <c r="Y66" s="483">
        <v>0</v>
      </c>
      <c r="Z66" s="406">
        <v>0</v>
      </c>
      <c r="AA66" s="483">
        <v>14272</v>
      </c>
      <c r="AB66" s="483">
        <v>1640</v>
      </c>
      <c r="AC66" s="385">
        <v>6347</v>
      </c>
      <c r="AD66" s="545">
        <v>5.4</v>
      </c>
      <c r="AE66" s="483">
        <v>11878</v>
      </c>
      <c r="AF66" s="483">
        <v>12178</v>
      </c>
      <c r="AG66" s="481">
        <v>2842</v>
      </c>
      <c r="AH66" s="481">
        <v>2842</v>
      </c>
      <c r="AI66">
        <v>8.5</v>
      </c>
      <c r="AJ66" s="385">
        <v>95451126</v>
      </c>
      <c r="AK66" s="385">
        <v>5184</v>
      </c>
      <c r="AL66" s="385">
        <v>0</v>
      </c>
      <c r="AM66" s="287">
        <v>0</v>
      </c>
      <c r="AN66" s="542">
        <v>330000</v>
      </c>
      <c r="AO66" s="549">
        <v>0.17</v>
      </c>
      <c r="AP66" s="385">
        <v>9649</v>
      </c>
      <c r="AQ66" s="385">
        <v>9893</v>
      </c>
      <c r="AR66" s="481">
        <v>2308</v>
      </c>
      <c r="AS66" s="481">
        <v>2320</v>
      </c>
      <c r="AT66" s="617"/>
      <c r="AU66" s="618">
        <v>0</v>
      </c>
      <c r="AV66" s="618">
        <v>0</v>
      </c>
      <c r="AW66" s="620"/>
      <c r="AX66" s="620"/>
      <c r="AY66" s="625"/>
      <c r="AZ66" s="626"/>
      <c r="BA66" s="620"/>
      <c r="BB66" s="673">
        <v>415035</v>
      </c>
      <c r="BC66" s="781">
        <v>4.9000000000000002E-2</v>
      </c>
      <c r="BD66" s="790">
        <v>12</v>
      </c>
      <c r="BE66" s="673">
        <v>7298.3</v>
      </c>
    </row>
    <row r="67" spans="1:57" x14ac:dyDescent="0.2">
      <c r="A67" s="390">
        <v>5</v>
      </c>
      <c r="B67" s="551" t="s">
        <v>142</v>
      </c>
      <c r="C67" t="s">
        <v>1070</v>
      </c>
      <c r="D67" s="406">
        <v>348</v>
      </c>
      <c r="E67" s="560">
        <v>6719</v>
      </c>
      <c r="F67" s="561">
        <v>624.95000000000005</v>
      </c>
      <c r="G67" s="561">
        <v>68.680000000000007</v>
      </c>
      <c r="H67" s="561">
        <v>62.44</v>
      </c>
      <c r="I67" s="561">
        <v>319.72000000000003</v>
      </c>
      <c r="J67" s="561">
        <v>11.52</v>
      </c>
      <c r="K67" s="561">
        <v>12.1</v>
      </c>
      <c r="L67" s="561">
        <v>27.4</v>
      </c>
      <c r="M67" s="343">
        <v>1.17</v>
      </c>
      <c r="N67" s="477">
        <v>11.08</v>
      </c>
      <c r="O67" s="477">
        <v>1.8379999999999999</v>
      </c>
      <c r="P67" s="407">
        <v>0.22</v>
      </c>
      <c r="Q67" s="477">
        <v>0</v>
      </c>
      <c r="R67" s="483">
        <v>2452435</v>
      </c>
      <c r="S67" s="483">
        <v>228107</v>
      </c>
      <c r="T67" s="483">
        <v>25068</v>
      </c>
      <c r="U67" s="483">
        <v>22791</v>
      </c>
      <c r="V67" s="483">
        <v>116698</v>
      </c>
      <c r="W67" s="483">
        <v>121000</v>
      </c>
      <c r="X67" s="483">
        <v>4033</v>
      </c>
      <c r="Y67" s="483">
        <v>8</v>
      </c>
      <c r="Z67" s="406">
        <v>0</v>
      </c>
      <c r="AA67" s="483">
        <v>12876</v>
      </c>
      <c r="AB67" s="483">
        <v>1534</v>
      </c>
      <c r="AC67" s="385">
        <v>7885</v>
      </c>
      <c r="AD67" s="545">
        <v>5.4</v>
      </c>
      <c r="AE67" s="483">
        <v>42995</v>
      </c>
      <c r="AF67" s="483">
        <v>43495</v>
      </c>
      <c r="AG67" s="481">
        <v>9729</v>
      </c>
      <c r="AH67" s="481">
        <v>9729</v>
      </c>
      <c r="AI67">
        <v>4</v>
      </c>
      <c r="AJ67" s="385">
        <v>239751166</v>
      </c>
      <c r="AK67" s="385">
        <v>32693</v>
      </c>
      <c r="AL67" s="385">
        <v>0</v>
      </c>
      <c r="AM67" s="287">
        <v>0</v>
      </c>
      <c r="AN67" s="542">
        <v>330000</v>
      </c>
      <c r="AO67" s="549">
        <v>0.17</v>
      </c>
      <c r="AP67" s="385">
        <v>17955</v>
      </c>
      <c r="AQ67" s="385">
        <v>18164</v>
      </c>
      <c r="AR67" s="481">
        <v>4063</v>
      </c>
      <c r="AS67" s="481">
        <v>4091</v>
      </c>
      <c r="AT67" s="617"/>
      <c r="AU67" s="618">
        <v>0</v>
      </c>
      <c r="AV67" s="618">
        <v>70666</v>
      </c>
      <c r="AW67" s="620"/>
      <c r="AX67" s="620"/>
      <c r="AY67" s="625"/>
      <c r="AZ67" s="626"/>
      <c r="BA67" s="620"/>
      <c r="BB67" s="673">
        <v>0</v>
      </c>
      <c r="BC67" s="781">
        <v>0.05</v>
      </c>
      <c r="BD67" s="790">
        <v>21</v>
      </c>
      <c r="BE67" s="673">
        <v>16632.759999999998</v>
      </c>
    </row>
    <row r="68" spans="1:57" x14ac:dyDescent="0.2">
      <c r="A68" s="390">
        <v>1</v>
      </c>
      <c r="B68" s="551" t="s">
        <v>206</v>
      </c>
      <c r="C68" t="s">
        <v>1056</v>
      </c>
      <c r="D68" s="406">
        <v>577.20000000000005</v>
      </c>
      <c r="E68" s="560">
        <v>6683</v>
      </c>
      <c r="F68" s="561">
        <v>572.27</v>
      </c>
      <c r="G68" s="561">
        <v>64.77</v>
      </c>
      <c r="H68" s="561">
        <v>57.9</v>
      </c>
      <c r="I68" s="561">
        <v>319.72000000000003</v>
      </c>
      <c r="J68" s="561">
        <v>34.56</v>
      </c>
      <c r="K68" s="561">
        <v>9.6900000000000013</v>
      </c>
      <c r="L68" s="561">
        <v>13.7</v>
      </c>
      <c r="M68" s="343">
        <v>0</v>
      </c>
      <c r="N68" s="477">
        <v>5.2799999999999994</v>
      </c>
      <c r="O68" s="477">
        <v>2.581</v>
      </c>
      <c r="P68" s="407">
        <v>2.2000000000000002</v>
      </c>
      <c r="Q68" s="477">
        <v>0</v>
      </c>
      <c r="R68" s="483">
        <v>3926263</v>
      </c>
      <c r="S68" s="483">
        <v>336209</v>
      </c>
      <c r="T68" s="483">
        <v>38052</v>
      </c>
      <c r="U68" s="483">
        <v>34016</v>
      </c>
      <c r="V68" s="483">
        <v>187836</v>
      </c>
      <c r="W68" s="483">
        <v>198552</v>
      </c>
      <c r="X68" s="483">
        <v>6270</v>
      </c>
      <c r="Y68" s="483">
        <v>66</v>
      </c>
      <c r="Z68" s="406">
        <v>3.2</v>
      </c>
      <c r="AA68" s="483">
        <v>19552</v>
      </c>
      <c r="AB68" s="483">
        <v>2097</v>
      </c>
      <c r="AC68" s="385">
        <v>13342</v>
      </c>
      <c r="AD68" s="545">
        <v>5.4</v>
      </c>
      <c r="AE68" s="483">
        <v>19701</v>
      </c>
      <c r="AF68" s="483">
        <v>19704</v>
      </c>
      <c r="AG68" s="481">
        <v>17435</v>
      </c>
      <c r="AH68" s="481">
        <v>13923</v>
      </c>
      <c r="AI68">
        <v>19</v>
      </c>
      <c r="AJ68" s="385">
        <v>305271721</v>
      </c>
      <c r="AK68" s="385">
        <v>47345</v>
      </c>
      <c r="AL68" s="385">
        <v>0</v>
      </c>
      <c r="AM68" s="287">
        <v>0</v>
      </c>
      <c r="AN68" s="542">
        <v>330000</v>
      </c>
      <c r="AO68" s="549">
        <v>0.17</v>
      </c>
      <c r="AP68" s="385">
        <v>8215</v>
      </c>
      <c r="AQ68" s="385">
        <v>8216</v>
      </c>
      <c r="AR68" s="481">
        <v>7270</v>
      </c>
      <c r="AS68" s="481">
        <v>5859</v>
      </c>
      <c r="AT68" s="617"/>
      <c r="AU68" s="618">
        <v>136874</v>
      </c>
      <c r="AV68" s="618">
        <v>27181</v>
      </c>
      <c r="AW68" s="620"/>
      <c r="AX68" s="620"/>
      <c r="AY68" s="625"/>
      <c r="AZ68" s="626"/>
      <c r="BA68" s="620"/>
      <c r="BB68" s="673">
        <v>537157</v>
      </c>
      <c r="BC68" s="781">
        <v>3.7999999999999999E-2</v>
      </c>
      <c r="BD68" s="790">
        <v>22</v>
      </c>
      <c r="BE68" s="673">
        <v>35315.33</v>
      </c>
    </row>
    <row r="69" spans="1:57" x14ac:dyDescent="0.2">
      <c r="A69" s="390">
        <v>10</v>
      </c>
      <c r="B69" s="551" t="s">
        <v>143</v>
      </c>
      <c r="C69" t="s">
        <v>655</v>
      </c>
      <c r="D69" s="406">
        <v>2004.7</v>
      </c>
      <c r="E69" s="560">
        <v>6627</v>
      </c>
      <c r="F69" s="561">
        <v>570.46</v>
      </c>
      <c r="G69" s="561">
        <v>61.97</v>
      </c>
      <c r="H69" s="561">
        <v>55.839999999999996</v>
      </c>
      <c r="I69" s="561">
        <v>319.72000000000003</v>
      </c>
      <c r="J69" s="561">
        <v>99.36</v>
      </c>
      <c r="K69" s="561">
        <v>59.9</v>
      </c>
      <c r="L69" s="561">
        <v>75.350000000000009</v>
      </c>
      <c r="M69" s="343">
        <v>0</v>
      </c>
      <c r="N69" s="477">
        <v>4</v>
      </c>
      <c r="O69" s="477">
        <v>6.883</v>
      </c>
      <c r="P69" s="407">
        <v>7.26</v>
      </c>
      <c r="Q69" s="477">
        <v>0</v>
      </c>
      <c r="R69" s="483">
        <v>12558828</v>
      </c>
      <c r="S69" s="483">
        <v>1081079</v>
      </c>
      <c r="T69" s="483">
        <v>117439</v>
      </c>
      <c r="U69" s="483">
        <v>105822</v>
      </c>
      <c r="V69" s="483">
        <v>605901</v>
      </c>
      <c r="W69" s="483">
        <v>613195</v>
      </c>
      <c r="X69" s="483">
        <v>0</v>
      </c>
      <c r="Y69" s="483">
        <v>24</v>
      </c>
      <c r="Z69" s="406">
        <v>0</v>
      </c>
      <c r="AA69" s="483">
        <v>57289</v>
      </c>
      <c r="AB69" s="483">
        <v>6667</v>
      </c>
      <c r="AC69" s="385">
        <v>17712</v>
      </c>
      <c r="AD69" s="545">
        <v>5.4</v>
      </c>
      <c r="AE69" s="483">
        <v>86491</v>
      </c>
      <c r="AF69" s="483">
        <v>88002</v>
      </c>
      <c r="AG69" s="481">
        <v>241446</v>
      </c>
      <c r="AH69" s="481">
        <v>82338</v>
      </c>
      <c r="AI69">
        <v>54</v>
      </c>
      <c r="AJ69" s="385">
        <v>687285523</v>
      </c>
      <c r="AK69" s="385">
        <v>20156</v>
      </c>
      <c r="AL69" s="385">
        <v>0</v>
      </c>
      <c r="AM69" s="287">
        <v>0</v>
      </c>
      <c r="AN69" s="542">
        <v>330000</v>
      </c>
      <c r="AO69" s="549">
        <v>0.17</v>
      </c>
      <c r="AP69" s="385">
        <v>51845</v>
      </c>
      <c r="AQ69" s="385">
        <v>52750</v>
      </c>
      <c r="AR69" s="481">
        <v>166320</v>
      </c>
      <c r="AS69" s="481">
        <v>53553</v>
      </c>
      <c r="AT69" s="617"/>
      <c r="AU69" s="618">
        <v>0</v>
      </c>
      <c r="AV69" s="618">
        <v>0</v>
      </c>
      <c r="AW69" s="620"/>
      <c r="AX69" s="620"/>
      <c r="AY69" s="625"/>
      <c r="AZ69" s="626">
        <v>-1.2490000000000001</v>
      </c>
      <c r="BA69" s="620"/>
      <c r="BB69" s="673">
        <v>5040663</v>
      </c>
      <c r="BC69" s="781">
        <v>0.05</v>
      </c>
      <c r="BD69" s="790">
        <v>52</v>
      </c>
      <c r="BE69" s="673">
        <v>749713.54999999993</v>
      </c>
    </row>
    <row r="70" spans="1:57" x14ac:dyDescent="0.2">
      <c r="A70" s="390">
        <v>7</v>
      </c>
      <c r="B70" s="551" t="s">
        <v>144</v>
      </c>
      <c r="C70" t="s">
        <v>1071</v>
      </c>
      <c r="D70" s="406">
        <v>1219.8</v>
      </c>
      <c r="E70" s="560">
        <v>6591</v>
      </c>
      <c r="F70" s="561">
        <v>546.61</v>
      </c>
      <c r="G70" s="561">
        <v>60</v>
      </c>
      <c r="H70" s="561">
        <v>62.54</v>
      </c>
      <c r="I70" s="561">
        <v>319.72000000000003</v>
      </c>
      <c r="J70" s="561">
        <v>63.36</v>
      </c>
      <c r="K70" s="561">
        <v>52.03</v>
      </c>
      <c r="L70" s="561">
        <v>60.28</v>
      </c>
      <c r="M70" s="343">
        <v>0</v>
      </c>
      <c r="N70" s="477">
        <v>3.94</v>
      </c>
      <c r="O70" s="477">
        <v>4.8919999999999995</v>
      </c>
      <c r="P70" s="407">
        <v>0.66</v>
      </c>
      <c r="Q70" s="477">
        <v>0</v>
      </c>
      <c r="R70" s="483">
        <v>8055520</v>
      </c>
      <c r="S70" s="483">
        <v>668067</v>
      </c>
      <c r="T70" s="483">
        <v>73332</v>
      </c>
      <c r="U70" s="483">
        <v>76436</v>
      </c>
      <c r="V70" s="483">
        <v>390762</v>
      </c>
      <c r="W70" s="483">
        <v>408684</v>
      </c>
      <c r="X70" s="483">
        <v>0</v>
      </c>
      <c r="Y70" s="483">
        <v>38</v>
      </c>
      <c r="Z70" s="406">
        <v>0</v>
      </c>
      <c r="AA70" s="483">
        <v>51821</v>
      </c>
      <c r="AB70" s="483">
        <v>5955</v>
      </c>
      <c r="AC70" s="385">
        <v>23189</v>
      </c>
      <c r="AD70" s="545">
        <v>5.4</v>
      </c>
      <c r="AE70" s="483">
        <v>318292</v>
      </c>
      <c r="AF70" s="483">
        <v>304968</v>
      </c>
      <c r="AG70" s="481">
        <v>76889</v>
      </c>
      <c r="AH70" s="481">
        <v>54650</v>
      </c>
      <c r="AI70">
        <v>36.5</v>
      </c>
      <c r="AJ70" s="385">
        <v>692045135</v>
      </c>
      <c r="AK70" s="385">
        <v>3051</v>
      </c>
      <c r="AL70" s="385">
        <v>0</v>
      </c>
      <c r="AM70" s="287">
        <v>0</v>
      </c>
      <c r="AN70" s="542">
        <v>330000</v>
      </c>
      <c r="AO70" s="549">
        <v>0.17</v>
      </c>
      <c r="AP70" s="385">
        <v>129597</v>
      </c>
      <c r="AQ70" s="385">
        <v>124172</v>
      </c>
      <c r="AR70" s="481">
        <v>31307</v>
      </c>
      <c r="AS70" s="481">
        <v>22728</v>
      </c>
      <c r="AT70" s="617"/>
      <c r="AU70" s="618">
        <v>155123</v>
      </c>
      <c r="AV70" s="618">
        <v>0</v>
      </c>
      <c r="AW70" s="620"/>
      <c r="AX70" s="620"/>
      <c r="AY70" s="625"/>
      <c r="AZ70" s="626"/>
      <c r="BA70" s="620"/>
      <c r="BB70" s="673">
        <v>1130607</v>
      </c>
      <c r="BC70" s="781">
        <v>3.4000000000000002E-2</v>
      </c>
      <c r="BD70" s="790">
        <v>17</v>
      </c>
      <c r="BE70" s="673">
        <v>136496.32000000001</v>
      </c>
    </row>
    <row r="71" spans="1:57" x14ac:dyDescent="0.2">
      <c r="A71" s="390">
        <v>9</v>
      </c>
      <c r="B71" s="551" t="s">
        <v>145</v>
      </c>
      <c r="C71" t="s">
        <v>1072</v>
      </c>
      <c r="D71" s="406">
        <v>3784.8</v>
      </c>
      <c r="E71" s="560">
        <v>6637</v>
      </c>
      <c r="F71" s="561">
        <v>569.35</v>
      </c>
      <c r="G71" s="561">
        <v>65.64</v>
      </c>
      <c r="H71" s="561">
        <v>76.59</v>
      </c>
      <c r="I71" s="561">
        <v>319.72000000000003</v>
      </c>
      <c r="J71" s="561">
        <v>254.16</v>
      </c>
      <c r="K71" s="561">
        <v>202.33</v>
      </c>
      <c r="L71" s="561">
        <v>206.87</v>
      </c>
      <c r="M71" s="343">
        <v>0</v>
      </c>
      <c r="N71" s="477">
        <v>17.18</v>
      </c>
      <c r="O71" s="477">
        <v>23.952000000000002</v>
      </c>
      <c r="P71" s="407">
        <v>9.4600000000000009</v>
      </c>
      <c r="Q71" s="477">
        <v>0</v>
      </c>
      <c r="R71" s="483">
        <v>25528557</v>
      </c>
      <c r="S71" s="483">
        <v>2189948</v>
      </c>
      <c r="T71" s="483">
        <v>252478</v>
      </c>
      <c r="U71" s="483">
        <v>294596</v>
      </c>
      <c r="V71" s="483">
        <v>1229771</v>
      </c>
      <c r="W71" s="483">
        <v>1308606</v>
      </c>
      <c r="X71" s="483">
        <v>23983</v>
      </c>
      <c r="Y71" s="483">
        <v>164</v>
      </c>
      <c r="Z71" s="406">
        <v>0</v>
      </c>
      <c r="AA71" s="483">
        <v>118076</v>
      </c>
      <c r="AB71" s="483">
        <v>13865</v>
      </c>
      <c r="AC71" s="385">
        <v>73778</v>
      </c>
      <c r="AD71" s="545">
        <v>5.4</v>
      </c>
      <c r="AE71" s="483">
        <v>340162</v>
      </c>
      <c r="AF71" s="483">
        <v>343897</v>
      </c>
      <c r="AG71" s="481">
        <v>193413</v>
      </c>
      <c r="AH71" s="481">
        <v>187388</v>
      </c>
      <c r="AI71">
        <v>112.5</v>
      </c>
      <c r="AJ71" s="385">
        <v>870069186</v>
      </c>
      <c r="AK71" s="385">
        <v>120530</v>
      </c>
      <c r="AL71" s="385">
        <v>0</v>
      </c>
      <c r="AM71" s="287">
        <v>0</v>
      </c>
      <c r="AN71" s="542">
        <v>330000</v>
      </c>
      <c r="AO71" s="549">
        <v>0.17</v>
      </c>
      <c r="AP71" s="385">
        <v>314918</v>
      </c>
      <c r="AQ71" s="385">
        <v>318376</v>
      </c>
      <c r="AR71" s="481">
        <v>179059</v>
      </c>
      <c r="AS71" s="481">
        <v>180511</v>
      </c>
      <c r="AT71" s="617"/>
      <c r="AU71" s="618">
        <v>106854</v>
      </c>
      <c r="AV71" s="618">
        <v>0</v>
      </c>
      <c r="AW71" s="620"/>
      <c r="AX71" s="620"/>
      <c r="AY71" s="625"/>
      <c r="AZ71" s="626"/>
      <c r="BA71" s="620"/>
      <c r="BB71" s="673">
        <v>5910590</v>
      </c>
      <c r="BC71" s="781">
        <v>0.05</v>
      </c>
      <c r="BD71" s="790">
        <v>23</v>
      </c>
      <c r="BE71" s="673">
        <v>600752.36</v>
      </c>
    </row>
    <row r="72" spans="1:57" x14ac:dyDescent="0.2">
      <c r="A72" s="390">
        <v>11</v>
      </c>
      <c r="B72" s="551" t="s">
        <v>146</v>
      </c>
      <c r="C72" t="s">
        <v>1073</v>
      </c>
      <c r="D72" s="406">
        <v>722.2</v>
      </c>
      <c r="E72" s="560">
        <v>6591</v>
      </c>
      <c r="F72" s="561">
        <v>567.57000000000005</v>
      </c>
      <c r="G72" s="561">
        <v>55.39</v>
      </c>
      <c r="H72" s="561">
        <v>65.11</v>
      </c>
      <c r="I72" s="561">
        <v>319.72000000000003</v>
      </c>
      <c r="J72" s="561">
        <v>26.64</v>
      </c>
      <c r="K72" s="561">
        <v>20.57</v>
      </c>
      <c r="L72" s="561">
        <v>32.880000000000003</v>
      </c>
      <c r="M72" s="343">
        <v>0</v>
      </c>
      <c r="N72" s="477">
        <v>4.1499999999999995</v>
      </c>
      <c r="O72" s="477">
        <v>3.7679999999999998</v>
      </c>
      <c r="P72" s="407">
        <v>1.1000000000000001</v>
      </c>
      <c r="Q72" s="477">
        <v>0</v>
      </c>
      <c r="R72" s="483">
        <v>4827908</v>
      </c>
      <c r="S72" s="483">
        <v>415745</v>
      </c>
      <c r="T72" s="483">
        <v>40573</v>
      </c>
      <c r="U72" s="483">
        <v>47693</v>
      </c>
      <c r="V72" s="483">
        <v>234195</v>
      </c>
      <c r="W72" s="483">
        <v>225031</v>
      </c>
      <c r="X72" s="483">
        <v>9857</v>
      </c>
      <c r="Y72" s="483">
        <v>10</v>
      </c>
      <c r="Z72" s="406">
        <v>0</v>
      </c>
      <c r="AA72" s="483">
        <v>18542</v>
      </c>
      <c r="AB72" s="483">
        <v>2357</v>
      </c>
      <c r="AC72" s="385">
        <v>13685</v>
      </c>
      <c r="AD72" s="545">
        <v>5.4</v>
      </c>
      <c r="AE72" s="483">
        <v>35468</v>
      </c>
      <c r="AF72" s="483">
        <v>36363</v>
      </c>
      <c r="AG72" s="481">
        <v>9487</v>
      </c>
      <c r="AH72" s="481">
        <v>6991</v>
      </c>
      <c r="AI72">
        <v>17</v>
      </c>
      <c r="AJ72" s="385">
        <v>175070828</v>
      </c>
      <c r="AK72" s="385">
        <v>1797</v>
      </c>
      <c r="AL72" s="385">
        <v>0</v>
      </c>
      <c r="AM72" s="287">
        <v>0</v>
      </c>
      <c r="AN72" s="542">
        <v>330000</v>
      </c>
      <c r="AO72" s="549">
        <v>0.17</v>
      </c>
      <c r="AP72" s="385">
        <v>31614</v>
      </c>
      <c r="AQ72" s="385">
        <v>32412</v>
      </c>
      <c r="AR72" s="481">
        <v>8456</v>
      </c>
      <c r="AS72" s="481">
        <v>6313</v>
      </c>
      <c r="AT72" s="617"/>
      <c r="AU72" s="618">
        <v>0</v>
      </c>
      <c r="AV72" s="618">
        <v>30849</v>
      </c>
      <c r="AW72" s="620"/>
      <c r="AX72" s="620"/>
      <c r="AY72" s="625"/>
      <c r="AZ72" s="626"/>
      <c r="BA72" s="620"/>
      <c r="BB72" s="673">
        <v>1614412</v>
      </c>
      <c r="BC72" s="781">
        <v>3.7999999999999999E-2</v>
      </c>
      <c r="BD72" s="790">
        <v>50</v>
      </c>
      <c r="BE72" s="673">
        <v>33618.959999999999</v>
      </c>
    </row>
    <row r="73" spans="1:57" x14ac:dyDescent="0.2">
      <c r="A73" s="390">
        <v>10</v>
      </c>
      <c r="B73" s="551" t="s">
        <v>147</v>
      </c>
      <c r="C73" t="s">
        <v>1074</v>
      </c>
      <c r="D73" s="406">
        <v>5086.6000000000004</v>
      </c>
      <c r="E73" s="560">
        <v>6591</v>
      </c>
      <c r="F73" s="561">
        <v>539.05999999999995</v>
      </c>
      <c r="G73" s="561">
        <v>66.739999999999995</v>
      </c>
      <c r="H73" s="561">
        <v>69.77000000000001</v>
      </c>
      <c r="I73" s="561">
        <v>319.72000000000003</v>
      </c>
      <c r="J73" s="561">
        <v>167.04</v>
      </c>
      <c r="K73" s="561">
        <v>159.19</v>
      </c>
      <c r="L73" s="561">
        <v>217.83</v>
      </c>
      <c r="M73" s="343">
        <v>0</v>
      </c>
      <c r="N73" s="477">
        <v>19.46</v>
      </c>
      <c r="O73" s="477">
        <v>21.251000000000001</v>
      </c>
      <c r="P73" s="407">
        <v>20.460000000000004</v>
      </c>
      <c r="Q73" s="477">
        <v>0</v>
      </c>
      <c r="R73" s="483">
        <v>32608313</v>
      </c>
      <c r="S73" s="483">
        <v>2666945</v>
      </c>
      <c r="T73" s="483">
        <v>330189</v>
      </c>
      <c r="U73" s="483">
        <v>345180</v>
      </c>
      <c r="V73" s="483">
        <v>1581783</v>
      </c>
      <c r="W73" s="483">
        <v>1570010</v>
      </c>
      <c r="X73" s="483">
        <v>0</v>
      </c>
      <c r="Y73" s="483">
        <v>135</v>
      </c>
      <c r="Z73" s="406">
        <v>0</v>
      </c>
      <c r="AA73" s="483">
        <v>146682</v>
      </c>
      <c r="AB73" s="483">
        <v>17071</v>
      </c>
      <c r="AC73" s="385">
        <v>46189</v>
      </c>
      <c r="AD73" s="545">
        <v>5.4</v>
      </c>
      <c r="AE73" s="483">
        <v>774696</v>
      </c>
      <c r="AF73" s="483">
        <v>775160</v>
      </c>
      <c r="AG73" s="481">
        <v>466648</v>
      </c>
      <c r="AH73" s="481">
        <v>462150</v>
      </c>
      <c r="AI73">
        <v>135</v>
      </c>
      <c r="AJ73" s="385">
        <v>1870820854</v>
      </c>
      <c r="AK73" s="385">
        <v>0</v>
      </c>
      <c r="AL73" s="385">
        <v>0</v>
      </c>
      <c r="AM73" s="287">
        <v>0</v>
      </c>
      <c r="AN73" s="542">
        <v>330000</v>
      </c>
      <c r="AO73" s="549">
        <v>0.17</v>
      </c>
      <c r="AP73" s="385">
        <v>472590</v>
      </c>
      <c r="AQ73" s="385">
        <v>472873</v>
      </c>
      <c r="AR73" s="481">
        <v>284671</v>
      </c>
      <c r="AS73" s="481">
        <v>293636</v>
      </c>
      <c r="AT73" s="617"/>
      <c r="AU73" s="618">
        <v>0</v>
      </c>
      <c r="AV73" s="618">
        <v>0</v>
      </c>
      <c r="AW73" s="620"/>
      <c r="AX73" s="620"/>
      <c r="AY73" s="625"/>
      <c r="AZ73" s="626"/>
      <c r="BA73" s="620"/>
      <c r="BB73" s="673">
        <v>11015523</v>
      </c>
      <c r="BC73" s="781">
        <v>4.5999999999999999E-2</v>
      </c>
      <c r="BD73" s="790">
        <v>57</v>
      </c>
      <c r="BE73" s="673">
        <v>1388020.61</v>
      </c>
    </row>
    <row r="74" spans="1:57" x14ac:dyDescent="0.2">
      <c r="A74" s="390">
        <v>11</v>
      </c>
      <c r="B74" s="551" t="s">
        <v>148</v>
      </c>
      <c r="C74" t="s">
        <v>1075</v>
      </c>
      <c r="D74" s="406">
        <v>488.1</v>
      </c>
      <c r="E74" s="560">
        <v>6591</v>
      </c>
      <c r="F74" s="561">
        <v>586.66999999999996</v>
      </c>
      <c r="G74" s="561">
        <v>59.79</v>
      </c>
      <c r="H74" s="561">
        <v>65.320000000000007</v>
      </c>
      <c r="I74" s="561">
        <v>319.72000000000003</v>
      </c>
      <c r="J74" s="561">
        <v>29.52</v>
      </c>
      <c r="K74" s="561">
        <v>18.759999999999998</v>
      </c>
      <c r="L74" s="561">
        <v>8.2200000000000006</v>
      </c>
      <c r="M74" s="343">
        <v>0</v>
      </c>
      <c r="N74" s="477">
        <v>1.04</v>
      </c>
      <c r="O74" s="477">
        <v>2.0739999999999998</v>
      </c>
      <c r="P74" s="407">
        <v>0</v>
      </c>
      <c r="Q74" s="477">
        <v>0</v>
      </c>
      <c r="R74" s="483">
        <v>3189385</v>
      </c>
      <c r="S74" s="483">
        <v>283890</v>
      </c>
      <c r="T74" s="483">
        <v>28932</v>
      </c>
      <c r="U74" s="483">
        <v>31608</v>
      </c>
      <c r="V74" s="483">
        <v>154713</v>
      </c>
      <c r="W74" s="483">
        <v>151865</v>
      </c>
      <c r="X74" s="483">
        <v>0</v>
      </c>
      <c r="Y74" s="483">
        <v>6</v>
      </c>
      <c r="Z74" s="406">
        <v>0</v>
      </c>
      <c r="AA74" s="483">
        <v>12513</v>
      </c>
      <c r="AB74" s="483">
        <v>1590</v>
      </c>
      <c r="AC74" s="385">
        <v>7965</v>
      </c>
      <c r="AD74" s="545">
        <v>5.4</v>
      </c>
      <c r="AE74" s="483">
        <v>19555</v>
      </c>
      <c r="AF74" s="483">
        <v>19618</v>
      </c>
      <c r="AG74" s="481">
        <v>3068</v>
      </c>
      <c r="AH74" s="481">
        <v>3001</v>
      </c>
      <c r="AI74">
        <v>12.5</v>
      </c>
      <c r="AJ74" s="385">
        <v>143630837</v>
      </c>
      <c r="AK74" s="385">
        <v>3662</v>
      </c>
      <c r="AL74" s="385">
        <v>0</v>
      </c>
      <c r="AM74" s="287">
        <v>0</v>
      </c>
      <c r="AN74" s="542">
        <v>330000</v>
      </c>
      <c r="AO74" s="549">
        <v>0.17</v>
      </c>
      <c r="AP74" s="385">
        <v>12233</v>
      </c>
      <c r="AQ74" s="385">
        <v>12273</v>
      </c>
      <c r="AR74" s="481">
        <v>1919</v>
      </c>
      <c r="AS74" s="481">
        <v>1885</v>
      </c>
      <c r="AT74" s="617"/>
      <c r="AU74" s="618">
        <v>50688</v>
      </c>
      <c r="AV74" s="618">
        <v>0</v>
      </c>
      <c r="AW74" s="620"/>
      <c r="AX74" s="620"/>
      <c r="AY74" s="625"/>
      <c r="AZ74" s="626"/>
      <c r="BA74" s="620"/>
      <c r="BB74" s="673">
        <v>847529</v>
      </c>
      <c r="BC74" s="781">
        <v>3.5999999999999997E-2</v>
      </c>
      <c r="BD74" s="790">
        <v>85</v>
      </c>
      <c r="BE74" s="673">
        <v>8545.42</v>
      </c>
    </row>
    <row r="75" spans="1:57" x14ac:dyDescent="0.2">
      <c r="A75" s="390">
        <v>11</v>
      </c>
      <c r="B75" s="551" t="s">
        <v>149</v>
      </c>
      <c r="C75" t="s">
        <v>1076</v>
      </c>
      <c r="D75" s="406">
        <v>508.3</v>
      </c>
      <c r="E75" s="560">
        <v>6614</v>
      </c>
      <c r="F75" s="561">
        <v>617.05999999999995</v>
      </c>
      <c r="G75" s="561">
        <v>61.550000000000004</v>
      </c>
      <c r="H75" s="561">
        <v>65.28</v>
      </c>
      <c r="I75" s="561">
        <v>319.72000000000003</v>
      </c>
      <c r="J75" s="561">
        <v>21.599999999999998</v>
      </c>
      <c r="K75" s="561">
        <v>11.5</v>
      </c>
      <c r="L75" s="561">
        <v>2.74</v>
      </c>
      <c r="M75" s="343">
        <v>0</v>
      </c>
      <c r="N75" s="477">
        <v>23.4</v>
      </c>
      <c r="O75" s="477">
        <v>2.3490000000000002</v>
      </c>
      <c r="P75" s="407">
        <v>0</v>
      </c>
      <c r="Q75" s="477">
        <v>0</v>
      </c>
      <c r="R75" s="483">
        <v>3224986</v>
      </c>
      <c r="S75" s="483">
        <v>300878</v>
      </c>
      <c r="T75" s="483">
        <v>30012</v>
      </c>
      <c r="U75" s="483">
        <v>31831</v>
      </c>
      <c r="V75" s="483">
        <v>155895</v>
      </c>
      <c r="W75" s="483">
        <v>146102</v>
      </c>
      <c r="X75" s="483">
        <v>9688</v>
      </c>
      <c r="Y75" s="483">
        <v>4</v>
      </c>
      <c r="Z75" s="406">
        <v>0</v>
      </c>
      <c r="AA75" s="483">
        <v>12039</v>
      </c>
      <c r="AB75" s="483">
        <v>1530</v>
      </c>
      <c r="AC75" s="385">
        <v>8919</v>
      </c>
      <c r="AD75" s="545">
        <v>5.4</v>
      </c>
      <c r="AE75" s="483">
        <v>29762</v>
      </c>
      <c r="AF75" s="483">
        <v>29565</v>
      </c>
      <c r="AG75" s="481">
        <v>57957</v>
      </c>
      <c r="AH75" s="481">
        <v>29985</v>
      </c>
      <c r="AI75">
        <v>10.5</v>
      </c>
      <c r="AJ75" s="385">
        <v>236208592</v>
      </c>
      <c r="AK75" s="385">
        <v>0</v>
      </c>
      <c r="AL75" s="385">
        <v>0</v>
      </c>
      <c r="AM75" s="287">
        <v>0</v>
      </c>
      <c r="AN75" s="542">
        <v>330000</v>
      </c>
      <c r="AO75" s="549">
        <v>0.17</v>
      </c>
      <c r="AP75" s="385">
        <v>17304</v>
      </c>
      <c r="AQ75" s="385">
        <v>17189</v>
      </c>
      <c r="AR75" s="481">
        <v>33697</v>
      </c>
      <c r="AS75" s="481">
        <v>18061</v>
      </c>
      <c r="AT75" s="617"/>
      <c r="AU75" s="618">
        <v>26427</v>
      </c>
      <c r="AV75" s="618">
        <v>189520</v>
      </c>
      <c r="AW75" s="620"/>
      <c r="AX75" s="620"/>
      <c r="AY75" s="625"/>
      <c r="AZ75" s="626">
        <v>-0.21</v>
      </c>
      <c r="BA75" s="620"/>
      <c r="BB75" s="673">
        <v>124627</v>
      </c>
      <c r="BC75" s="781">
        <v>2.5000000000000001E-2</v>
      </c>
      <c r="BD75" s="790">
        <v>85</v>
      </c>
      <c r="BE75" s="673">
        <v>158324.60999999999</v>
      </c>
    </row>
    <row r="76" spans="1:57" x14ac:dyDescent="0.2">
      <c r="A76" s="390">
        <v>9</v>
      </c>
      <c r="B76" s="551" t="s">
        <v>150</v>
      </c>
      <c r="C76" t="s">
        <v>1077</v>
      </c>
      <c r="D76" s="406">
        <v>797.1</v>
      </c>
      <c r="E76" s="560">
        <v>6591</v>
      </c>
      <c r="F76" s="561">
        <v>603.13</v>
      </c>
      <c r="G76" s="561">
        <v>71.89</v>
      </c>
      <c r="H76" s="561">
        <v>74.470000000000013</v>
      </c>
      <c r="I76" s="561">
        <v>319.72000000000003</v>
      </c>
      <c r="J76" s="561">
        <v>43.199999999999996</v>
      </c>
      <c r="K76" s="561">
        <v>33.880000000000003</v>
      </c>
      <c r="L76" s="561">
        <v>52.06</v>
      </c>
      <c r="M76" s="343">
        <v>0</v>
      </c>
      <c r="N76" s="477">
        <v>26.93</v>
      </c>
      <c r="O76" s="477">
        <v>5.4329999999999998</v>
      </c>
      <c r="P76" s="407">
        <v>33.44</v>
      </c>
      <c r="Q76" s="477">
        <v>0</v>
      </c>
      <c r="R76" s="483">
        <v>5390779</v>
      </c>
      <c r="S76" s="483">
        <v>493300</v>
      </c>
      <c r="T76" s="483">
        <v>58799</v>
      </c>
      <c r="U76" s="483">
        <v>60909</v>
      </c>
      <c r="V76" s="483">
        <v>261499</v>
      </c>
      <c r="W76" s="483">
        <v>269302</v>
      </c>
      <c r="X76" s="483">
        <v>29771</v>
      </c>
      <c r="Y76" s="483">
        <v>0</v>
      </c>
      <c r="Z76" s="406">
        <v>0</v>
      </c>
      <c r="AA76" s="483">
        <v>24299</v>
      </c>
      <c r="AB76" s="483">
        <v>2853</v>
      </c>
      <c r="AC76" s="385">
        <v>16146</v>
      </c>
      <c r="AD76" s="545">
        <v>5.4</v>
      </c>
      <c r="AE76" s="483">
        <v>25462</v>
      </c>
      <c r="AF76" s="483">
        <v>25608</v>
      </c>
      <c r="AG76" s="481">
        <v>10812</v>
      </c>
      <c r="AH76" s="481">
        <v>10773</v>
      </c>
      <c r="AI76">
        <v>22</v>
      </c>
      <c r="AJ76" s="385">
        <v>210217445</v>
      </c>
      <c r="AK76" s="385">
        <v>13779</v>
      </c>
      <c r="AL76" s="385">
        <v>0</v>
      </c>
      <c r="AM76" s="287">
        <v>0</v>
      </c>
      <c r="AN76" s="542">
        <v>330000</v>
      </c>
      <c r="AO76" s="549">
        <v>0.17</v>
      </c>
      <c r="AP76" s="385">
        <v>19944</v>
      </c>
      <c r="AQ76" s="385">
        <v>20058</v>
      </c>
      <c r="AR76" s="481">
        <v>8469</v>
      </c>
      <c r="AS76" s="481">
        <v>8521</v>
      </c>
      <c r="AT76" s="617"/>
      <c r="AU76" s="618">
        <v>0</v>
      </c>
      <c r="AV76" s="618">
        <v>0</v>
      </c>
      <c r="AW76" s="620"/>
      <c r="AX76" s="620"/>
      <c r="AY76" s="625"/>
      <c r="AZ76" s="626"/>
      <c r="BA76" s="620"/>
      <c r="BB76" s="673">
        <v>258532</v>
      </c>
      <c r="BC76" s="781">
        <v>3.7999999999999999E-2</v>
      </c>
      <c r="BD76" s="790">
        <v>58</v>
      </c>
      <c r="BE76" s="673">
        <v>36218.519999999997</v>
      </c>
    </row>
    <row r="77" spans="1:57" x14ac:dyDescent="0.2">
      <c r="A77" s="390">
        <v>11</v>
      </c>
      <c r="B77" s="551" t="s">
        <v>151</v>
      </c>
      <c r="C77" t="s">
        <v>638</v>
      </c>
      <c r="D77" s="406">
        <v>423.8</v>
      </c>
      <c r="E77" s="560">
        <v>6738</v>
      </c>
      <c r="F77" s="561">
        <v>644.59</v>
      </c>
      <c r="G77" s="561">
        <v>68.850000000000009</v>
      </c>
      <c r="H77" s="561">
        <v>73.900000000000006</v>
      </c>
      <c r="I77" s="561">
        <v>319.72000000000003</v>
      </c>
      <c r="J77" s="561">
        <v>28.08</v>
      </c>
      <c r="K77" s="561">
        <v>8.49</v>
      </c>
      <c r="L77" s="561">
        <v>9.59</v>
      </c>
      <c r="M77" s="343">
        <v>0</v>
      </c>
      <c r="N77" s="477">
        <v>11.870000000000001</v>
      </c>
      <c r="O77" s="477">
        <v>2.3180000000000001</v>
      </c>
      <c r="P77" s="407">
        <v>0.44</v>
      </c>
      <c r="Q77" s="477">
        <v>0</v>
      </c>
      <c r="R77" s="483">
        <v>2699243</v>
      </c>
      <c r="S77" s="483">
        <v>258223</v>
      </c>
      <c r="T77" s="483">
        <v>27581</v>
      </c>
      <c r="U77" s="483">
        <v>29604</v>
      </c>
      <c r="V77" s="483">
        <v>128080</v>
      </c>
      <c r="W77" s="483">
        <v>126432</v>
      </c>
      <c r="X77" s="483">
        <v>9658</v>
      </c>
      <c r="Y77" s="483">
        <v>0</v>
      </c>
      <c r="Z77" s="406">
        <v>0</v>
      </c>
      <c r="AA77" s="483">
        <v>10418</v>
      </c>
      <c r="AB77" s="483">
        <v>1324</v>
      </c>
      <c r="AC77" s="385">
        <v>8264</v>
      </c>
      <c r="AD77" s="545">
        <v>5.4</v>
      </c>
      <c r="AE77" s="483">
        <v>11214</v>
      </c>
      <c r="AF77" s="483">
        <v>11306</v>
      </c>
      <c r="AG77" s="481">
        <v>24296</v>
      </c>
      <c r="AH77" s="481">
        <v>22601</v>
      </c>
      <c r="AI77">
        <v>12.5</v>
      </c>
      <c r="AJ77" s="385">
        <v>188696021</v>
      </c>
      <c r="AK77" s="385">
        <v>28348</v>
      </c>
      <c r="AL77" s="385">
        <v>0</v>
      </c>
      <c r="AM77" s="287">
        <v>0</v>
      </c>
      <c r="AN77" s="542">
        <v>330000</v>
      </c>
      <c r="AO77" s="549">
        <v>0.17</v>
      </c>
      <c r="AP77" s="385">
        <v>6139</v>
      </c>
      <c r="AQ77" s="385">
        <v>6189</v>
      </c>
      <c r="AR77" s="481">
        <v>13300</v>
      </c>
      <c r="AS77" s="481">
        <v>12650</v>
      </c>
      <c r="AT77" s="617"/>
      <c r="AU77" s="618">
        <v>63921</v>
      </c>
      <c r="AV77" s="618">
        <v>0</v>
      </c>
      <c r="AW77" s="620"/>
      <c r="AX77" s="620"/>
      <c r="AY77" s="625"/>
      <c r="AZ77" s="626"/>
      <c r="BA77" s="620"/>
      <c r="BB77" s="673">
        <v>0</v>
      </c>
      <c r="BC77" s="781">
        <v>3.6999999999999998E-2</v>
      </c>
      <c r="BD77" s="790">
        <v>14</v>
      </c>
      <c r="BE77" s="673">
        <v>51874.14</v>
      </c>
    </row>
    <row r="78" spans="1:57" x14ac:dyDescent="0.2">
      <c r="A78" s="390">
        <v>13</v>
      </c>
      <c r="B78" s="551" t="s">
        <v>152</v>
      </c>
      <c r="C78" t="s">
        <v>1078</v>
      </c>
      <c r="D78" s="406">
        <v>421.5</v>
      </c>
      <c r="E78" s="560">
        <v>6638</v>
      </c>
      <c r="F78" s="561">
        <v>650.98</v>
      </c>
      <c r="G78" s="561">
        <v>65.55</v>
      </c>
      <c r="H78" s="561">
        <v>77.690000000000012</v>
      </c>
      <c r="I78" s="561">
        <v>319.72000000000003</v>
      </c>
      <c r="J78" s="561">
        <v>33.839999999999996</v>
      </c>
      <c r="K78" s="561">
        <v>3.63</v>
      </c>
      <c r="L78" s="561">
        <v>21.92</v>
      </c>
      <c r="M78" s="343">
        <v>0</v>
      </c>
      <c r="N78" s="477">
        <v>19.510000000000002</v>
      </c>
      <c r="O78" s="477">
        <v>2.1989999999999998</v>
      </c>
      <c r="P78" s="407">
        <v>0.44</v>
      </c>
      <c r="Q78" s="477">
        <v>0</v>
      </c>
      <c r="R78" s="483">
        <v>2797917</v>
      </c>
      <c r="S78" s="483">
        <v>274388</v>
      </c>
      <c r="T78" s="483">
        <v>27629</v>
      </c>
      <c r="U78" s="483">
        <v>32746</v>
      </c>
      <c r="V78" s="483">
        <v>134762</v>
      </c>
      <c r="W78" s="483">
        <v>139174</v>
      </c>
      <c r="X78" s="483">
        <v>12376</v>
      </c>
      <c r="Y78" s="483">
        <v>0</v>
      </c>
      <c r="Z78" s="406">
        <v>0</v>
      </c>
      <c r="AA78" s="483">
        <v>14290</v>
      </c>
      <c r="AB78" s="483">
        <v>1523</v>
      </c>
      <c r="AC78" s="385">
        <v>9617</v>
      </c>
      <c r="AD78" s="545">
        <v>5.4</v>
      </c>
      <c r="AE78" s="483">
        <v>43971</v>
      </c>
      <c r="AF78" s="483">
        <v>45018</v>
      </c>
      <c r="AG78" s="481">
        <v>15701</v>
      </c>
      <c r="AH78" s="481">
        <v>13168</v>
      </c>
      <c r="AI78">
        <v>15</v>
      </c>
      <c r="AJ78" s="385">
        <v>202209961</v>
      </c>
      <c r="AK78" s="385">
        <v>20931</v>
      </c>
      <c r="AL78" s="385">
        <v>0</v>
      </c>
      <c r="AM78" s="287">
        <v>0</v>
      </c>
      <c r="AN78" s="542">
        <v>330000</v>
      </c>
      <c r="AO78" s="549">
        <v>0.17</v>
      </c>
      <c r="AP78" s="385">
        <v>22720</v>
      </c>
      <c r="AQ78" s="385">
        <v>23261</v>
      </c>
      <c r="AR78" s="481">
        <v>8113</v>
      </c>
      <c r="AS78" s="481">
        <v>6903</v>
      </c>
      <c r="AT78" s="617"/>
      <c r="AU78" s="618">
        <v>67388</v>
      </c>
      <c r="AV78" s="618">
        <v>0</v>
      </c>
      <c r="AW78" s="620"/>
      <c r="AX78" s="620"/>
      <c r="AY78" s="625"/>
      <c r="AZ78" s="626"/>
      <c r="BA78" s="620"/>
      <c r="BB78" s="673">
        <v>1082411</v>
      </c>
      <c r="BC78" s="781">
        <v>4.4999999999999998E-2</v>
      </c>
      <c r="BD78" s="790">
        <v>2</v>
      </c>
      <c r="BE78" s="673">
        <v>43584.1</v>
      </c>
    </row>
    <row r="79" spans="1:57" x14ac:dyDescent="0.2">
      <c r="A79" s="390">
        <v>13</v>
      </c>
      <c r="B79" s="551" t="s">
        <v>153</v>
      </c>
      <c r="C79" t="s">
        <v>1079</v>
      </c>
      <c r="D79" s="406">
        <v>9256.9</v>
      </c>
      <c r="E79" s="560">
        <v>6660</v>
      </c>
      <c r="F79" s="561">
        <v>545.15</v>
      </c>
      <c r="G79" s="561">
        <v>63.32</v>
      </c>
      <c r="H79" s="561">
        <v>81.290000000000006</v>
      </c>
      <c r="I79" s="561">
        <v>319.72000000000003</v>
      </c>
      <c r="J79" s="561">
        <v>593.28</v>
      </c>
      <c r="K79" s="561">
        <v>341.33000000000004</v>
      </c>
      <c r="L79" s="561">
        <v>1046.68</v>
      </c>
      <c r="M79" s="343">
        <v>0</v>
      </c>
      <c r="N79" s="477">
        <v>75.150000000000006</v>
      </c>
      <c r="O79" s="477">
        <v>62.149000000000001</v>
      </c>
      <c r="P79" s="407">
        <v>81.840000000000018</v>
      </c>
      <c r="Q79" s="477">
        <v>0</v>
      </c>
      <c r="R79" s="483">
        <v>60779160</v>
      </c>
      <c r="S79" s="483">
        <v>4975039</v>
      </c>
      <c r="T79" s="483">
        <v>577858</v>
      </c>
      <c r="U79" s="483">
        <v>741853</v>
      </c>
      <c r="V79" s="483">
        <v>2917765</v>
      </c>
      <c r="W79" s="483">
        <v>3200233</v>
      </c>
      <c r="X79" s="483">
        <v>0</v>
      </c>
      <c r="Y79" s="483">
        <v>389</v>
      </c>
      <c r="Z79" s="406">
        <v>0.4</v>
      </c>
      <c r="AA79" s="483">
        <v>328594</v>
      </c>
      <c r="AB79" s="483">
        <v>35013</v>
      </c>
      <c r="AC79" s="385">
        <v>149984</v>
      </c>
      <c r="AD79" s="545">
        <v>5.4</v>
      </c>
      <c r="AE79" s="483">
        <v>336944</v>
      </c>
      <c r="AF79" s="483">
        <v>348343</v>
      </c>
      <c r="AG79" s="481">
        <v>430266</v>
      </c>
      <c r="AH79" s="481">
        <v>396118</v>
      </c>
      <c r="AI79">
        <v>185.5</v>
      </c>
      <c r="AJ79" s="385">
        <v>2077804523</v>
      </c>
      <c r="AK79" s="385">
        <v>216832</v>
      </c>
      <c r="AL79" s="385">
        <v>0</v>
      </c>
      <c r="AM79" s="287">
        <v>0</v>
      </c>
      <c r="AN79" s="542">
        <v>330000</v>
      </c>
      <c r="AO79" s="549">
        <v>0.17</v>
      </c>
      <c r="AP79" s="385">
        <v>349429</v>
      </c>
      <c r="AQ79" s="385">
        <v>361250</v>
      </c>
      <c r="AR79" s="481">
        <v>446208</v>
      </c>
      <c r="AS79" s="481">
        <v>424664</v>
      </c>
      <c r="AT79" s="617"/>
      <c r="AU79" s="618">
        <v>0</v>
      </c>
      <c r="AV79" s="618">
        <v>0</v>
      </c>
      <c r="AW79" s="620"/>
      <c r="AX79" s="620"/>
      <c r="AY79" s="625"/>
      <c r="AZ79" s="626"/>
      <c r="BA79" s="620"/>
      <c r="BB79" s="673">
        <v>12720574</v>
      </c>
      <c r="BC79" s="781">
        <v>0.05</v>
      </c>
      <c r="BD79" s="790">
        <v>78</v>
      </c>
      <c r="BE79" s="673">
        <v>1343134.65</v>
      </c>
    </row>
    <row r="80" spans="1:57" x14ac:dyDescent="0.2">
      <c r="A80" s="390">
        <v>13</v>
      </c>
      <c r="B80" s="551" t="s">
        <v>154</v>
      </c>
      <c r="C80" t="s">
        <v>1080</v>
      </c>
      <c r="D80" s="406">
        <v>1456.3</v>
      </c>
      <c r="E80" s="560">
        <v>6602</v>
      </c>
      <c r="F80" s="561">
        <v>581.38</v>
      </c>
      <c r="G80" s="561">
        <v>63.53</v>
      </c>
      <c r="H80" s="561">
        <v>72.760000000000005</v>
      </c>
      <c r="I80" s="561">
        <v>319.72000000000003</v>
      </c>
      <c r="J80" s="561">
        <v>80.64</v>
      </c>
      <c r="K80" s="561">
        <v>40.559999999999995</v>
      </c>
      <c r="L80" s="561">
        <v>71.239999999999995</v>
      </c>
      <c r="M80" s="343">
        <v>0</v>
      </c>
      <c r="N80" s="477">
        <v>46.88</v>
      </c>
      <c r="O80" s="477">
        <v>8.8049999999999997</v>
      </c>
      <c r="P80" s="407">
        <v>3.08</v>
      </c>
      <c r="Q80" s="477">
        <v>0</v>
      </c>
      <c r="R80" s="483">
        <v>9700979</v>
      </c>
      <c r="S80" s="483">
        <v>854280</v>
      </c>
      <c r="T80" s="483">
        <v>93351</v>
      </c>
      <c r="U80" s="483">
        <v>106914</v>
      </c>
      <c r="V80" s="483">
        <v>469797</v>
      </c>
      <c r="W80" s="483">
        <v>473783</v>
      </c>
      <c r="X80" s="483">
        <v>744</v>
      </c>
      <c r="Y80" s="483">
        <v>128</v>
      </c>
      <c r="Z80" s="406">
        <v>1.7</v>
      </c>
      <c r="AA80" s="483">
        <v>48647</v>
      </c>
      <c r="AB80" s="483">
        <v>5184</v>
      </c>
      <c r="AC80" s="385">
        <v>24742</v>
      </c>
      <c r="AD80" s="545">
        <v>5.2740499999999999</v>
      </c>
      <c r="AE80" s="483">
        <v>112275</v>
      </c>
      <c r="AF80" s="483">
        <v>113205</v>
      </c>
      <c r="AG80" s="481">
        <v>47794</v>
      </c>
      <c r="AH80" s="481">
        <v>34175</v>
      </c>
      <c r="AI80">
        <v>54.5</v>
      </c>
      <c r="AJ80" s="385">
        <v>422174843</v>
      </c>
      <c r="AK80" s="385">
        <v>36522</v>
      </c>
      <c r="AL80" s="385">
        <v>0</v>
      </c>
      <c r="AM80" s="287">
        <v>0</v>
      </c>
      <c r="AN80" s="542">
        <v>330000</v>
      </c>
      <c r="AO80" s="549">
        <v>0.17</v>
      </c>
      <c r="AP80" s="385">
        <v>96309</v>
      </c>
      <c r="AQ80" s="385">
        <v>97106</v>
      </c>
      <c r="AR80" s="481">
        <v>45916</v>
      </c>
      <c r="AS80" s="481">
        <v>35042</v>
      </c>
      <c r="AT80" s="617"/>
      <c r="AU80" s="618">
        <v>161707</v>
      </c>
      <c r="AV80" s="618">
        <v>0</v>
      </c>
      <c r="AW80" s="620"/>
      <c r="AX80" s="620"/>
      <c r="AY80" s="625"/>
      <c r="AZ80" s="626"/>
      <c r="BA80" s="620"/>
      <c r="BB80" s="673">
        <v>4408599</v>
      </c>
      <c r="BC80" s="781">
        <v>0.05</v>
      </c>
      <c r="BD80" s="790">
        <v>88</v>
      </c>
      <c r="BE80" s="673">
        <v>149951.78999999998</v>
      </c>
    </row>
    <row r="81" spans="1:57" x14ac:dyDescent="0.2">
      <c r="A81" s="390">
        <v>11</v>
      </c>
      <c r="B81" s="551" t="s">
        <v>155</v>
      </c>
      <c r="C81" t="s">
        <v>1081</v>
      </c>
      <c r="D81" s="406">
        <v>2690.2</v>
      </c>
      <c r="E81" s="560">
        <v>6591</v>
      </c>
      <c r="F81" s="561">
        <v>541.70000000000005</v>
      </c>
      <c r="G81" s="561">
        <v>57.02</v>
      </c>
      <c r="H81" s="561">
        <v>64.23</v>
      </c>
      <c r="I81" s="561">
        <v>319.72000000000003</v>
      </c>
      <c r="J81" s="561">
        <v>79.2</v>
      </c>
      <c r="K81" s="561">
        <v>67.789999999999992</v>
      </c>
      <c r="L81" s="561">
        <v>64.39</v>
      </c>
      <c r="M81" s="343">
        <v>0</v>
      </c>
      <c r="N81" s="477">
        <v>22.490000000000002</v>
      </c>
      <c r="O81" s="477">
        <v>8.5620000000000012</v>
      </c>
      <c r="P81" s="407">
        <v>6.38</v>
      </c>
      <c r="Q81" s="477">
        <v>0</v>
      </c>
      <c r="R81" s="483">
        <v>16365453</v>
      </c>
      <c r="S81" s="483">
        <v>1345041</v>
      </c>
      <c r="T81" s="483">
        <v>141581</v>
      </c>
      <c r="U81" s="483">
        <v>159483</v>
      </c>
      <c r="V81" s="483">
        <v>793865</v>
      </c>
      <c r="W81" s="483">
        <v>752897</v>
      </c>
      <c r="X81" s="483">
        <v>0</v>
      </c>
      <c r="Y81" s="483">
        <v>64</v>
      </c>
      <c r="Z81" s="406">
        <v>0</v>
      </c>
      <c r="AA81" s="483">
        <v>62038</v>
      </c>
      <c r="AB81" s="483">
        <v>7885</v>
      </c>
      <c r="AC81" s="385">
        <v>21183</v>
      </c>
      <c r="AD81" s="545">
        <v>5.4</v>
      </c>
      <c r="AE81" s="483">
        <v>128511</v>
      </c>
      <c r="AF81" s="483">
        <v>132272</v>
      </c>
      <c r="AG81" s="481">
        <v>204017</v>
      </c>
      <c r="AH81" s="481">
        <v>150426</v>
      </c>
      <c r="AI81">
        <v>86</v>
      </c>
      <c r="AJ81" s="385">
        <v>730051763</v>
      </c>
      <c r="AK81" s="385">
        <v>0</v>
      </c>
      <c r="AL81" s="385">
        <v>0</v>
      </c>
      <c r="AM81" s="287">
        <v>0</v>
      </c>
      <c r="AN81" s="542">
        <v>330000</v>
      </c>
      <c r="AO81" s="549">
        <v>0.17</v>
      </c>
      <c r="AP81" s="385">
        <v>101819</v>
      </c>
      <c r="AQ81" s="385">
        <v>104799</v>
      </c>
      <c r="AR81" s="481">
        <v>161642</v>
      </c>
      <c r="AS81" s="481">
        <v>124476</v>
      </c>
      <c r="AT81" s="617"/>
      <c r="AU81" s="618">
        <v>0</v>
      </c>
      <c r="AV81" s="618">
        <v>0</v>
      </c>
      <c r="AW81" s="620"/>
      <c r="AX81" s="620"/>
      <c r="AY81" s="625"/>
      <c r="AZ81" s="626"/>
      <c r="BA81" s="620"/>
      <c r="BB81" s="673">
        <v>1896983</v>
      </c>
      <c r="BC81" s="781">
        <v>0.05</v>
      </c>
      <c r="BD81" s="790">
        <v>25</v>
      </c>
      <c r="BE81" s="673">
        <v>692251.81</v>
      </c>
    </row>
    <row r="82" spans="1:57" x14ac:dyDescent="0.2">
      <c r="A82" s="390">
        <v>15</v>
      </c>
      <c r="B82" s="551" t="s">
        <v>156</v>
      </c>
      <c r="C82" t="s">
        <v>1082</v>
      </c>
      <c r="D82" s="406">
        <v>508.3</v>
      </c>
      <c r="E82" s="560">
        <v>6591</v>
      </c>
      <c r="F82" s="561">
        <v>582.91999999999996</v>
      </c>
      <c r="G82" s="561">
        <v>63.22</v>
      </c>
      <c r="H82" s="561">
        <v>70.510000000000005</v>
      </c>
      <c r="I82" s="561">
        <v>319.72000000000003</v>
      </c>
      <c r="J82" s="561">
        <v>20.16</v>
      </c>
      <c r="K82" s="561">
        <v>15.129999999999999</v>
      </c>
      <c r="L82" s="561">
        <v>8.2200000000000006</v>
      </c>
      <c r="M82" s="343">
        <v>0</v>
      </c>
      <c r="N82" s="477">
        <v>1.25</v>
      </c>
      <c r="O82" s="477">
        <v>1.8719999999999999</v>
      </c>
      <c r="P82" s="407">
        <v>0</v>
      </c>
      <c r="Q82" s="477">
        <v>0</v>
      </c>
      <c r="R82" s="483">
        <v>3371297</v>
      </c>
      <c r="S82" s="483">
        <v>298164</v>
      </c>
      <c r="T82" s="483">
        <v>32337</v>
      </c>
      <c r="U82" s="483">
        <v>36066</v>
      </c>
      <c r="V82" s="483">
        <v>163537</v>
      </c>
      <c r="W82" s="483">
        <v>157001</v>
      </c>
      <c r="X82" s="483">
        <v>0</v>
      </c>
      <c r="Y82" s="483">
        <v>3</v>
      </c>
      <c r="Z82" s="406">
        <v>0</v>
      </c>
      <c r="AA82" s="483">
        <v>15727</v>
      </c>
      <c r="AB82" s="483">
        <v>1706</v>
      </c>
      <c r="AC82" s="385">
        <v>7016</v>
      </c>
      <c r="AD82" s="545">
        <v>5.4</v>
      </c>
      <c r="AE82" s="483">
        <v>8479</v>
      </c>
      <c r="AF82" s="483">
        <v>8458</v>
      </c>
      <c r="AG82" s="481">
        <v>5622</v>
      </c>
      <c r="AH82" s="481">
        <v>5623</v>
      </c>
      <c r="AI82">
        <v>19</v>
      </c>
      <c r="AJ82" s="385">
        <v>128677747</v>
      </c>
      <c r="AK82" s="385">
        <v>0</v>
      </c>
      <c r="AL82" s="385">
        <v>0</v>
      </c>
      <c r="AM82" s="287">
        <v>0</v>
      </c>
      <c r="AN82" s="542">
        <v>330000</v>
      </c>
      <c r="AO82" s="549">
        <v>0.17</v>
      </c>
      <c r="AP82" s="385">
        <v>7457</v>
      </c>
      <c r="AQ82" s="385">
        <v>7438</v>
      </c>
      <c r="AR82" s="481">
        <v>4945</v>
      </c>
      <c r="AS82" s="481">
        <v>4984</v>
      </c>
      <c r="AT82" s="617"/>
      <c r="AU82" s="618">
        <v>0</v>
      </c>
      <c r="AV82" s="618">
        <v>0</v>
      </c>
      <c r="AW82" s="620"/>
      <c r="AX82" s="620"/>
      <c r="AY82" s="625"/>
      <c r="AZ82" s="626"/>
      <c r="BA82" s="620"/>
      <c r="BB82" s="673">
        <v>122899</v>
      </c>
      <c r="BC82" s="781">
        <v>0.05</v>
      </c>
      <c r="BD82" s="790">
        <v>29</v>
      </c>
      <c r="BE82" s="673">
        <v>15306.06</v>
      </c>
    </row>
    <row r="83" spans="1:57" x14ac:dyDescent="0.2">
      <c r="A83" s="390">
        <v>9</v>
      </c>
      <c r="B83" s="551" t="s">
        <v>157</v>
      </c>
      <c r="C83" t="s">
        <v>1083</v>
      </c>
      <c r="D83" s="406">
        <v>15490</v>
      </c>
      <c r="E83" s="560">
        <v>6591</v>
      </c>
      <c r="F83" s="561">
        <v>555.54</v>
      </c>
      <c r="G83" s="561">
        <v>68.59</v>
      </c>
      <c r="H83" s="561">
        <v>80.900000000000006</v>
      </c>
      <c r="I83" s="561">
        <v>319.72000000000003</v>
      </c>
      <c r="J83" s="561">
        <v>802.8</v>
      </c>
      <c r="K83" s="561">
        <v>1024.43</v>
      </c>
      <c r="L83" s="561">
        <v>1456.31</v>
      </c>
      <c r="M83" s="343">
        <v>0</v>
      </c>
      <c r="N83" s="477">
        <v>77.760000000000005</v>
      </c>
      <c r="O83" s="477">
        <v>102.00800000000001</v>
      </c>
      <c r="P83" s="407">
        <v>58.3</v>
      </c>
      <c r="Q83" s="477">
        <v>0</v>
      </c>
      <c r="R83" s="483">
        <v>104146368</v>
      </c>
      <c r="S83" s="483">
        <v>8778254</v>
      </c>
      <c r="T83" s="483">
        <v>1083811</v>
      </c>
      <c r="U83" s="483">
        <v>1278325</v>
      </c>
      <c r="V83" s="483">
        <v>5051992</v>
      </c>
      <c r="W83" s="483">
        <v>5437921</v>
      </c>
      <c r="X83" s="483">
        <v>0</v>
      </c>
      <c r="Y83" s="483">
        <v>2072</v>
      </c>
      <c r="Z83" s="406">
        <v>3</v>
      </c>
      <c r="AA83" s="483">
        <v>490666</v>
      </c>
      <c r="AB83" s="483">
        <v>57615</v>
      </c>
      <c r="AC83" s="385">
        <v>268306</v>
      </c>
      <c r="AD83" s="545">
        <v>5.4</v>
      </c>
      <c r="AE83" s="483">
        <v>1053186</v>
      </c>
      <c r="AF83" s="483">
        <v>1080533</v>
      </c>
      <c r="AG83" s="481">
        <v>801450</v>
      </c>
      <c r="AH83" s="481">
        <v>745379</v>
      </c>
      <c r="AI83">
        <v>413</v>
      </c>
      <c r="AJ83" s="385">
        <v>4165275386</v>
      </c>
      <c r="AK83" s="385">
        <v>0</v>
      </c>
      <c r="AL83" s="385">
        <v>0</v>
      </c>
      <c r="AM83" s="287">
        <v>0</v>
      </c>
      <c r="AN83" s="542">
        <v>330000</v>
      </c>
      <c r="AO83" s="549">
        <v>0.17</v>
      </c>
      <c r="AP83" s="385">
        <v>993379</v>
      </c>
      <c r="AQ83" s="385">
        <v>1019173</v>
      </c>
      <c r="AR83" s="481">
        <v>755938</v>
      </c>
      <c r="AS83" s="481">
        <v>724587</v>
      </c>
      <c r="AT83" s="617"/>
      <c r="AU83" s="618">
        <v>756048</v>
      </c>
      <c r="AV83" s="618">
        <v>0</v>
      </c>
      <c r="AW83" s="620"/>
      <c r="AX83" s="620"/>
      <c r="AY83" s="625"/>
      <c r="AZ83" s="626"/>
      <c r="BA83" s="620"/>
      <c r="BB83" s="673">
        <v>22050791</v>
      </c>
      <c r="BC83" s="781">
        <v>0.05</v>
      </c>
      <c r="BD83" s="790">
        <v>82</v>
      </c>
      <c r="BE83" s="673">
        <v>2281229.36</v>
      </c>
    </row>
    <row r="84" spans="1:57" x14ac:dyDescent="0.2">
      <c r="A84" s="390">
        <v>15</v>
      </c>
      <c r="B84" s="551" t="s">
        <v>158</v>
      </c>
      <c r="C84" t="s">
        <v>1084</v>
      </c>
      <c r="D84" s="406">
        <v>1182.5</v>
      </c>
      <c r="E84" s="560">
        <v>6591</v>
      </c>
      <c r="F84" s="561">
        <v>572.16999999999996</v>
      </c>
      <c r="G84" s="561">
        <v>62.99</v>
      </c>
      <c r="H84" s="561">
        <v>63.46</v>
      </c>
      <c r="I84" s="561">
        <v>319.72000000000003</v>
      </c>
      <c r="J84" s="561">
        <v>59.04</v>
      </c>
      <c r="K84" s="561">
        <v>27.23</v>
      </c>
      <c r="L84" s="561">
        <v>16.440000000000001</v>
      </c>
      <c r="M84" s="343">
        <v>0</v>
      </c>
      <c r="N84" s="477">
        <v>18.82</v>
      </c>
      <c r="O84" s="477">
        <v>5.6229999999999993</v>
      </c>
      <c r="P84" s="407">
        <v>0.22</v>
      </c>
      <c r="Q84" s="477">
        <v>0</v>
      </c>
      <c r="R84" s="483">
        <v>7750357</v>
      </c>
      <c r="S84" s="483">
        <v>672815</v>
      </c>
      <c r="T84" s="483">
        <v>74070</v>
      </c>
      <c r="U84" s="483">
        <v>74623</v>
      </c>
      <c r="V84" s="483">
        <v>375959</v>
      </c>
      <c r="W84" s="483">
        <v>364382</v>
      </c>
      <c r="X84" s="483">
        <v>0</v>
      </c>
      <c r="Y84" s="483">
        <v>0</v>
      </c>
      <c r="Z84" s="406">
        <v>0</v>
      </c>
      <c r="AA84" s="483">
        <v>36502</v>
      </c>
      <c r="AB84" s="483">
        <v>3960</v>
      </c>
      <c r="AC84" s="385">
        <v>18961</v>
      </c>
      <c r="AD84" s="545">
        <v>5.4</v>
      </c>
      <c r="AE84" s="483">
        <v>15684</v>
      </c>
      <c r="AF84" s="483">
        <v>16271</v>
      </c>
      <c r="AG84" s="481">
        <v>20004</v>
      </c>
      <c r="AH84" s="481">
        <v>14924</v>
      </c>
      <c r="AI84">
        <v>34.5</v>
      </c>
      <c r="AJ84" s="385">
        <v>292057943</v>
      </c>
      <c r="AK84" s="385">
        <v>14639</v>
      </c>
      <c r="AL84" s="385">
        <v>0</v>
      </c>
      <c r="AM84" s="287">
        <v>0</v>
      </c>
      <c r="AN84" s="542">
        <v>330000</v>
      </c>
      <c r="AO84" s="549">
        <v>0.17</v>
      </c>
      <c r="AP84" s="385">
        <v>14931</v>
      </c>
      <c r="AQ84" s="385">
        <v>15490</v>
      </c>
      <c r="AR84" s="481">
        <v>19045</v>
      </c>
      <c r="AS84" s="481">
        <v>14365</v>
      </c>
      <c r="AT84" s="617"/>
      <c r="AU84" s="618">
        <v>61261</v>
      </c>
      <c r="AV84" s="618">
        <v>0</v>
      </c>
      <c r="AW84" s="620"/>
      <c r="AX84" s="620"/>
      <c r="AY84" s="625"/>
      <c r="AZ84" s="626"/>
      <c r="BA84" s="620"/>
      <c r="BB84" s="673">
        <v>389540</v>
      </c>
      <c r="BC84" s="781">
        <v>0.05</v>
      </c>
      <c r="BD84" s="790">
        <v>26</v>
      </c>
      <c r="BE84" s="673">
        <v>57554.32</v>
      </c>
    </row>
    <row r="85" spans="1:57" x14ac:dyDescent="0.2">
      <c r="A85" s="390">
        <v>1</v>
      </c>
      <c r="B85" s="551" t="s">
        <v>159</v>
      </c>
      <c r="C85" t="s">
        <v>1085</v>
      </c>
      <c r="D85" s="406">
        <v>1349.3</v>
      </c>
      <c r="E85" s="560">
        <v>6605</v>
      </c>
      <c r="F85" s="561">
        <v>575.54999999999995</v>
      </c>
      <c r="G85" s="561">
        <v>70.06</v>
      </c>
      <c r="H85" s="561">
        <v>63.07</v>
      </c>
      <c r="I85" s="561">
        <v>319.72000000000003</v>
      </c>
      <c r="J85" s="561">
        <v>52.559999999999995</v>
      </c>
      <c r="K85" s="561">
        <v>39.93</v>
      </c>
      <c r="L85" s="561">
        <v>24.66</v>
      </c>
      <c r="M85" s="343">
        <v>0</v>
      </c>
      <c r="N85" s="477">
        <v>23.46</v>
      </c>
      <c r="O85" s="477">
        <v>4.5810000000000004</v>
      </c>
      <c r="P85" s="407">
        <v>3.7400000000000007</v>
      </c>
      <c r="Q85" s="477">
        <v>0</v>
      </c>
      <c r="R85" s="483">
        <v>9162456</v>
      </c>
      <c r="S85" s="483">
        <v>798403</v>
      </c>
      <c r="T85" s="483">
        <v>97187</v>
      </c>
      <c r="U85" s="483">
        <v>87491</v>
      </c>
      <c r="V85" s="483">
        <v>443516</v>
      </c>
      <c r="W85" s="483">
        <v>459238</v>
      </c>
      <c r="X85" s="483">
        <v>0</v>
      </c>
      <c r="Y85" s="483">
        <v>109</v>
      </c>
      <c r="Z85" s="406">
        <v>0.7</v>
      </c>
      <c r="AA85" s="483">
        <v>45223</v>
      </c>
      <c r="AB85" s="483">
        <v>4850</v>
      </c>
      <c r="AC85" s="385">
        <v>25449</v>
      </c>
      <c r="AD85" s="545">
        <v>5.4</v>
      </c>
      <c r="AE85" s="483">
        <v>45612</v>
      </c>
      <c r="AF85" s="483">
        <v>45519</v>
      </c>
      <c r="AG85" s="481">
        <v>71693</v>
      </c>
      <c r="AH85" s="481">
        <v>71694</v>
      </c>
      <c r="AI85">
        <v>44</v>
      </c>
      <c r="AJ85" s="385">
        <v>584624775</v>
      </c>
      <c r="AK85" s="385">
        <v>32572</v>
      </c>
      <c r="AL85" s="385">
        <v>0</v>
      </c>
      <c r="AM85" s="287">
        <v>0</v>
      </c>
      <c r="AN85" s="542">
        <v>330000</v>
      </c>
      <c r="AO85" s="549">
        <v>0.17</v>
      </c>
      <c r="AP85" s="385">
        <v>26451</v>
      </c>
      <c r="AQ85" s="385">
        <v>26397</v>
      </c>
      <c r="AR85" s="481">
        <v>41575</v>
      </c>
      <c r="AS85" s="481">
        <v>42556</v>
      </c>
      <c r="AT85" s="617"/>
      <c r="AU85" s="618">
        <v>0</v>
      </c>
      <c r="AV85" s="618">
        <v>0</v>
      </c>
      <c r="AW85" s="620"/>
      <c r="AX85" s="620"/>
      <c r="AY85" s="625">
        <v>0.3</v>
      </c>
      <c r="AZ85" s="626"/>
      <c r="BA85" s="620"/>
      <c r="BB85" s="673">
        <v>1604003</v>
      </c>
      <c r="BC85" s="781">
        <v>0.05</v>
      </c>
      <c r="BD85" s="790">
        <v>96</v>
      </c>
      <c r="BE85" s="673">
        <v>195732.81</v>
      </c>
    </row>
    <row r="86" spans="1:57" x14ac:dyDescent="0.2">
      <c r="A86" s="390">
        <v>9</v>
      </c>
      <c r="B86" s="551" t="s">
        <v>160</v>
      </c>
      <c r="C86" t="s">
        <v>1086</v>
      </c>
      <c r="D86" s="406">
        <v>191.5</v>
      </c>
      <c r="E86" s="560">
        <v>6766</v>
      </c>
      <c r="F86" s="561">
        <v>502.55</v>
      </c>
      <c r="G86" s="561">
        <v>40.79</v>
      </c>
      <c r="H86" s="561">
        <v>66.53</v>
      </c>
      <c r="I86" s="561">
        <v>319.72000000000003</v>
      </c>
      <c r="J86" s="561">
        <v>9.36</v>
      </c>
      <c r="K86" s="561">
        <v>4.24</v>
      </c>
      <c r="L86" s="561">
        <v>0</v>
      </c>
      <c r="M86" s="343">
        <v>0</v>
      </c>
      <c r="N86" s="477">
        <v>2.61</v>
      </c>
      <c r="O86" s="477">
        <v>0.81099999999999994</v>
      </c>
      <c r="P86" s="407">
        <v>0</v>
      </c>
      <c r="Q86" s="477">
        <v>0</v>
      </c>
      <c r="R86" s="483">
        <v>1280127</v>
      </c>
      <c r="S86" s="483">
        <v>95082</v>
      </c>
      <c r="T86" s="483">
        <v>7717</v>
      </c>
      <c r="U86" s="483">
        <v>12587</v>
      </c>
      <c r="V86" s="483">
        <v>60491</v>
      </c>
      <c r="W86" s="483">
        <v>57588</v>
      </c>
      <c r="X86" s="483">
        <v>17425</v>
      </c>
      <c r="Y86" s="483">
        <v>0</v>
      </c>
      <c r="Z86" s="406">
        <v>0</v>
      </c>
      <c r="AA86" s="483">
        <v>5196</v>
      </c>
      <c r="AB86" s="483">
        <v>610</v>
      </c>
      <c r="AC86" s="385">
        <v>4466</v>
      </c>
      <c r="AD86" s="545">
        <v>5.4</v>
      </c>
      <c r="AE86" s="483">
        <v>10783</v>
      </c>
      <c r="AF86" s="483">
        <v>10976</v>
      </c>
      <c r="AG86" s="481">
        <v>1493</v>
      </c>
      <c r="AH86" s="481">
        <v>1495</v>
      </c>
      <c r="AI86">
        <v>9.5</v>
      </c>
      <c r="AJ86" s="385">
        <v>85520376</v>
      </c>
      <c r="AK86" s="385">
        <v>63664</v>
      </c>
      <c r="AL86" s="385">
        <v>10361</v>
      </c>
      <c r="AM86" s="287">
        <v>0</v>
      </c>
      <c r="AN86" s="542">
        <v>330000</v>
      </c>
      <c r="AO86" s="549">
        <v>0.17</v>
      </c>
      <c r="AP86" s="385">
        <v>4349</v>
      </c>
      <c r="AQ86" s="385">
        <v>4427</v>
      </c>
      <c r="AR86" s="481">
        <v>602</v>
      </c>
      <c r="AS86" s="481">
        <v>605</v>
      </c>
      <c r="AT86" s="617"/>
      <c r="AU86" s="618">
        <v>116085</v>
      </c>
      <c r="AV86" s="618">
        <v>17192</v>
      </c>
      <c r="AW86" s="620"/>
      <c r="AX86" s="620"/>
      <c r="AY86" s="625"/>
      <c r="AZ86" s="626"/>
      <c r="BA86" s="620"/>
      <c r="BB86" s="673">
        <v>0</v>
      </c>
      <c r="BC86" s="781">
        <v>2.5000000000000001E-2</v>
      </c>
      <c r="BD86" s="790">
        <v>23</v>
      </c>
      <c r="BE86" s="673">
        <v>3294.86</v>
      </c>
    </row>
    <row r="87" spans="1:57" x14ac:dyDescent="0.2">
      <c r="A87" s="390">
        <v>12</v>
      </c>
      <c r="B87" s="551" t="s">
        <v>161</v>
      </c>
      <c r="C87" t="s">
        <v>1087</v>
      </c>
      <c r="D87" s="406">
        <v>2064</v>
      </c>
      <c r="E87" s="560">
        <v>6591</v>
      </c>
      <c r="F87" s="561">
        <v>532.41</v>
      </c>
      <c r="G87" s="561">
        <v>65.19</v>
      </c>
      <c r="H87" s="561">
        <v>79.830000000000013</v>
      </c>
      <c r="I87" s="561">
        <v>319.72000000000003</v>
      </c>
      <c r="J87" s="561">
        <v>80.64</v>
      </c>
      <c r="K87" s="561">
        <v>70.8</v>
      </c>
      <c r="L87" s="561">
        <v>119.19</v>
      </c>
      <c r="M87" s="343">
        <v>0</v>
      </c>
      <c r="N87" s="477">
        <v>12.41</v>
      </c>
      <c r="O87" s="477">
        <v>14.971</v>
      </c>
      <c r="P87" s="407">
        <v>154.88</v>
      </c>
      <c r="Q87" s="477">
        <v>0</v>
      </c>
      <c r="R87" s="483">
        <v>13211660</v>
      </c>
      <c r="S87" s="483">
        <v>1067216</v>
      </c>
      <c r="T87" s="483">
        <v>130673</v>
      </c>
      <c r="U87" s="483">
        <v>160019</v>
      </c>
      <c r="V87" s="483">
        <v>640879</v>
      </c>
      <c r="W87" s="483">
        <v>669630</v>
      </c>
      <c r="X87" s="483">
        <v>0</v>
      </c>
      <c r="Y87" s="483">
        <v>163</v>
      </c>
      <c r="Z87" s="406">
        <v>0.8</v>
      </c>
      <c r="AA87" s="483">
        <v>67275</v>
      </c>
      <c r="AB87" s="483">
        <v>8045</v>
      </c>
      <c r="AC87" s="385">
        <v>25298</v>
      </c>
      <c r="AD87" s="545">
        <v>5.4</v>
      </c>
      <c r="AE87" s="483">
        <v>21954</v>
      </c>
      <c r="AF87" s="483">
        <v>22404</v>
      </c>
      <c r="AG87" s="481">
        <v>62964</v>
      </c>
      <c r="AH87" s="481">
        <v>54972</v>
      </c>
      <c r="AI87">
        <v>57</v>
      </c>
      <c r="AJ87" s="385">
        <v>385420182</v>
      </c>
      <c r="AK87" s="385">
        <v>21033</v>
      </c>
      <c r="AL87" s="385">
        <v>0</v>
      </c>
      <c r="AM87" s="287">
        <v>0</v>
      </c>
      <c r="AN87" s="542">
        <v>330000</v>
      </c>
      <c r="AO87" s="549">
        <v>0.17</v>
      </c>
      <c r="AP87" s="385">
        <v>20036</v>
      </c>
      <c r="AQ87" s="385">
        <v>20447</v>
      </c>
      <c r="AR87" s="481">
        <v>57464</v>
      </c>
      <c r="AS87" s="481">
        <v>51691</v>
      </c>
      <c r="AT87" s="617"/>
      <c r="AU87" s="618">
        <v>247598</v>
      </c>
      <c r="AV87" s="618">
        <v>0</v>
      </c>
      <c r="AW87" s="620"/>
      <c r="AX87" s="620"/>
      <c r="AY87" s="625"/>
      <c r="AZ87" s="626"/>
      <c r="BA87" s="620"/>
      <c r="BB87" s="673">
        <v>1733895</v>
      </c>
      <c r="BC87" s="781">
        <v>2.5000000000000001E-2</v>
      </c>
      <c r="BD87" s="790">
        <v>24</v>
      </c>
      <c r="BE87" s="673">
        <v>164721.54</v>
      </c>
    </row>
    <row r="88" spans="1:57" x14ac:dyDescent="0.2">
      <c r="A88" s="390">
        <v>7</v>
      </c>
      <c r="B88" s="551" t="s">
        <v>162</v>
      </c>
      <c r="C88" t="s">
        <v>1088</v>
      </c>
      <c r="D88" s="406">
        <v>716</v>
      </c>
      <c r="E88" s="560">
        <v>6591</v>
      </c>
      <c r="F88" s="561">
        <v>571.91999999999996</v>
      </c>
      <c r="G88" s="561">
        <v>54.120000000000005</v>
      </c>
      <c r="H88" s="561">
        <v>53.25</v>
      </c>
      <c r="I88" s="561">
        <v>319.72000000000003</v>
      </c>
      <c r="J88" s="561">
        <v>20.88</v>
      </c>
      <c r="K88" s="561">
        <v>28.439999999999998</v>
      </c>
      <c r="L88" s="561">
        <v>21.92</v>
      </c>
      <c r="M88" s="343">
        <v>0</v>
      </c>
      <c r="N88" s="477">
        <v>11.74</v>
      </c>
      <c r="O88" s="477">
        <v>2.173</v>
      </c>
      <c r="P88" s="407">
        <v>0</v>
      </c>
      <c r="Q88" s="477">
        <v>0</v>
      </c>
      <c r="R88" s="483">
        <v>4732338</v>
      </c>
      <c r="S88" s="483">
        <v>410639</v>
      </c>
      <c r="T88" s="483">
        <v>38858</v>
      </c>
      <c r="U88" s="483">
        <v>38234</v>
      </c>
      <c r="V88" s="483">
        <v>229559</v>
      </c>
      <c r="W88" s="483">
        <v>232426</v>
      </c>
      <c r="X88" s="483">
        <v>0</v>
      </c>
      <c r="Y88" s="483">
        <v>10</v>
      </c>
      <c r="Z88" s="406">
        <v>0</v>
      </c>
      <c r="AA88" s="483">
        <v>29472</v>
      </c>
      <c r="AB88" s="483">
        <v>3387</v>
      </c>
      <c r="AC88" s="385">
        <v>11141</v>
      </c>
      <c r="AD88" s="545">
        <v>5.4</v>
      </c>
      <c r="AE88" s="483">
        <v>117150</v>
      </c>
      <c r="AF88" s="483">
        <v>120158</v>
      </c>
      <c r="AG88" s="481">
        <v>7793</v>
      </c>
      <c r="AH88" s="481">
        <v>7290</v>
      </c>
      <c r="AI88">
        <v>30</v>
      </c>
      <c r="AJ88" s="385">
        <v>226785650</v>
      </c>
      <c r="AK88" s="385">
        <v>3894</v>
      </c>
      <c r="AL88" s="385">
        <v>0</v>
      </c>
      <c r="AM88" s="287">
        <v>0</v>
      </c>
      <c r="AN88" s="542">
        <v>330000</v>
      </c>
      <c r="AO88" s="549">
        <v>0.17</v>
      </c>
      <c r="AP88" s="385">
        <v>76681</v>
      </c>
      <c r="AQ88" s="385">
        <v>78650</v>
      </c>
      <c r="AR88" s="481">
        <v>5101</v>
      </c>
      <c r="AS88" s="481">
        <v>4801</v>
      </c>
      <c r="AT88" s="617"/>
      <c r="AU88" s="618">
        <v>15006</v>
      </c>
      <c r="AV88" s="618">
        <v>0</v>
      </c>
      <c r="AW88" s="620"/>
      <c r="AX88" s="620"/>
      <c r="AY88" s="625"/>
      <c r="AZ88" s="626"/>
      <c r="BA88" s="620"/>
      <c r="BB88" s="673">
        <v>88417</v>
      </c>
      <c r="BC88" s="781">
        <v>3.7999999999999999E-2</v>
      </c>
      <c r="BD88" s="790">
        <v>9</v>
      </c>
      <c r="BE88" s="673">
        <v>20357.310000000001</v>
      </c>
    </row>
    <row r="89" spans="1:57" x14ac:dyDescent="0.2">
      <c r="A89" s="390">
        <v>11</v>
      </c>
      <c r="B89" s="551" t="s">
        <v>163</v>
      </c>
      <c r="C89" t="s">
        <v>1089</v>
      </c>
      <c r="D89" s="406">
        <v>32979.199999999997</v>
      </c>
      <c r="E89" s="560">
        <v>6659</v>
      </c>
      <c r="F89" s="561">
        <v>596.11</v>
      </c>
      <c r="G89" s="561">
        <v>74.38</v>
      </c>
      <c r="H89" s="561">
        <v>89.800000000000011</v>
      </c>
      <c r="I89" s="561">
        <v>319.72000000000003</v>
      </c>
      <c r="J89" s="561">
        <v>2322</v>
      </c>
      <c r="K89" s="561">
        <v>1302.3399999999999</v>
      </c>
      <c r="L89" s="561">
        <v>2509.84</v>
      </c>
      <c r="M89" s="343">
        <v>0</v>
      </c>
      <c r="N89" s="477">
        <v>310.65000000000003</v>
      </c>
      <c r="O89" s="477">
        <v>227.97800000000001</v>
      </c>
      <c r="P89" s="407">
        <v>1070.52</v>
      </c>
      <c r="Q89" s="477">
        <v>0</v>
      </c>
      <c r="R89" s="483">
        <v>216962872</v>
      </c>
      <c r="S89" s="483">
        <v>19422396</v>
      </c>
      <c r="T89" s="483">
        <v>2423442</v>
      </c>
      <c r="U89" s="483">
        <v>2925855</v>
      </c>
      <c r="V89" s="483">
        <v>10417085</v>
      </c>
      <c r="W89" s="483">
        <v>10927035</v>
      </c>
      <c r="X89" s="483">
        <v>0</v>
      </c>
      <c r="Y89" s="483">
        <v>2727</v>
      </c>
      <c r="Z89" s="406">
        <v>4.9000000000000004</v>
      </c>
      <c r="AA89" s="483">
        <v>900371</v>
      </c>
      <c r="AB89" s="483">
        <v>114437</v>
      </c>
      <c r="AC89" s="385">
        <v>495349</v>
      </c>
      <c r="AD89" s="545">
        <v>5.4</v>
      </c>
      <c r="AE89" s="483">
        <v>1193738</v>
      </c>
      <c r="AF89" s="483">
        <v>1229258</v>
      </c>
      <c r="AG89" s="481">
        <v>1592912</v>
      </c>
      <c r="AH89" s="481">
        <v>1212988</v>
      </c>
      <c r="AI89">
        <v>774.5</v>
      </c>
      <c r="AJ89" s="385">
        <v>6777096757</v>
      </c>
      <c r="AK89" s="385">
        <v>1115319</v>
      </c>
      <c r="AL89" s="385">
        <v>165350</v>
      </c>
      <c r="AM89" s="287">
        <v>122178</v>
      </c>
      <c r="AN89" s="542">
        <v>330000</v>
      </c>
      <c r="AO89" s="549">
        <v>0.17</v>
      </c>
      <c r="AP89" s="385">
        <v>1265156</v>
      </c>
      <c r="AQ89" s="385">
        <v>1302802</v>
      </c>
      <c r="AR89" s="481">
        <v>1688213</v>
      </c>
      <c r="AS89" s="481">
        <v>1334554</v>
      </c>
      <c r="AT89" s="617"/>
      <c r="AU89" s="618">
        <v>0</v>
      </c>
      <c r="AV89" s="618">
        <v>0</v>
      </c>
      <c r="AW89" s="620"/>
      <c r="AX89" s="620"/>
      <c r="AY89" s="625"/>
      <c r="AZ89" s="626"/>
      <c r="BA89" s="620"/>
      <c r="BB89" s="673">
        <v>28812456</v>
      </c>
      <c r="BC89" s="781">
        <v>0.05</v>
      </c>
      <c r="BD89" s="790">
        <v>77</v>
      </c>
      <c r="BE89" s="673">
        <v>5458928.9400000004</v>
      </c>
    </row>
    <row r="90" spans="1:57" x14ac:dyDescent="0.2">
      <c r="A90" s="390">
        <v>13</v>
      </c>
      <c r="B90" s="551" t="s">
        <v>164</v>
      </c>
      <c r="C90" t="s">
        <v>1090</v>
      </c>
      <c r="D90" s="406">
        <v>100</v>
      </c>
      <c r="E90" s="560">
        <v>6602</v>
      </c>
      <c r="F90" s="561">
        <v>831.1</v>
      </c>
      <c r="G90" s="561">
        <v>93.03</v>
      </c>
      <c r="H90" s="561">
        <v>102.51</v>
      </c>
      <c r="I90" s="561">
        <v>319.72000000000003</v>
      </c>
      <c r="J90" s="561">
        <v>3.5999999999999996</v>
      </c>
      <c r="K90" s="561">
        <v>6.06</v>
      </c>
      <c r="L90" s="561">
        <v>8.2200000000000006</v>
      </c>
      <c r="M90" s="343">
        <v>0</v>
      </c>
      <c r="N90" s="477">
        <v>21.85</v>
      </c>
      <c r="O90" s="477">
        <v>0.55099999999999993</v>
      </c>
      <c r="P90" s="407">
        <v>0</v>
      </c>
      <c r="Q90" s="477">
        <v>0</v>
      </c>
      <c r="R90" s="483">
        <v>640394</v>
      </c>
      <c r="S90" s="483">
        <v>80617</v>
      </c>
      <c r="T90" s="483">
        <v>9024</v>
      </c>
      <c r="U90" s="483">
        <v>9943</v>
      </c>
      <c r="V90" s="483">
        <v>31013</v>
      </c>
      <c r="W90" s="483">
        <v>32315</v>
      </c>
      <c r="X90" s="483">
        <v>2112</v>
      </c>
      <c r="Y90" s="483">
        <v>0</v>
      </c>
      <c r="Z90" s="406">
        <v>0</v>
      </c>
      <c r="AA90" s="483">
        <v>3318</v>
      </c>
      <c r="AB90" s="483">
        <v>354</v>
      </c>
      <c r="AC90" s="385">
        <v>2231</v>
      </c>
      <c r="AD90" s="545">
        <v>5.4</v>
      </c>
      <c r="AE90" s="483">
        <v>7466</v>
      </c>
      <c r="AF90" s="483">
        <v>7533</v>
      </c>
      <c r="AG90" s="481">
        <v>1038</v>
      </c>
      <c r="AH90" s="481">
        <v>990</v>
      </c>
      <c r="AI90">
        <v>5.5</v>
      </c>
      <c r="AJ90" s="385">
        <v>37384790</v>
      </c>
      <c r="AK90" s="385">
        <v>2546</v>
      </c>
      <c r="AL90" s="385">
        <v>0</v>
      </c>
      <c r="AM90" s="287">
        <v>0</v>
      </c>
      <c r="AN90" s="542">
        <v>330000</v>
      </c>
      <c r="AO90" s="549">
        <v>0.17</v>
      </c>
      <c r="AP90" s="385">
        <v>5183</v>
      </c>
      <c r="AQ90" s="385">
        <v>5230</v>
      </c>
      <c r="AR90" s="481">
        <v>750</v>
      </c>
      <c r="AS90" s="481">
        <v>724</v>
      </c>
      <c r="AT90" s="617"/>
      <c r="AU90" s="618">
        <v>75845</v>
      </c>
      <c r="AV90" s="618">
        <v>0</v>
      </c>
      <c r="AW90" s="620"/>
      <c r="AX90" s="620"/>
      <c r="AY90" s="625"/>
      <c r="AZ90" s="626"/>
      <c r="BA90" s="620"/>
      <c r="BB90" s="673">
        <v>0</v>
      </c>
      <c r="BC90" s="781">
        <v>0.05</v>
      </c>
      <c r="BD90" s="790">
        <v>80</v>
      </c>
      <c r="BE90" s="673">
        <v>3330.23</v>
      </c>
    </row>
    <row r="91" spans="1:57" x14ac:dyDescent="0.2">
      <c r="A91" s="390">
        <v>7</v>
      </c>
      <c r="B91" s="551" t="s">
        <v>165</v>
      </c>
      <c r="C91" t="s">
        <v>1091</v>
      </c>
      <c r="D91" s="406">
        <v>885.2</v>
      </c>
      <c r="E91" s="560">
        <v>6591</v>
      </c>
      <c r="F91" s="561">
        <v>590.42999999999995</v>
      </c>
      <c r="G91" s="561">
        <v>62.21</v>
      </c>
      <c r="H91" s="561">
        <v>58.78</v>
      </c>
      <c r="I91" s="561">
        <v>319.72000000000003</v>
      </c>
      <c r="J91" s="561">
        <v>63.36</v>
      </c>
      <c r="K91" s="561">
        <v>22.39</v>
      </c>
      <c r="L91" s="561">
        <v>38.36</v>
      </c>
      <c r="M91" s="343">
        <v>0</v>
      </c>
      <c r="N91" s="477">
        <v>20.25</v>
      </c>
      <c r="O91" s="477">
        <v>3.2890000000000001</v>
      </c>
      <c r="P91" s="407">
        <v>0</v>
      </c>
      <c r="Q91" s="477">
        <v>0</v>
      </c>
      <c r="R91" s="483">
        <v>5929923</v>
      </c>
      <c r="S91" s="483">
        <v>531210</v>
      </c>
      <c r="T91" s="483">
        <v>55970</v>
      </c>
      <c r="U91" s="483">
        <v>52884</v>
      </c>
      <c r="V91" s="483">
        <v>287652</v>
      </c>
      <c r="W91" s="483">
        <v>301222</v>
      </c>
      <c r="X91" s="483">
        <v>0</v>
      </c>
      <c r="Y91" s="483">
        <v>7</v>
      </c>
      <c r="Z91" s="406">
        <v>0</v>
      </c>
      <c r="AA91" s="483">
        <v>38195</v>
      </c>
      <c r="AB91" s="483">
        <v>4389</v>
      </c>
      <c r="AC91" s="385">
        <v>12247</v>
      </c>
      <c r="AD91" s="545">
        <v>5.4</v>
      </c>
      <c r="AE91" s="483">
        <v>23049</v>
      </c>
      <c r="AF91" s="483">
        <v>23471</v>
      </c>
      <c r="AG91" s="481">
        <v>12757</v>
      </c>
      <c r="AH91" s="481">
        <v>10799</v>
      </c>
      <c r="AI91">
        <v>22</v>
      </c>
      <c r="AJ91" s="385">
        <v>248727785</v>
      </c>
      <c r="AK91" s="385">
        <v>14560</v>
      </c>
      <c r="AL91" s="385">
        <v>0</v>
      </c>
      <c r="AM91" s="287">
        <v>0</v>
      </c>
      <c r="AN91" s="542">
        <v>330000</v>
      </c>
      <c r="AO91" s="549">
        <v>0.17</v>
      </c>
      <c r="AP91" s="385">
        <v>18198</v>
      </c>
      <c r="AQ91" s="385">
        <v>18531</v>
      </c>
      <c r="AR91" s="481">
        <v>10072</v>
      </c>
      <c r="AS91" s="481">
        <v>8598</v>
      </c>
      <c r="AT91" s="617"/>
      <c r="AU91" s="618">
        <v>53296</v>
      </c>
      <c r="AV91" s="618">
        <v>0</v>
      </c>
      <c r="AW91" s="620"/>
      <c r="AX91" s="620"/>
      <c r="AY91" s="625"/>
      <c r="AZ91" s="626"/>
      <c r="BA91" s="620"/>
      <c r="BB91" s="673">
        <v>598683</v>
      </c>
      <c r="BC91" s="781">
        <v>2.5000000000000001E-2</v>
      </c>
      <c r="BD91" s="790">
        <v>38</v>
      </c>
      <c r="BE91" s="673">
        <v>28877.8</v>
      </c>
    </row>
    <row r="92" spans="1:57" x14ac:dyDescent="0.2">
      <c r="A92" s="390">
        <v>1</v>
      </c>
      <c r="B92" s="551" t="s">
        <v>166</v>
      </c>
      <c r="C92" t="s">
        <v>1092</v>
      </c>
      <c r="D92" s="406">
        <v>10555.8</v>
      </c>
      <c r="E92" s="560">
        <v>6598</v>
      </c>
      <c r="F92" s="561">
        <v>587.89</v>
      </c>
      <c r="G92" s="561">
        <v>69.81</v>
      </c>
      <c r="H92" s="561">
        <v>70.350000000000009</v>
      </c>
      <c r="I92" s="561">
        <v>319.72000000000003</v>
      </c>
      <c r="J92" s="561">
        <v>658.07999999999993</v>
      </c>
      <c r="K92" s="561">
        <v>597.75</v>
      </c>
      <c r="L92" s="561">
        <v>783.64</v>
      </c>
      <c r="M92" s="343">
        <v>0</v>
      </c>
      <c r="N92" s="477">
        <v>21.830000000000002</v>
      </c>
      <c r="O92" s="477">
        <v>47.963999999999999</v>
      </c>
      <c r="P92" s="407">
        <v>49.94</v>
      </c>
      <c r="Q92" s="477">
        <v>0</v>
      </c>
      <c r="R92" s="483">
        <v>69858964</v>
      </c>
      <c r="S92" s="483">
        <v>6224521</v>
      </c>
      <c r="T92" s="483">
        <v>739141</v>
      </c>
      <c r="U92" s="483">
        <v>744859</v>
      </c>
      <c r="V92" s="483">
        <v>3385163</v>
      </c>
      <c r="W92" s="483">
        <v>3799685</v>
      </c>
      <c r="X92" s="483">
        <v>0</v>
      </c>
      <c r="Y92" s="483">
        <v>1650</v>
      </c>
      <c r="Z92" s="406">
        <v>1.6</v>
      </c>
      <c r="AA92" s="483">
        <v>374168</v>
      </c>
      <c r="AB92" s="483">
        <v>40130</v>
      </c>
      <c r="AC92" s="385">
        <v>170735</v>
      </c>
      <c r="AD92" s="545">
        <v>5.4</v>
      </c>
      <c r="AE92" s="483">
        <v>488034</v>
      </c>
      <c r="AF92" s="483">
        <v>491942</v>
      </c>
      <c r="AG92" s="481">
        <v>614371</v>
      </c>
      <c r="AH92" s="481">
        <v>509875</v>
      </c>
      <c r="AI92">
        <v>354.5</v>
      </c>
      <c r="AJ92" s="385">
        <v>3340636322</v>
      </c>
      <c r="AK92" s="385">
        <v>229407</v>
      </c>
      <c r="AL92" s="385">
        <v>0</v>
      </c>
      <c r="AM92" s="287">
        <v>0</v>
      </c>
      <c r="AN92" s="542">
        <v>330000</v>
      </c>
      <c r="AO92" s="549">
        <v>0.17</v>
      </c>
      <c r="AP92" s="385">
        <v>396568</v>
      </c>
      <c r="AQ92" s="385">
        <v>399744</v>
      </c>
      <c r="AR92" s="481">
        <v>499227</v>
      </c>
      <c r="AS92" s="481">
        <v>426440</v>
      </c>
      <c r="AT92" s="617"/>
      <c r="AU92" s="618">
        <v>0</v>
      </c>
      <c r="AV92" s="618">
        <v>0</v>
      </c>
      <c r="AW92" s="620"/>
      <c r="AX92" s="620"/>
      <c r="AY92" s="625">
        <v>1</v>
      </c>
      <c r="AZ92" s="626"/>
      <c r="BA92" s="620"/>
      <c r="BB92" s="673">
        <v>14233838</v>
      </c>
      <c r="BC92" s="781">
        <v>0.05</v>
      </c>
      <c r="BD92" s="790">
        <v>31</v>
      </c>
      <c r="BE92" s="673">
        <v>1703964.3</v>
      </c>
    </row>
    <row r="93" spans="1:57" x14ac:dyDescent="0.2">
      <c r="A93" s="390">
        <v>7</v>
      </c>
      <c r="B93" s="551" t="s">
        <v>167</v>
      </c>
      <c r="C93" t="s">
        <v>1093</v>
      </c>
      <c r="D93" s="406">
        <v>418.6</v>
      </c>
      <c r="E93" s="560">
        <v>6591</v>
      </c>
      <c r="F93" s="561">
        <v>597.44000000000005</v>
      </c>
      <c r="G93" s="561">
        <v>62.2</v>
      </c>
      <c r="H93" s="561">
        <v>66.86</v>
      </c>
      <c r="I93" s="561">
        <v>319.72000000000003</v>
      </c>
      <c r="J93" s="561">
        <v>20.16</v>
      </c>
      <c r="K93" s="561">
        <v>13.31</v>
      </c>
      <c r="L93" s="561">
        <v>8.2200000000000006</v>
      </c>
      <c r="M93" s="343">
        <v>0</v>
      </c>
      <c r="N93" s="477">
        <v>0.96</v>
      </c>
      <c r="O93" s="477">
        <v>1.9100000000000001</v>
      </c>
      <c r="P93" s="407">
        <v>0</v>
      </c>
      <c r="Q93" s="477">
        <v>0</v>
      </c>
      <c r="R93" s="483">
        <v>2934313</v>
      </c>
      <c r="S93" s="483">
        <v>265980</v>
      </c>
      <c r="T93" s="483">
        <v>27691</v>
      </c>
      <c r="U93" s="483">
        <v>29766</v>
      </c>
      <c r="V93" s="483">
        <v>142339</v>
      </c>
      <c r="W93" s="483">
        <v>144309</v>
      </c>
      <c r="X93" s="483">
        <v>9373</v>
      </c>
      <c r="Y93" s="483">
        <v>35</v>
      </c>
      <c r="Z93" s="406">
        <v>0</v>
      </c>
      <c r="AA93" s="483">
        <v>18298</v>
      </c>
      <c r="AB93" s="483">
        <v>2103</v>
      </c>
      <c r="AC93" s="385">
        <v>7723</v>
      </c>
      <c r="AD93" s="545">
        <v>5.4</v>
      </c>
      <c r="AE93" s="483">
        <v>110562</v>
      </c>
      <c r="AF93" s="483">
        <v>113602</v>
      </c>
      <c r="AG93" s="481">
        <v>6224</v>
      </c>
      <c r="AH93" s="481">
        <v>5048</v>
      </c>
      <c r="AI93">
        <v>10</v>
      </c>
      <c r="AJ93" s="385">
        <v>161804399</v>
      </c>
      <c r="AK93" s="385">
        <v>10411</v>
      </c>
      <c r="AL93" s="385">
        <v>0</v>
      </c>
      <c r="AM93" s="287">
        <v>0</v>
      </c>
      <c r="AN93" s="542">
        <v>330000</v>
      </c>
      <c r="AO93" s="549">
        <v>0.17</v>
      </c>
      <c r="AP93" s="385">
        <v>66290</v>
      </c>
      <c r="AQ93" s="385">
        <v>68113</v>
      </c>
      <c r="AR93" s="481">
        <v>3731</v>
      </c>
      <c r="AS93" s="481">
        <v>3049</v>
      </c>
      <c r="AT93" s="617"/>
      <c r="AU93" s="618">
        <v>5955</v>
      </c>
      <c r="AV93" s="618">
        <v>72868</v>
      </c>
      <c r="AW93" s="620"/>
      <c r="AX93" s="620"/>
      <c r="AY93" s="625"/>
      <c r="AZ93" s="626"/>
      <c r="BA93" s="620"/>
      <c r="BB93" s="673">
        <v>0</v>
      </c>
      <c r="BC93" s="781">
        <v>2.5000000000000001E-2</v>
      </c>
      <c r="BD93" s="790">
        <v>7</v>
      </c>
      <c r="BE93" s="673">
        <v>16972.53</v>
      </c>
    </row>
    <row r="94" spans="1:57" x14ac:dyDescent="0.2">
      <c r="A94" s="390">
        <v>9</v>
      </c>
      <c r="B94" s="551" t="s">
        <v>169</v>
      </c>
      <c r="C94" t="s">
        <v>1095</v>
      </c>
      <c r="D94" s="406">
        <v>580.70000000000005</v>
      </c>
      <c r="E94" s="560">
        <v>6637</v>
      </c>
      <c r="F94" s="561">
        <v>670.96</v>
      </c>
      <c r="G94" s="561">
        <v>75.92</v>
      </c>
      <c r="H94" s="561">
        <v>60.78</v>
      </c>
      <c r="I94" s="561">
        <v>319.72000000000003</v>
      </c>
      <c r="J94" s="561">
        <v>24.48</v>
      </c>
      <c r="K94" s="561">
        <v>20.57</v>
      </c>
      <c r="L94" s="561">
        <v>15.07</v>
      </c>
      <c r="M94" s="343">
        <v>0</v>
      </c>
      <c r="N94" s="477">
        <v>11.19</v>
      </c>
      <c r="O94" s="477">
        <v>2.3849999999999998</v>
      </c>
      <c r="P94" s="407">
        <v>0</v>
      </c>
      <c r="Q94" s="477">
        <v>0</v>
      </c>
      <c r="R94" s="483">
        <v>3793709</v>
      </c>
      <c r="S94" s="483">
        <v>383521</v>
      </c>
      <c r="T94" s="483">
        <v>43396</v>
      </c>
      <c r="U94" s="483">
        <v>34742</v>
      </c>
      <c r="V94" s="483">
        <v>182752</v>
      </c>
      <c r="W94" s="483">
        <v>180717</v>
      </c>
      <c r="X94" s="483">
        <v>0</v>
      </c>
      <c r="Y94" s="483">
        <v>1</v>
      </c>
      <c r="Z94" s="406">
        <v>0</v>
      </c>
      <c r="AA94" s="483">
        <v>16306</v>
      </c>
      <c r="AB94" s="483">
        <v>1915</v>
      </c>
      <c r="AC94" s="385">
        <v>9220</v>
      </c>
      <c r="AD94" s="545">
        <v>5.4</v>
      </c>
      <c r="AE94" s="483">
        <v>36544</v>
      </c>
      <c r="AF94" s="483">
        <v>37205</v>
      </c>
      <c r="AG94" s="481">
        <v>29503</v>
      </c>
      <c r="AH94" s="481">
        <v>21842</v>
      </c>
      <c r="AI94">
        <v>10.5</v>
      </c>
      <c r="AJ94" s="385">
        <v>213960384</v>
      </c>
      <c r="AK94" s="385">
        <v>9837</v>
      </c>
      <c r="AL94" s="385">
        <v>0</v>
      </c>
      <c r="AM94" s="287">
        <v>0</v>
      </c>
      <c r="AN94" s="542">
        <v>330000</v>
      </c>
      <c r="AO94" s="549">
        <v>0.17</v>
      </c>
      <c r="AP94" s="385">
        <v>22795</v>
      </c>
      <c r="AQ94" s="385">
        <v>23208</v>
      </c>
      <c r="AR94" s="481">
        <v>18403</v>
      </c>
      <c r="AS94" s="481">
        <v>13949</v>
      </c>
      <c r="AT94" s="617"/>
      <c r="AU94" s="618">
        <v>0</v>
      </c>
      <c r="AV94" s="618">
        <v>0</v>
      </c>
      <c r="AW94" s="620"/>
      <c r="AX94" s="620"/>
      <c r="AY94" s="625"/>
      <c r="AZ94" s="626"/>
      <c r="BA94" s="620"/>
      <c r="BB94" s="673">
        <v>0</v>
      </c>
      <c r="BC94" s="781">
        <v>3.5999999999999997E-2</v>
      </c>
      <c r="BD94" s="790">
        <v>16</v>
      </c>
      <c r="BE94" s="673">
        <v>62590.559999999998</v>
      </c>
    </row>
    <row r="95" spans="1:57" x14ac:dyDescent="0.2">
      <c r="A95" s="390">
        <v>5</v>
      </c>
      <c r="B95" s="551" t="s">
        <v>171</v>
      </c>
      <c r="C95" t="s">
        <v>1096</v>
      </c>
      <c r="D95" s="406">
        <v>851.7</v>
      </c>
      <c r="E95" s="560">
        <v>6709</v>
      </c>
      <c r="F95" s="561">
        <v>582.83000000000004</v>
      </c>
      <c r="G95" s="561">
        <v>63.760000000000005</v>
      </c>
      <c r="H95" s="561">
        <v>71.88000000000001</v>
      </c>
      <c r="I95" s="561">
        <v>319.72000000000003</v>
      </c>
      <c r="J95" s="561">
        <v>41.04</v>
      </c>
      <c r="K95" s="561">
        <v>39.93</v>
      </c>
      <c r="L95" s="561">
        <v>65.760000000000005</v>
      </c>
      <c r="M95" s="343">
        <v>2.93</v>
      </c>
      <c r="N95" s="477">
        <v>15.48</v>
      </c>
      <c r="O95" s="477">
        <v>5.5860000000000003</v>
      </c>
      <c r="P95" s="407">
        <v>22.22</v>
      </c>
      <c r="Q95" s="477">
        <v>0</v>
      </c>
      <c r="R95" s="483">
        <v>5626167</v>
      </c>
      <c r="S95" s="483">
        <v>488761</v>
      </c>
      <c r="T95" s="483">
        <v>53469</v>
      </c>
      <c r="U95" s="483">
        <v>60279</v>
      </c>
      <c r="V95" s="483">
        <v>268117</v>
      </c>
      <c r="W95" s="483">
        <v>291751</v>
      </c>
      <c r="X95" s="483">
        <v>0</v>
      </c>
      <c r="Y95" s="483">
        <v>2</v>
      </c>
      <c r="Z95" s="406">
        <v>0</v>
      </c>
      <c r="AA95" s="483">
        <v>31045</v>
      </c>
      <c r="AB95" s="483">
        <v>3699</v>
      </c>
      <c r="AC95" s="385">
        <v>15064</v>
      </c>
      <c r="AD95" s="545">
        <v>5.4</v>
      </c>
      <c r="AE95" s="483">
        <v>32147</v>
      </c>
      <c r="AF95" s="483">
        <v>33109</v>
      </c>
      <c r="AG95" s="481">
        <v>25022</v>
      </c>
      <c r="AH95" s="481">
        <v>23616</v>
      </c>
      <c r="AI95">
        <v>27</v>
      </c>
      <c r="AJ95" s="385">
        <v>251134655</v>
      </c>
      <c r="AK95" s="385">
        <v>62426</v>
      </c>
      <c r="AL95" s="385">
        <v>0</v>
      </c>
      <c r="AM95" s="287">
        <v>0</v>
      </c>
      <c r="AN95" s="542">
        <v>330000</v>
      </c>
      <c r="AO95" s="549">
        <v>0.17</v>
      </c>
      <c r="AP95" s="385">
        <v>29310</v>
      </c>
      <c r="AQ95" s="385">
        <v>30187</v>
      </c>
      <c r="AR95" s="481">
        <v>22813</v>
      </c>
      <c r="AS95" s="481">
        <v>21915</v>
      </c>
      <c r="AT95" s="617"/>
      <c r="AU95" s="618">
        <v>0</v>
      </c>
      <c r="AV95" s="618">
        <v>0</v>
      </c>
      <c r="AW95" s="620"/>
      <c r="AX95" s="620"/>
      <c r="AY95" s="625"/>
      <c r="AZ95" s="626"/>
      <c r="BA95" s="620"/>
      <c r="BB95" s="673">
        <v>0</v>
      </c>
      <c r="BC95" s="781">
        <v>0.05</v>
      </c>
      <c r="BD95" s="790">
        <v>99</v>
      </c>
      <c r="BE95" s="673">
        <v>68196.69</v>
      </c>
    </row>
    <row r="96" spans="1:57" x14ac:dyDescent="0.2">
      <c r="A96" s="390">
        <v>11</v>
      </c>
      <c r="B96" s="551" t="s">
        <v>172</v>
      </c>
      <c r="C96" t="s">
        <v>1097</v>
      </c>
      <c r="D96" s="406">
        <v>578.9</v>
      </c>
      <c r="E96" s="560">
        <v>6591</v>
      </c>
      <c r="F96" s="561">
        <v>602.4</v>
      </c>
      <c r="G96" s="561">
        <v>60.800000000000004</v>
      </c>
      <c r="H96" s="561">
        <v>69.13000000000001</v>
      </c>
      <c r="I96" s="561">
        <v>319.72000000000003</v>
      </c>
      <c r="J96" s="561">
        <v>17.28</v>
      </c>
      <c r="K96" s="561">
        <v>17.55</v>
      </c>
      <c r="L96" s="561">
        <v>9.59</v>
      </c>
      <c r="M96" s="343">
        <v>0</v>
      </c>
      <c r="N96" s="477">
        <v>6.66</v>
      </c>
      <c r="O96" s="477">
        <v>1.9730000000000001</v>
      </c>
      <c r="P96" s="407">
        <v>0</v>
      </c>
      <c r="Q96" s="477">
        <v>0</v>
      </c>
      <c r="R96" s="483">
        <v>4006669</v>
      </c>
      <c r="S96" s="483">
        <v>366199</v>
      </c>
      <c r="T96" s="483">
        <v>36960</v>
      </c>
      <c r="U96" s="483">
        <v>42024</v>
      </c>
      <c r="V96" s="483">
        <v>194358</v>
      </c>
      <c r="W96" s="483">
        <v>186050</v>
      </c>
      <c r="X96" s="483">
        <v>7763</v>
      </c>
      <c r="Y96" s="483">
        <v>4</v>
      </c>
      <c r="Z96" s="406">
        <v>0</v>
      </c>
      <c r="AA96" s="483">
        <v>15330</v>
      </c>
      <c r="AB96" s="483">
        <v>1948</v>
      </c>
      <c r="AC96" s="385">
        <v>7391</v>
      </c>
      <c r="AD96" s="545">
        <v>5.4</v>
      </c>
      <c r="AE96" s="483">
        <v>76976</v>
      </c>
      <c r="AF96" s="483">
        <v>79297</v>
      </c>
      <c r="AG96" s="481">
        <v>7305</v>
      </c>
      <c r="AH96" s="481">
        <v>7305</v>
      </c>
      <c r="AI96">
        <v>15.5</v>
      </c>
      <c r="AJ96" s="385">
        <v>170432663</v>
      </c>
      <c r="AK96" s="385">
        <v>7695</v>
      </c>
      <c r="AL96" s="385">
        <v>0</v>
      </c>
      <c r="AM96" s="287">
        <v>0</v>
      </c>
      <c r="AN96" s="542">
        <v>330000</v>
      </c>
      <c r="AO96" s="549">
        <v>0.17</v>
      </c>
      <c r="AP96" s="385">
        <v>74145</v>
      </c>
      <c r="AQ96" s="385">
        <v>76381</v>
      </c>
      <c r="AR96" s="481">
        <v>7037</v>
      </c>
      <c r="AS96" s="481">
        <v>7087</v>
      </c>
      <c r="AT96" s="617"/>
      <c r="AU96" s="618">
        <v>0</v>
      </c>
      <c r="AV96" s="618">
        <v>180859</v>
      </c>
      <c r="AW96" s="620"/>
      <c r="AX96" s="620"/>
      <c r="AY96" s="625"/>
      <c r="AZ96" s="626"/>
      <c r="BA96" s="620"/>
      <c r="BB96" s="673">
        <v>212834</v>
      </c>
      <c r="BC96" s="781">
        <v>3.9E-2</v>
      </c>
      <c r="BD96" s="790">
        <v>61</v>
      </c>
      <c r="BE96" s="673">
        <v>22662.73</v>
      </c>
    </row>
    <row r="97" spans="1:57" x14ac:dyDescent="0.2">
      <c r="A97" s="390">
        <v>7</v>
      </c>
      <c r="B97" s="551" t="s">
        <v>173</v>
      </c>
      <c r="C97" t="s">
        <v>1098</v>
      </c>
      <c r="D97" s="406">
        <v>582.6</v>
      </c>
      <c r="E97" s="560">
        <v>6591</v>
      </c>
      <c r="F97" s="561">
        <v>626.84</v>
      </c>
      <c r="G97" s="561">
        <v>62.67</v>
      </c>
      <c r="H97" s="561">
        <v>65.81</v>
      </c>
      <c r="I97" s="561">
        <v>319.72000000000003</v>
      </c>
      <c r="J97" s="561">
        <v>32.4</v>
      </c>
      <c r="K97" s="561">
        <v>30.25</v>
      </c>
      <c r="L97" s="561">
        <v>28.77</v>
      </c>
      <c r="M97" s="343">
        <v>0</v>
      </c>
      <c r="N97" s="477">
        <v>7.3100000000000005</v>
      </c>
      <c r="O97" s="477">
        <v>2.681</v>
      </c>
      <c r="P97" s="407">
        <v>0</v>
      </c>
      <c r="Q97" s="477">
        <v>0</v>
      </c>
      <c r="R97" s="483">
        <v>3543322</v>
      </c>
      <c r="S97" s="483">
        <v>336989</v>
      </c>
      <c r="T97" s="483">
        <v>33691</v>
      </c>
      <c r="U97" s="483">
        <v>35379</v>
      </c>
      <c r="V97" s="483">
        <v>171881</v>
      </c>
      <c r="W97" s="483">
        <v>181425</v>
      </c>
      <c r="X97" s="483">
        <v>7113</v>
      </c>
      <c r="Y97" s="483">
        <v>7</v>
      </c>
      <c r="Z97" s="406">
        <v>0</v>
      </c>
      <c r="AA97" s="483">
        <v>23005</v>
      </c>
      <c r="AB97" s="483">
        <v>2643</v>
      </c>
      <c r="AC97" s="385">
        <v>9696</v>
      </c>
      <c r="AD97" s="545">
        <v>5.4</v>
      </c>
      <c r="AE97" s="483">
        <v>21421</v>
      </c>
      <c r="AF97" s="483">
        <v>21512</v>
      </c>
      <c r="AG97" s="481">
        <v>7069</v>
      </c>
      <c r="AH97" s="481">
        <v>7069</v>
      </c>
      <c r="AI97">
        <v>14.5</v>
      </c>
      <c r="AJ97" s="385">
        <v>193844623</v>
      </c>
      <c r="AK97" s="385">
        <v>2112</v>
      </c>
      <c r="AL97" s="385">
        <v>4490</v>
      </c>
      <c r="AM97" s="287">
        <v>0</v>
      </c>
      <c r="AN97" s="542">
        <v>330000</v>
      </c>
      <c r="AO97" s="549">
        <v>0.17</v>
      </c>
      <c r="AP97" s="385">
        <v>16307</v>
      </c>
      <c r="AQ97" s="385">
        <v>16376</v>
      </c>
      <c r="AR97" s="481">
        <v>5381</v>
      </c>
      <c r="AS97" s="481">
        <v>5413</v>
      </c>
      <c r="AT97" s="617"/>
      <c r="AU97" s="618">
        <v>0</v>
      </c>
      <c r="AV97" s="618">
        <v>122067</v>
      </c>
      <c r="AW97" s="620"/>
      <c r="AX97" s="620"/>
      <c r="AY97" s="625"/>
      <c r="AZ97" s="626"/>
      <c r="BA97" s="620"/>
      <c r="BB97" s="673">
        <v>264760</v>
      </c>
      <c r="BC97" s="781">
        <v>3.3000000000000002E-2</v>
      </c>
      <c r="BD97" s="790">
        <v>10</v>
      </c>
      <c r="BE97" s="673">
        <v>17062.150000000001</v>
      </c>
    </row>
    <row r="98" spans="1:57" x14ac:dyDescent="0.2">
      <c r="A98" s="390">
        <v>7</v>
      </c>
      <c r="B98" s="551" t="s">
        <v>238</v>
      </c>
      <c r="C98" t="s">
        <v>1157</v>
      </c>
      <c r="D98" s="406">
        <v>554.29999999999995</v>
      </c>
      <c r="E98" s="560">
        <v>6675</v>
      </c>
      <c r="F98" s="561">
        <v>616.75</v>
      </c>
      <c r="G98" s="561">
        <v>70.11</v>
      </c>
      <c r="H98" s="561">
        <v>70.48</v>
      </c>
      <c r="I98" s="561">
        <v>319.72000000000003</v>
      </c>
      <c r="J98" s="561">
        <v>28.08</v>
      </c>
      <c r="K98" s="561">
        <v>22.99</v>
      </c>
      <c r="L98" s="561">
        <v>24.660000000000004</v>
      </c>
      <c r="M98" s="343">
        <v>0</v>
      </c>
      <c r="N98" s="477">
        <v>7.68</v>
      </c>
      <c r="O98" s="477">
        <v>2.4260000000000002</v>
      </c>
      <c r="P98" s="407">
        <v>0.44</v>
      </c>
      <c r="Q98" s="477">
        <v>0</v>
      </c>
      <c r="R98" s="483">
        <v>3802080</v>
      </c>
      <c r="S98" s="483">
        <v>351301</v>
      </c>
      <c r="T98" s="483">
        <v>39935</v>
      </c>
      <c r="U98" s="483">
        <v>40145</v>
      </c>
      <c r="V98" s="483">
        <v>182113</v>
      </c>
      <c r="W98" s="483">
        <v>187931</v>
      </c>
      <c r="X98" s="483">
        <v>27672</v>
      </c>
      <c r="Y98" s="483">
        <v>4</v>
      </c>
      <c r="Z98" s="406">
        <v>0</v>
      </c>
      <c r="AA98" s="483">
        <v>23830</v>
      </c>
      <c r="AB98" s="483">
        <v>2738</v>
      </c>
      <c r="AC98" s="385">
        <v>12449</v>
      </c>
      <c r="AD98" s="545">
        <v>5.4</v>
      </c>
      <c r="AE98" s="483">
        <v>23189</v>
      </c>
      <c r="AF98" s="483">
        <v>22899</v>
      </c>
      <c r="AG98" s="481">
        <v>18627</v>
      </c>
      <c r="AH98" s="481">
        <v>18628</v>
      </c>
      <c r="AI98">
        <v>19</v>
      </c>
      <c r="AJ98" s="385">
        <v>231065467</v>
      </c>
      <c r="AK98" s="385">
        <v>8059</v>
      </c>
      <c r="AL98" s="385">
        <v>0</v>
      </c>
      <c r="AM98" s="287">
        <v>0</v>
      </c>
      <c r="AN98" s="542">
        <v>330000</v>
      </c>
      <c r="AO98" s="549">
        <v>0.17</v>
      </c>
      <c r="AP98" s="385">
        <v>15633</v>
      </c>
      <c r="AQ98" s="385">
        <v>15438</v>
      </c>
      <c r="AR98" s="481">
        <v>12559</v>
      </c>
      <c r="AS98" s="481">
        <v>12745</v>
      </c>
      <c r="AT98" s="617"/>
      <c r="AU98" s="618">
        <v>167519</v>
      </c>
      <c r="AV98" s="618">
        <v>37704</v>
      </c>
      <c r="AW98" s="620"/>
      <c r="AX98" s="620"/>
      <c r="AY98" s="625"/>
      <c r="AZ98" s="626"/>
      <c r="BA98" s="620"/>
      <c r="BB98" s="673">
        <v>452884</v>
      </c>
      <c r="BC98" s="781">
        <v>0.05</v>
      </c>
      <c r="BD98" s="790">
        <v>64</v>
      </c>
      <c r="BE98" s="673">
        <v>49148.81</v>
      </c>
    </row>
    <row r="99" spans="1:57" x14ac:dyDescent="0.2">
      <c r="A99" s="390">
        <v>13</v>
      </c>
      <c r="B99" s="551" t="s">
        <v>251</v>
      </c>
      <c r="C99" t="s">
        <v>1480</v>
      </c>
      <c r="D99" s="406">
        <v>534.29999999999995</v>
      </c>
      <c r="E99" s="560">
        <v>6655</v>
      </c>
      <c r="F99" s="561">
        <v>623.77</v>
      </c>
      <c r="G99" s="561">
        <v>69.41</v>
      </c>
      <c r="H99" s="561">
        <v>62.25</v>
      </c>
      <c r="I99" s="561">
        <v>319.72000000000003</v>
      </c>
      <c r="J99" s="561">
        <v>25.2</v>
      </c>
      <c r="K99" s="561">
        <v>7.26</v>
      </c>
      <c r="L99" s="561">
        <v>30.14</v>
      </c>
      <c r="M99" s="343">
        <v>0</v>
      </c>
      <c r="N99" s="477">
        <v>23.25</v>
      </c>
      <c r="O99" s="477">
        <v>2.7120000000000002</v>
      </c>
      <c r="P99" s="407">
        <v>0</v>
      </c>
      <c r="Q99" s="477">
        <v>0</v>
      </c>
      <c r="R99" s="483">
        <v>3689532</v>
      </c>
      <c r="S99" s="483">
        <v>345818</v>
      </c>
      <c r="T99" s="483">
        <v>38481</v>
      </c>
      <c r="U99" s="483">
        <v>34511</v>
      </c>
      <c r="V99" s="483">
        <v>177253</v>
      </c>
      <c r="W99" s="483">
        <v>177208</v>
      </c>
      <c r="X99" s="483">
        <v>239</v>
      </c>
      <c r="Y99" s="483">
        <v>6</v>
      </c>
      <c r="Z99" s="406">
        <v>0</v>
      </c>
      <c r="AA99" s="483">
        <v>18195</v>
      </c>
      <c r="AB99" s="483">
        <v>1939</v>
      </c>
      <c r="AC99" s="385">
        <v>10564</v>
      </c>
      <c r="AD99" s="545">
        <v>5.4</v>
      </c>
      <c r="AE99" s="483">
        <v>63791</v>
      </c>
      <c r="AF99" s="483">
        <v>65535</v>
      </c>
      <c r="AG99" s="481">
        <v>6055</v>
      </c>
      <c r="AH99" s="481">
        <v>6055</v>
      </c>
      <c r="AI99">
        <v>13.5</v>
      </c>
      <c r="AJ99" s="385">
        <v>313524445</v>
      </c>
      <c r="AK99" s="385">
        <v>0</v>
      </c>
      <c r="AL99" s="385">
        <v>0</v>
      </c>
      <c r="AM99" s="287">
        <v>0</v>
      </c>
      <c r="AN99" s="542">
        <v>330000</v>
      </c>
      <c r="AO99" s="549">
        <v>0.17</v>
      </c>
      <c r="AP99" s="385">
        <v>26266</v>
      </c>
      <c r="AQ99" s="385">
        <v>26984</v>
      </c>
      <c r="AR99" s="481">
        <v>3097</v>
      </c>
      <c r="AS99" s="481">
        <v>2505</v>
      </c>
      <c r="AT99" s="617"/>
      <c r="AU99" s="618">
        <v>3160</v>
      </c>
      <c r="AV99" s="618">
        <v>0</v>
      </c>
      <c r="AW99" s="620"/>
      <c r="AX99" s="620"/>
      <c r="AY99" s="625">
        <v>1</v>
      </c>
      <c r="AZ99" s="626"/>
      <c r="BA99" s="620"/>
      <c r="BB99" s="673">
        <v>0</v>
      </c>
      <c r="BC99" s="781">
        <v>0.05</v>
      </c>
      <c r="BD99" s="790">
        <v>65</v>
      </c>
      <c r="BE99" s="673">
        <v>11972.08</v>
      </c>
    </row>
    <row r="100" spans="1:57" x14ac:dyDescent="0.2">
      <c r="A100" s="390">
        <v>5</v>
      </c>
      <c r="B100" s="551" t="s">
        <v>375</v>
      </c>
      <c r="C100" t="s">
        <v>1485</v>
      </c>
      <c r="D100" s="406">
        <v>870.6</v>
      </c>
      <c r="E100" s="560">
        <v>6604</v>
      </c>
      <c r="F100" s="561">
        <v>606.88</v>
      </c>
      <c r="G100" s="561">
        <v>64.069999999999993</v>
      </c>
      <c r="H100" s="561">
        <v>69.510000000000005</v>
      </c>
      <c r="I100" s="561">
        <v>319.72000000000003</v>
      </c>
      <c r="J100" s="561">
        <v>51.12</v>
      </c>
      <c r="K100" s="561">
        <v>25.41</v>
      </c>
      <c r="L100" s="561">
        <v>21.92</v>
      </c>
      <c r="M100" s="343">
        <v>2.84</v>
      </c>
      <c r="N100" s="477">
        <v>15.24</v>
      </c>
      <c r="O100" s="477">
        <v>4.3639999999999999</v>
      </c>
      <c r="P100" s="407">
        <v>0.44</v>
      </c>
      <c r="Q100" s="477">
        <v>0</v>
      </c>
      <c r="R100" s="483">
        <v>5940958</v>
      </c>
      <c r="S100" s="483">
        <v>545949</v>
      </c>
      <c r="T100" s="483">
        <v>57637</v>
      </c>
      <c r="U100" s="483">
        <v>62531</v>
      </c>
      <c r="V100" s="483">
        <v>287620</v>
      </c>
      <c r="W100" s="483">
        <v>296750</v>
      </c>
      <c r="X100" s="483">
        <v>0</v>
      </c>
      <c r="Y100" s="483">
        <v>50</v>
      </c>
      <c r="Z100" s="406">
        <v>0</v>
      </c>
      <c r="AA100" s="483">
        <v>31577</v>
      </c>
      <c r="AB100" s="483">
        <v>3763</v>
      </c>
      <c r="AC100" s="385">
        <v>17455</v>
      </c>
      <c r="AD100" s="545">
        <v>5.4</v>
      </c>
      <c r="AE100" s="483">
        <v>34303</v>
      </c>
      <c r="AF100" s="483">
        <v>35237</v>
      </c>
      <c r="AG100" s="481">
        <v>18236</v>
      </c>
      <c r="AH100" s="481">
        <v>15945</v>
      </c>
      <c r="AI100">
        <v>24.5</v>
      </c>
      <c r="AJ100" s="385">
        <v>363232132</v>
      </c>
      <c r="AK100" s="385">
        <v>27591</v>
      </c>
      <c r="AL100" s="385">
        <v>1051</v>
      </c>
      <c r="AM100" s="287">
        <v>0</v>
      </c>
      <c r="AN100" s="542">
        <v>330000</v>
      </c>
      <c r="AO100" s="549">
        <v>0.17</v>
      </c>
      <c r="AP100" s="385">
        <v>21164</v>
      </c>
      <c r="AQ100" s="385">
        <v>21740</v>
      </c>
      <c r="AR100" s="481">
        <v>11251</v>
      </c>
      <c r="AS100" s="481">
        <v>9918</v>
      </c>
      <c r="AT100" s="617"/>
      <c r="AU100" s="618">
        <v>110954</v>
      </c>
      <c r="AV100" s="618">
        <v>0</v>
      </c>
      <c r="AW100" s="620"/>
      <c r="AX100" s="620"/>
      <c r="AY100" s="625"/>
      <c r="AZ100" s="626"/>
      <c r="BA100" s="620"/>
      <c r="BB100" s="673">
        <v>223860</v>
      </c>
      <c r="BC100" s="781">
        <v>4.9000000000000002E-2</v>
      </c>
      <c r="BD100" s="790">
        <v>81</v>
      </c>
      <c r="BE100" s="673">
        <v>39766.76</v>
      </c>
    </row>
    <row r="101" spans="1:57" x14ac:dyDescent="0.2">
      <c r="A101" s="390">
        <v>13</v>
      </c>
      <c r="B101" s="551" t="s">
        <v>175</v>
      </c>
      <c r="C101" t="s">
        <v>1099</v>
      </c>
      <c r="D101" s="406">
        <v>493.3</v>
      </c>
      <c r="E101" s="560">
        <v>6615</v>
      </c>
      <c r="F101" s="561">
        <v>589.34</v>
      </c>
      <c r="G101" s="561">
        <v>56.95</v>
      </c>
      <c r="H101" s="561">
        <v>71.14</v>
      </c>
      <c r="I101" s="561">
        <v>319.72000000000003</v>
      </c>
      <c r="J101" s="561">
        <v>27.36</v>
      </c>
      <c r="K101" s="561">
        <v>11.5</v>
      </c>
      <c r="L101" s="561">
        <v>27.4</v>
      </c>
      <c r="M101" s="343">
        <v>0</v>
      </c>
      <c r="N101" s="477">
        <v>27.12</v>
      </c>
      <c r="O101" s="477">
        <v>2.8839999999999999</v>
      </c>
      <c r="P101" s="407">
        <v>0</v>
      </c>
      <c r="Q101" s="477">
        <v>0</v>
      </c>
      <c r="R101" s="483">
        <v>3415325</v>
      </c>
      <c r="S101" s="483">
        <v>304276</v>
      </c>
      <c r="T101" s="483">
        <v>29403</v>
      </c>
      <c r="U101" s="483">
        <v>36730</v>
      </c>
      <c r="V101" s="483">
        <v>165071</v>
      </c>
      <c r="W101" s="483">
        <v>169431</v>
      </c>
      <c r="X101" s="483">
        <v>0</v>
      </c>
      <c r="Y101" s="483">
        <v>8</v>
      </c>
      <c r="Z101" s="406">
        <v>0</v>
      </c>
      <c r="AA101" s="483">
        <v>17397</v>
      </c>
      <c r="AB101" s="483">
        <v>1854</v>
      </c>
      <c r="AC101" s="385">
        <v>8778</v>
      </c>
      <c r="AD101" s="545">
        <v>5.4</v>
      </c>
      <c r="AE101" s="483">
        <v>24819</v>
      </c>
      <c r="AF101" s="483">
        <v>25052</v>
      </c>
      <c r="AG101" s="481">
        <v>4446</v>
      </c>
      <c r="AH101" s="481">
        <v>4446</v>
      </c>
      <c r="AI101">
        <v>15.5</v>
      </c>
      <c r="AJ101" s="385">
        <v>144763776</v>
      </c>
      <c r="AK101" s="385">
        <v>5865</v>
      </c>
      <c r="AL101" s="385">
        <v>0</v>
      </c>
      <c r="AM101" s="287">
        <v>0</v>
      </c>
      <c r="AN101" s="542">
        <v>330000</v>
      </c>
      <c r="AO101" s="549">
        <v>0.17</v>
      </c>
      <c r="AP101" s="385">
        <v>22902</v>
      </c>
      <c r="AQ101" s="385">
        <v>23117</v>
      </c>
      <c r="AR101" s="481">
        <v>4103</v>
      </c>
      <c r="AS101" s="481">
        <v>4126</v>
      </c>
      <c r="AT101" s="617"/>
      <c r="AU101" s="618">
        <v>0</v>
      </c>
      <c r="AV101" s="618">
        <v>1016</v>
      </c>
      <c r="AW101" s="620"/>
      <c r="AX101" s="620"/>
      <c r="AY101" s="625"/>
      <c r="AZ101" s="626"/>
      <c r="BA101" s="620"/>
      <c r="BB101" s="673">
        <v>1231012</v>
      </c>
      <c r="BC101" s="781">
        <v>0.05</v>
      </c>
      <c r="BD101" s="790">
        <v>88</v>
      </c>
      <c r="BE101" s="673">
        <v>13969.28</v>
      </c>
    </row>
    <row r="102" spans="1:57" x14ac:dyDescent="0.2">
      <c r="A102" s="390">
        <v>1</v>
      </c>
      <c r="B102" s="551" t="s">
        <v>176</v>
      </c>
      <c r="C102" t="s">
        <v>1100</v>
      </c>
      <c r="D102" s="406">
        <v>343.8</v>
      </c>
      <c r="E102" s="560">
        <v>6591</v>
      </c>
      <c r="F102" s="561">
        <v>641.95000000000005</v>
      </c>
      <c r="G102" s="561">
        <v>60.81</v>
      </c>
      <c r="H102" s="561">
        <v>74.09</v>
      </c>
      <c r="I102" s="561">
        <v>319.72000000000003</v>
      </c>
      <c r="J102" s="561">
        <v>18.72</v>
      </c>
      <c r="K102" s="561">
        <v>3.63</v>
      </c>
      <c r="L102" s="561">
        <v>2.74</v>
      </c>
      <c r="M102" s="343">
        <v>0</v>
      </c>
      <c r="N102" s="477">
        <v>23.17</v>
      </c>
      <c r="O102" s="477">
        <v>1.579</v>
      </c>
      <c r="P102" s="407">
        <v>0</v>
      </c>
      <c r="Q102" s="477">
        <v>0</v>
      </c>
      <c r="R102" s="483">
        <v>2283122</v>
      </c>
      <c r="S102" s="483">
        <v>222371</v>
      </c>
      <c r="T102" s="483">
        <v>21065</v>
      </c>
      <c r="U102" s="483">
        <v>25665</v>
      </c>
      <c r="V102" s="483">
        <v>110751</v>
      </c>
      <c r="W102" s="483">
        <v>114400</v>
      </c>
      <c r="X102" s="483">
        <v>13827</v>
      </c>
      <c r="Y102" s="483">
        <v>2</v>
      </c>
      <c r="Z102" s="406">
        <v>0</v>
      </c>
      <c r="AA102" s="483">
        <v>11265</v>
      </c>
      <c r="AB102" s="483">
        <v>1208</v>
      </c>
      <c r="AC102" s="385">
        <v>7955</v>
      </c>
      <c r="AD102" s="545">
        <v>5.4</v>
      </c>
      <c r="AE102" s="483">
        <v>287026</v>
      </c>
      <c r="AF102" s="483">
        <v>284232</v>
      </c>
      <c r="AG102" s="481">
        <v>9854</v>
      </c>
      <c r="AH102" s="481">
        <v>9854</v>
      </c>
      <c r="AI102">
        <v>6</v>
      </c>
      <c r="AJ102" s="385">
        <v>204163900</v>
      </c>
      <c r="AK102" s="385">
        <v>14809</v>
      </c>
      <c r="AL102" s="385">
        <v>0</v>
      </c>
      <c r="AM102" s="287">
        <v>0</v>
      </c>
      <c r="AN102" s="542">
        <v>330000</v>
      </c>
      <c r="AO102" s="549">
        <v>0.17</v>
      </c>
      <c r="AP102" s="385">
        <v>120323</v>
      </c>
      <c r="AQ102" s="385">
        <v>119152</v>
      </c>
      <c r="AR102" s="481">
        <v>4131</v>
      </c>
      <c r="AS102" s="481">
        <v>4166</v>
      </c>
      <c r="AT102" s="617"/>
      <c r="AU102" s="618">
        <v>71404</v>
      </c>
      <c r="AV102" s="618">
        <v>8560</v>
      </c>
      <c r="AW102" s="620"/>
      <c r="AX102" s="620"/>
      <c r="AY102" s="625"/>
      <c r="AZ102" s="626"/>
      <c r="BA102" s="620"/>
      <c r="BB102" s="673">
        <v>447603</v>
      </c>
      <c r="BC102" s="781">
        <v>4.1000000000000002E-2</v>
      </c>
      <c r="BD102" s="790">
        <v>3</v>
      </c>
      <c r="BE102" s="673">
        <v>20383.77</v>
      </c>
    </row>
    <row r="103" spans="1:57" x14ac:dyDescent="0.2">
      <c r="A103" s="390">
        <v>9</v>
      </c>
      <c r="B103" s="551" t="s">
        <v>174</v>
      </c>
      <c r="C103" t="s">
        <v>1524</v>
      </c>
      <c r="D103" s="406">
        <v>615.5</v>
      </c>
      <c r="E103" s="560">
        <v>6591</v>
      </c>
      <c r="F103" s="561">
        <v>579.42999999999995</v>
      </c>
      <c r="G103" s="561">
        <v>63.54</v>
      </c>
      <c r="H103" s="561">
        <v>58.699999999999996</v>
      </c>
      <c r="I103" s="561">
        <v>319.72000000000003</v>
      </c>
      <c r="J103" s="561">
        <v>42.48</v>
      </c>
      <c r="K103" s="561">
        <v>26.62</v>
      </c>
      <c r="L103" s="561">
        <v>30.14</v>
      </c>
      <c r="M103" s="343">
        <v>0</v>
      </c>
      <c r="N103" s="477">
        <v>32.53</v>
      </c>
      <c r="O103" s="477">
        <v>2.8879999999999999</v>
      </c>
      <c r="P103" s="407">
        <v>0</v>
      </c>
      <c r="Q103" s="477">
        <v>0</v>
      </c>
      <c r="R103" s="483">
        <v>4093011</v>
      </c>
      <c r="S103" s="483">
        <v>359826</v>
      </c>
      <c r="T103" s="483">
        <v>39458</v>
      </c>
      <c r="U103" s="483">
        <v>36453</v>
      </c>
      <c r="V103" s="483">
        <v>198546</v>
      </c>
      <c r="W103" s="483">
        <v>207868</v>
      </c>
      <c r="X103" s="483">
        <v>11409</v>
      </c>
      <c r="Y103" s="483">
        <v>3</v>
      </c>
      <c r="Z103" s="406">
        <v>0</v>
      </c>
      <c r="AA103" s="483">
        <v>18756</v>
      </c>
      <c r="AB103" s="483">
        <v>2202</v>
      </c>
      <c r="AC103" s="385">
        <v>12037</v>
      </c>
      <c r="AD103" s="545">
        <v>5.4</v>
      </c>
      <c r="AE103" s="483">
        <v>23265</v>
      </c>
      <c r="AF103" s="483">
        <v>23201</v>
      </c>
      <c r="AG103" s="481">
        <v>10730</v>
      </c>
      <c r="AH103" s="481">
        <v>10242</v>
      </c>
      <c r="AI103">
        <v>12</v>
      </c>
      <c r="AJ103" s="385">
        <v>230389518</v>
      </c>
      <c r="AK103" s="385">
        <v>22596</v>
      </c>
      <c r="AL103" s="385">
        <v>0</v>
      </c>
      <c r="AM103" s="287">
        <v>0</v>
      </c>
      <c r="AN103" s="542">
        <v>330000</v>
      </c>
      <c r="AO103" s="549">
        <v>0.17</v>
      </c>
      <c r="AP103" s="385">
        <v>16097</v>
      </c>
      <c r="AQ103" s="385">
        <v>16052</v>
      </c>
      <c r="AR103" s="481">
        <v>7423</v>
      </c>
      <c r="AS103" s="481">
        <v>7137</v>
      </c>
      <c r="AT103" s="617"/>
      <c r="AU103" s="618">
        <v>66649</v>
      </c>
      <c r="AV103" s="618">
        <v>93215</v>
      </c>
      <c r="AW103" s="620"/>
      <c r="AX103" s="620"/>
      <c r="AY103" s="625"/>
      <c r="AZ103" s="626"/>
      <c r="BA103" s="620"/>
      <c r="BB103" s="673">
        <v>844761</v>
      </c>
      <c r="BC103" s="781">
        <v>0.05</v>
      </c>
      <c r="BD103" s="790">
        <v>49</v>
      </c>
      <c r="BE103" s="673">
        <v>29971.35</v>
      </c>
    </row>
    <row r="104" spans="1:57" x14ac:dyDescent="0.2">
      <c r="A104" s="390">
        <v>15</v>
      </c>
      <c r="B104" s="551" t="s">
        <v>112</v>
      </c>
      <c r="C104" t="s">
        <v>1495</v>
      </c>
      <c r="D104" s="406">
        <v>886.9</v>
      </c>
      <c r="E104" s="560">
        <v>6591</v>
      </c>
      <c r="F104" s="561">
        <v>582.16999999999996</v>
      </c>
      <c r="G104" s="561">
        <v>61.5</v>
      </c>
      <c r="H104" s="561">
        <v>75.150000000000006</v>
      </c>
      <c r="I104" s="561">
        <v>319.72000000000003</v>
      </c>
      <c r="J104" s="561">
        <v>58.32</v>
      </c>
      <c r="K104" s="561">
        <v>19.36</v>
      </c>
      <c r="L104" s="561">
        <v>41.1</v>
      </c>
      <c r="M104" s="343">
        <v>0</v>
      </c>
      <c r="N104" s="477">
        <v>19.259999999999998</v>
      </c>
      <c r="O104" s="477">
        <v>4.4169999999999998</v>
      </c>
      <c r="P104" s="407">
        <v>0.66</v>
      </c>
      <c r="Q104" s="477">
        <v>0</v>
      </c>
      <c r="R104" s="483">
        <v>5795466</v>
      </c>
      <c r="S104" s="483">
        <v>511902</v>
      </c>
      <c r="T104" s="483">
        <v>54077</v>
      </c>
      <c r="U104" s="483">
        <v>66079</v>
      </c>
      <c r="V104" s="483">
        <v>281130</v>
      </c>
      <c r="W104" s="483">
        <v>285960</v>
      </c>
      <c r="X104" s="483">
        <v>0</v>
      </c>
      <c r="Y104" s="483">
        <v>17</v>
      </c>
      <c r="Z104" s="406">
        <v>0</v>
      </c>
      <c r="AA104" s="483">
        <v>28646</v>
      </c>
      <c r="AB104" s="483">
        <v>3108</v>
      </c>
      <c r="AC104" s="385">
        <v>15151</v>
      </c>
      <c r="AD104" s="545">
        <v>5.4</v>
      </c>
      <c r="AE104" s="483">
        <v>366497</v>
      </c>
      <c r="AF104" s="483">
        <v>371572</v>
      </c>
      <c r="AG104" s="481">
        <v>82938</v>
      </c>
      <c r="AH104" s="481">
        <v>83187</v>
      </c>
      <c r="AI104">
        <v>29</v>
      </c>
      <c r="AJ104" s="385">
        <v>443655382</v>
      </c>
      <c r="AK104" s="385">
        <v>6689</v>
      </c>
      <c r="AL104" s="385">
        <v>0</v>
      </c>
      <c r="AM104" s="287">
        <v>0</v>
      </c>
      <c r="AN104" s="542">
        <v>330000</v>
      </c>
      <c r="AO104" s="549">
        <v>0.17</v>
      </c>
      <c r="AP104" s="385">
        <v>176455</v>
      </c>
      <c r="AQ104" s="385">
        <v>178899</v>
      </c>
      <c r="AR104" s="481">
        <v>39932</v>
      </c>
      <c r="AS104" s="481">
        <v>41514</v>
      </c>
      <c r="AT104" s="617"/>
      <c r="AU104" s="618">
        <v>0</v>
      </c>
      <c r="AV104" s="618">
        <v>0</v>
      </c>
      <c r="AW104" s="620"/>
      <c r="AX104" s="620"/>
      <c r="AY104" s="625"/>
      <c r="AZ104" s="626"/>
      <c r="BA104" s="620"/>
      <c r="BB104" s="673">
        <v>411835</v>
      </c>
      <c r="BC104" s="781">
        <v>0.05</v>
      </c>
      <c r="BD104" s="790">
        <v>90</v>
      </c>
      <c r="BE104" s="673">
        <v>156518.42000000001</v>
      </c>
    </row>
    <row r="105" spans="1:57" x14ac:dyDescent="0.2">
      <c r="A105" s="390">
        <v>1</v>
      </c>
      <c r="B105" s="551" t="s">
        <v>178</v>
      </c>
      <c r="C105" t="s">
        <v>1102</v>
      </c>
      <c r="D105" s="406">
        <v>385</v>
      </c>
      <c r="E105" s="560">
        <v>6591</v>
      </c>
      <c r="F105" s="561">
        <v>624.28</v>
      </c>
      <c r="G105" s="561">
        <v>69.650000000000006</v>
      </c>
      <c r="H105" s="561">
        <v>74.740000000000009</v>
      </c>
      <c r="I105" s="561">
        <v>319.72000000000003</v>
      </c>
      <c r="J105" s="561">
        <v>15.12</v>
      </c>
      <c r="K105" s="561">
        <v>7.26</v>
      </c>
      <c r="L105" s="561">
        <v>13.7</v>
      </c>
      <c r="M105" s="343">
        <v>0</v>
      </c>
      <c r="N105" s="477">
        <v>22.55</v>
      </c>
      <c r="O105" s="477">
        <v>1.8330000000000002</v>
      </c>
      <c r="P105" s="407">
        <v>0.22</v>
      </c>
      <c r="Q105" s="477">
        <v>0</v>
      </c>
      <c r="R105" s="483">
        <v>2636400</v>
      </c>
      <c r="S105" s="483">
        <v>249712</v>
      </c>
      <c r="T105" s="483">
        <v>27860</v>
      </c>
      <c r="U105" s="483">
        <v>29896</v>
      </c>
      <c r="V105" s="483">
        <v>127888</v>
      </c>
      <c r="W105" s="483">
        <v>131491</v>
      </c>
      <c r="X105" s="483">
        <v>12028</v>
      </c>
      <c r="Y105" s="483">
        <v>26</v>
      </c>
      <c r="Z105" s="406">
        <v>0</v>
      </c>
      <c r="AA105" s="483">
        <v>12948</v>
      </c>
      <c r="AB105" s="483">
        <v>1389</v>
      </c>
      <c r="AC105" s="385">
        <v>9226</v>
      </c>
      <c r="AD105" s="545">
        <v>5.4</v>
      </c>
      <c r="AE105" s="483">
        <v>12127</v>
      </c>
      <c r="AF105" s="483">
        <v>12028</v>
      </c>
      <c r="AG105" s="481">
        <v>11775</v>
      </c>
      <c r="AH105" s="481">
        <v>10223</v>
      </c>
      <c r="AI105">
        <v>15</v>
      </c>
      <c r="AJ105" s="385">
        <v>155324026</v>
      </c>
      <c r="AK105" s="385">
        <v>12897</v>
      </c>
      <c r="AL105" s="385">
        <v>0</v>
      </c>
      <c r="AM105" s="287">
        <v>0</v>
      </c>
      <c r="AN105" s="542">
        <v>330000</v>
      </c>
      <c r="AO105" s="549">
        <v>0.17</v>
      </c>
      <c r="AP105" s="385">
        <v>7426</v>
      </c>
      <c r="AQ105" s="385">
        <v>7365</v>
      </c>
      <c r="AR105" s="481">
        <v>7210</v>
      </c>
      <c r="AS105" s="481">
        <v>6346</v>
      </c>
      <c r="AT105" s="617"/>
      <c r="AU105" s="618">
        <v>25465</v>
      </c>
      <c r="AV105" s="618">
        <v>26378</v>
      </c>
      <c r="AW105" s="620"/>
      <c r="AX105" s="620"/>
      <c r="AY105" s="625"/>
      <c r="AZ105" s="626"/>
      <c r="BA105" s="620"/>
      <c r="BB105" s="673">
        <v>576177</v>
      </c>
      <c r="BC105" s="781">
        <v>4.1000000000000002E-2</v>
      </c>
      <c r="BD105" s="790">
        <v>28</v>
      </c>
      <c r="BE105" s="673">
        <v>30567.27</v>
      </c>
    </row>
    <row r="106" spans="1:57" x14ac:dyDescent="0.2">
      <c r="A106" s="390">
        <v>7</v>
      </c>
      <c r="B106" s="551" t="s">
        <v>179</v>
      </c>
      <c r="C106" t="s">
        <v>1103</v>
      </c>
      <c r="D106" s="406">
        <v>634</v>
      </c>
      <c r="E106" s="560">
        <v>6591</v>
      </c>
      <c r="F106" s="561">
        <v>596.9</v>
      </c>
      <c r="G106" s="561">
        <v>69.540000000000006</v>
      </c>
      <c r="H106" s="561">
        <v>68.95</v>
      </c>
      <c r="I106" s="561">
        <v>319.72000000000003</v>
      </c>
      <c r="J106" s="561">
        <v>30.959999999999997</v>
      </c>
      <c r="K106" s="561">
        <v>44.77</v>
      </c>
      <c r="L106" s="561">
        <v>58.91</v>
      </c>
      <c r="M106" s="343">
        <v>0</v>
      </c>
      <c r="N106" s="477">
        <v>7.82</v>
      </c>
      <c r="O106" s="477">
        <v>3.58</v>
      </c>
      <c r="P106" s="407">
        <v>1.1000000000000001</v>
      </c>
      <c r="Q106" s="477">
        <v>0</v>
      </c>
      <c r="R106" s="483">
        <v>4133216</v>
      </c>
      <c r="S106" s="483">
        <v>374316</v>
      </c>
      <c r="T106" s="483">
        <v>43609</v>
      </c>
      <c r="U106" s="483">
        <v>43239</v>
      </c>
      <c r="V106" s="483">
        <v>200496</v>
      </c>
      <c r="W106" s="483">
        <v>224332</v>
      </c>
      <c r="X106" s="483">
        <v>1964</v>
      </c>
      <c r="Y106" s="483">
        <v>4</v>
      </c>
      <c r="Z106" s="406">
        <v>0</v>
      </c>
      <c r="AA106" s="483">
        <v>28445</v>
      </c>
      <c r="AB106" s="483">
        <v>3269</v>
      </c>
      <c r="AC106" s="385">
        <v>10319</v>
      </c>
      <c r="AD106" s="545">
        <v>5.4</v>
      </c>
      <c r="AE106" s="483">
        <v>36577</v>
      </c>
      <c r="AF106" s="483">
        <v>36338</v>
      </c>
      <c r="AG106" s="481">
        <v>14440</v>
      </c>
      <c r="AH106" s="481">
        <v>12072</v>
      </c>
      <c r="AI106">
        <v>21</v>
      </c>
      <c r="AJ106" s="385">
        <v>181700863</v>
      </c>
      <c r="AK106" s="385">
        <v>14902</v>
      </c>
      <c r="AL106" s="385">
        <v>0</v>
      </c>
      <c r="AM106" s="287">
        <v>0</v>
      </c>
      <c r="AN106" s="542">
        <v>330000</v>
      </c>
      <c r="AO106" s="549">
        <v>0.17</v>
      </c>
      <c r="AP106" s="385">
        <v>34601</v>
      </c>
      <c r="AQ106" s="385">
        <v>34375</v>
      </c>
      <c r="AR106" s="481">
        <v>13661</v>
      </c>
      <c r="AS106" s="481">
        <v>11548</v>
      </c>
      <c r="AT106" s="617"/>
      <c r="AU106" s="618">
        <v>0</v>
      </c>
      <c r="AV106" s="618">
        <v>39989</v>
      </c>
      <c r="AW106" s="620"/>
      <c r="AX106" s="620"/>
      <c r="AY106" s="625"/>
      <c r="AZ106" s="626"/>
      <c r="BA106" s="620"/>
      <c r="BB106" s="673">
        <v>0</v>
      </c>
      <c r="BC106" s="781">
        <v>0.05</v>
      </c>
      <c r="BD106" s="790">
        <v>42</v>
      </c>
      <c r="BE106" s="673">
        <v>38467.74</v>
      </c>
    </row>
    <row r="107" spans="1:57" x14ac:dyDescent="0.2">
      <c r="A107" s="390">
        <v>5</v>
      </c>
      <c r="B107" s="551" t="s">
        <v>180</v>
      </c>
      <c r="C107" t="s">
        <v>1104</v>
      </c>
      <c r="D107" s="406">
        <v>698.3</v>
      </c>
      <c r="E107" s="560">
        <v>6714</v>
      </c>
      <c r="F107" s="561">
        <v>568.61</v>
      </c>
      <c r="G107" s="561">
        <v>66.53</v>
      </c>
      <c r="H107" s="561">
        <v>68.100000000000009</v>
      </c>
      <c r="I107" s="561">
        <v>319.72000000000003</v>
      </c>
      <c r="J107" s="561">
        <v>45.36</v>
      </c>
      <c r="K107" s="561">
        <v>43.56</v>
      </c>
      <c r="L107" s="561">
        <v>21.92</v>
      </c>
      <c r="M107" s="343">
        <v>2.37</v>
      </c>
      <c r="N107" s="477">
        <v>12.6</v>
      </c>
      <c r="O107" s="477">
        <v>3.532</v>
      </c>
      <c r="P107" s="407">
        <v>1.1000000000000001</v>
      </c>
      <c r="Q107" s="477">
        <v>0</v>
      </c>
      <c r="R107" s="483">
        <v>4513151</v>
      </c>
      <c r="S107" s="483">
        <v>382220</v>
      </c>
      <c r="T107" s="483">
        <v>44721</v>
      </c>
      <c r="U107" s="483">
        <v>45777</v>
      </c>
      <c r="V107" s="483">
        <v>214916</v>
      </c>
      <c r="W107" s="483">
        <v>230905</v>
      </c>
      <c r="X107" s="483">
        <v>0</v>
      </c>
      <c r="Y107" s="483">
        <v>89</v>
      </c>
      <c r="Z107" s="406">
        <v>3.3</v>
      </c>
      <c r="AA107" s="483">
        <v>24571</v>
      </c>
      <c r="AB107" s="483">
        <v>2928</v>
      </c>
      <c r="AC107" s="385">
        <v>13319</v>
      </c>
      <c r="AD107" s="545">
        <v>5.4</v>
      </c>
      <c r="AE107" s="483">
        <v>37921</v>
      </c>
      <c r="AF107" s="483">
        <v>38827</v>
      </c>
      <c r="AG107" s="481">
        <v>45395</v>
      </c>
      <c r="AH107" s="481">
        <v>30611</v>
      </c>
      <c r="AI107">
        <v>30</v>
      </c>
      <c r="AJ107" s="385">
        <v>330018930</v>
      </c>
      <c r="AK107" s="385">
        <v>29413</v>
      </c>
      <c r="AL107" s="385">
        <v>0</v>
      </c>
      <c r="AM107" s="287">
        <v>0</v>
      </c>
      <c r="AN107" s="542">
        <v>330000</v>
      </c>
      <c r="AO107" s="549">
        <v>0.17</v>
      </c>
      <c r="AP107" s="385">
        <v>18689</v>
      </c>
      <c r="AQ107" s="385">
        <v>19135</v>
      </c>
      <c r="AR107" s="481">
        <v>22372</v>
      </c>
      <c r="AS107" s="481">
        <v>15441</v>
      </c>
      <c r="AT107" s="617"/>
      <c r="AU107" s="618">
        <v>129813</v>
      </c>
      <c r="AV107" s="618">
        <v>0</v>
      </c>
      <c r="AW107" s="620"/>
      <c r="AX107" s="620"/>
      <c r="AY107" s="625"/>
      <c r="AZ107" s="626"/>
      <c r="BA107" s="620"/>
      <c r="BB107" s="673">
        <v>105452</v>
      </c>
      <c r="BC107" s="781">
        <v>0.05</v>
      </c>
      <c r="BD107" s="790">
        <v>74</v>
      </c>
      <c r="BE107" s="673">
        <v>101182</v>
      </c>
    </row>
    <row r="108" spans="1:57" x14ac:dyDescent="0.2">
      <c r="A108" s="390">
        <v>10</v>
      </c>
      <c r="B108" s="551" t="s">
        <v>181</v>
      </c>
      <c r="C108" t="s">
        <v>656</v>
      </c>
      <c r="D108" s="406">
        <v>457.8</v>
      </c>
      <c r="E108" s="560">
        <v>6664</v>
      </c>
      <c r="F108" s="561">
        <v>668.08</v>
      </c>
      <c r="G108" s="561">
        <v>70.39</v>
      </c>
      <c r="H108" s="561">
        <v>72.12</v>
      </c>
      <c r="I108" s="561">
        <v>319.72000000000003</v>
      </c>
      <c r="J108" s="561">
        <v>20.88</v>
      </c>
      <c r="K108" s="561">
        <v>21.78</v>
      </c>
      <c r="L108" s="561">
        <v>8.2200000000000006</v>
      </c>
      <c r="M108" s="343">
        <v>0</v>
      </c>
      <c r="N108" s="477">
        <v>22.9</v>
      </c>
      <c r="O108" s="477">
        <v>2.089</v>
      </c>
      <c r="P108" s="407">
        <v>0.22</v>
      </c>
      <c r="Q108" s="477">
        <v>0</v>
      </c>
      <c r="R108" s="483">
        <v>3026789</v>
      </c>
      <c r="S108" s="483">
        <v>303442</v>
      </c>
      <c r="T108" s="483">
        <v>31971</v>
      </c>
      <c r="U108" s="483">
        <v>32757</v>
      </c>
      <c r="V108" s="483">
        <v>145217</v>
      </c>
      <c r="W108" s="483">
        <v>145458</v>
      </c>
      <c r="X108" s="483">
        <v>29728</v>
      </c>
      <c r="Y108" s="483">
        <v>0</v>
      </c>
      <c r="Z108" s="406">
        <v>0</v>
      </c>
      <c r="AA108" s="483">
        <v>13590</v>
      </c>
      <c r="AB108" s="483">
        <v>1582</v>
      </c>
      <c r="AC108" s="385">
        <v>10344</v>
      </c>
      <c r="AD108" s="545">
        <v>5.4</v>
      </c>
      <c r="AE108" s="483">
        <v>34128</v>
      </c>
      <c r="AF108" s="483">
        <v>34512</v>
      </c>
      <c r="AG108" s="481">
        <v>4467</v>
      </c>
      <c r="AH108" s="481">
        <v>4468</v>
      </c>
      <c r="AI108">
        <v>15</v>
      </c>
      <c r="AJ108" s="385">
        <v>186560348</v>
      </c>
      <c r="AK108" s="385">
        <v>23632</v>
      </c>
      <c r="AL108" s="385">
        <v>0</v>
      </c>
      <c r="AM108" s="287">
        <v>0</v>
      </c>
      <c r="AN108" s="542">
        <v>330000</v>
      </c>
      <c r="AO108" s="549">
        <v>0.17</v>
      </c>
      <c r="AP108" s="385">
        <v>22172</v>
      </c>
      <c r="AQ108" s="385">
        <v>22421</v>
      </c>
      <c r="AR108" s="481">
        <v>3500</v>
      </c>
      <c r="AS108" s="481">
        <v>2919</v>
      </c>
      <c r="AT108" s="617"/>
      <c r="AU108" s="618">
        <v>6528</v>
      </c>
      <c r="AV108" s="618">
        <v>0</v>
      </c>
      <c r="AW108" s="620"/>
      <c r="AX108" s="620"/>
      <c r="AY108" s="625">
        <v>1</v>
      </c>
      <c r="AZ108" s="626"/>
      <c r="BA108" s="620"/>
      <c r="BB108" s="673">
        <v>1425754</v>
      </c>
      <c r="BC108" s="781">
        <v>0.05</v>
      </c>
      <c r="BD108" s="790">
        <v>48</v>
      </c>
      <c r="BE108" s="673">
        <v>11515.029999999999</v>
      </c>
    </row>
    <row r="109" spans="1:57" x14ac:dyDescent="0.2">
      <c r="A109" s="390">
        <v>13</v>
      </c>
      <c r="B109" s="551" t="s">
        <v>182</v>
      </c>
      <c r="C109" t="s">
        <v>1105</v>
      </c>
      <c r="D109" s="406">
        <v>196</v>
      </c>
      <c r="E109" s="560">
        <v>6591</v>
      </c>
      <c r="F109" s="561">
        <v>650.55999999999995</v>
      </c>
      <c r="G109" s="561">
        <v>62.88</v>
      </c>
      <c r="H109" s="561">
        <v>93.2</v>
      </c>
      <c r="I109" s="561">
        <v>319.72000000000003</v>
      </c>
      <c r="J109" s="561">
        <v>9.36</v>
      </c>
      <c r="K109" s="561">
        <v>3.63</v>
      </c>
      <c r="L109" s="561">
        <v>5.48</v>
      </c>
      <c r="M109" s="343">
        <v>0</v>
      </c>
      <c r="N109" s="477">
        <v>23.759999999999998</v>
      </c>
      <c r="O109" s="477">
        <v>1.1240000000000001</v>
      </c>
      <c r="P109" s="407">
        <v>0</v>
      </c>
      <c r="Q109" s="477">
        <v>0</v>
      </c>
      <c r="R109" s="483">
        <v>1339291</v>
      </c>
      <c r="S109" s="483">
        <v>132194</v>
      </c>
      <c r="T109" s="483">
        <v>12777</v>
      </c>
      <c r="U109" s="483">
        <v>18938</v>
      </c>
      <c r="V109" s="483">
        <v>64967</v>
      </c>
      <c r="W109" s="483">
        <v>65055</v>
      </c>
      <c r="X109" s="483">
        <v>8090</v>
      </c>
      <c r="Y109" s="483">
        <v>3</v>
      </c>
      <c r="Z109" s="406">
        <v>0</v>
      </c>
      <c r="AA109" s="483">
        <v>6680</v>
      </c>
      <c r="AB109" s="483">
        <v>712</v>
      </c>
      <c r="AC109" s="385">
        <v>4010</v>
      </c>
      <c r="AD109" s="545">
        <v>5.4</v>
      </c>
      <c r="AE109" s="483">
        <v>12973</v>
      </c>
      <c r="AF109" s="483">
        <v>13337</v>
      </c>
      <c r="AG109" s="481">
        <v>2323</v>
      </c>
      <c r="AH109" s="481">
        <v>2322</v>
      </c>
      <c r="AI109">
        <v>8</v>
      </c>
      <c r="AJ109" s="385">
        <v>88231887</v>
      </c>
      <c r="AK109" s="385">
        <v>6664</v>
      </c>
      <c r="AL109" s="385">
        <v>0</v>
      </c>
      <c r="AM109" s="287">
        <v>0</v>
      </c>
      <c r="AN109" s="542">
        <v>330000</v>
      </c>
      <c r="AO109" s="549">
        <v>0.17</v>
      </c>
      <c r="AP109" s="385">
        <v>11158</v>
      </c>
      <c r="AQ109" s="385">
        <v>11471</v>
      </c>
      <c r="AR109" s="481">
        <v>1998</v>
      </c>
      <c r="AS109" s="481">
        <v>2007</v>
      </c>
      <c r="AT109" s="617"/>
      <c r="AU109" s="618">
        <v>90243</v>
      </c>
      <c r="AV109" s="618">
        <v>107333</v>
      </c>
      <c r="AW109" s="620"/>
      <c r="AX109" s="620"/>
      <c r="AY109" s="625"/>
      <c r="AZ109" s="626"/>
      <c r="BA109" s="620"/>
      <c r="BB109" s="673">
        <v>0</v>
      </c>
      <c r="BC109" s="781">
        <v>0.05</v>
      </c>
      <c r="BD109" s="790">
        <v>73</v>
      </c>
      <c r="BE109" s="673">
        <v>6162.23</v>
      </c>
    </row>
    <row r="110" spans="1:57" x14ac:dyDescent="0.2">
      <c r="A110" s="390">
        <v>5</v>
      </c>
      <c r="B110" s="551" t="s">
        <v>183</v>
      </c>
      <c r="C110" t="s">
        <v>1106</v>
      </c>
      <c r="D110" s="406">
        <v>1376.9</v>
      </c>
      <c r="E110" s="560">
        <v>6609</v>
      </c>
      <c r="F110" s="561">
        <v>574.47</v>
      </c>
      <c r="G110" s="561">
        <v>64.349999999999994</v>
      </c>
      <c r="H110" s="561">
        <v>73.180000000000007</v>
      </c>
      <c r="I110" s="561">
        <v>319.72000000000003</v>
      </c>
      <c r="J110" s="561">
        <v>80.64</v>
      </c>
      <c r="K110" s="561">
        <v>56.87</v>
      </c>
      <c r="L110" s="561">
        <v>27.4</v>
      </c>
      <c r="M110" s="343">
        <v>4.5199999999999996</v>
      </c>
      <c r="N110" s="477">
        <v>2.33</v>
      </c>
      <c r="O110" s="477">
        <v>7.5380000000000003</v>
      </c>
      <c r="P110" s="407">
        <v>17.379999999999995</v>
      </c>
      <c r="Q110" s="477">
        <v>0</v>
      </c>
      <c r="R110" s="483">
        <v>9099271</v>
      </c>
      <c r="S110" s="483">
        <v>790930</v>
      </c>
      <c r="T110" s="483">
        <v>88597</v>
      </c>
      <c r="U110" s="483">
        <v>100754</v>
      </c>
      <c r="V110" s="483">
        <v>440190</v>
      </c>
      <c r="W110" s="483">
        <v>464693</v>
      </c>
      <c r="X110" s="483">
        <v>0</v>
      </c>
      <c r="Y110" s="483">
        <v>6</v>
      </c>
      <c r="Z110" s="406">
        <v>0</v>
      </c>
      <c r="AA110" s="483">
        <v>49448</v>
      </c>
      <c r="AB110" s="483">
        <v>5892</v>
      </c>
      <c r="AC110" s="385">
        <v>23828</v>
      </c>
      <c r="AD110" s="545">
        <v>5.4</v>
      </c>
      <c r="AE110" s="483">
        <v>22036</v>
      </c>
      <c r="AF110" s="483">
        <v>22514</v>
      </c>
      <c r="AG110" s="481">
        <v>38972</v>
      </c>
      <c r="AH110" s="481">
        <v>37393</v>
      </c>
      <c r="AI110">
        <v>31.5</v>
      </c>
      <c r="AJ110" s="385">
        <v>351634895</v>
      </c>
      <c r="AK110" s="385">
        <v>46721</v>
      </c>
      <c r="AL110" s="385">
        <v>0</v>
      </c>
      <c r="AM110" s="287">
        <v>0</v>
      </c>
      <c r="AN110" s="542">
        <v>330000</v>
      </c>
      <c r="AO110" s="549">
        <v>0.17</v>
      </c>
      <c r="AP110" s="385">
        <v>19682</v>
      </c>
      <c r="AQ110" s="385">
        <v>20109</v>
      </c>
      <c r="AR110" s="481">
        <v>34807</v>
      </c>
      <c r="AS110" s="481">
        <v>34061</v>
      </c>
      <c r="AT110" s="617"/>
      <c r="AU110" s="618">
        <v>0</v>
      </c>
      <c r="AV110" s="618">
        <v>0</v>
      </c>
      <c r="AW110" s="620"/>
      <c r="AX110" s="620"/>
      <c r="AY110" s="625"/>
      <c r="AZ110" s="626"/>
      <c r="BA110" s="620"/>
      <c r="BB110" s="673">
        <v>809837</v>
      </c>
      <c r="BC110" s="781">
        <v>3.7999999999999999E-2</v>
      </c>
      <c r="BD110" s="790">
        <v>32</v>
      </c>
      <c r="BE110" s="673">
        <v>119760.03</v>
      </c>
    </row>
    <row r="111" spans="1:57" x14ac:dyDescent="0.2">
      <c r="A111" s="390">
        <v>11</v>
      </c>
      <c r="B111" s="551" t="s">
        <v>184</v>
      </c>
      <c r="C111" t="s">
        <v>1637</v>
      </c>
      <c r="D111" s="406">
        <v>442.5</v>
      </c>
      <c r="E111" s="560">
        <v>6675</v>
      </c>
      <c r="F111" s="561">
        <v>654.97</v>
      </c>
      <c r="G111" s="561">
        <v>68.95</v>
      </c>
      <c r="H111" s="561">
        <v>65.87</v>
      </c>
      <c r="I111" s="561">
        <v>319.72000000000003</v>
      </c>
      <c r="J111" s="561">
        <v>28.08</v>
      </c>
      <c r="K111" s="561">
        <v>26.03</v>
      </c>
      <c r="L111" s="561">
        <v>8.2200000000000006</v>
      </c>
      <c r="M111" s="343">
        <v>0</v>
      </c>
      <c r="N111" s="477">
        <v>0.68</v>
      </c>
      <c r="O111" s="477">
        <v>2.218</v>
      </c>
      <c r="P111" s="407">
        <v>0</v>
      </c>
      <c r="Q111" s="477">
        <v>14.5</v>
      </c>
      <c r="R111" s="483">
        <v>2736083</v>
      </c>
      <c r="S111" s="483">
        <v>268472</v>
      </c>
      <c r="T111" s="483">
        <v>28263</v>
      </c>
      <c r="U111" s="483">
        <v>27000</v>
      </c>
      <c r="V111" s="483">
        <v>131053</v>
      </c>
      <c r="W111" s="483">
        <v>132573</v>
      </c>
      <c r="X111" s="483">
        <v>22958</v>
      </c>
      <c r="Y111" s="483">
        <v>0</v>
      </c>
      <c r="Z111" s="406">
        <v>0</v>
      </c>
      <c r="AA111" s="483">
        <v>10924</v>
      </c>
      <c r="AB111" s="483">
        <v>1388</v>
      </c>
      <c r="AC111" s="385">
        <v>9966</v>
      </c>
      <c r="AD111" s="545">
        <v>5.4</v>
      </c>
      <c r="AE111" s="483">
        <v>24843</v>
      </c>
      <c r="AF111" s="483">
        <v>25405</v>
      </c>
      <c r="AG111" s="481">
        <v>8418</v>
      </c>
      <c r="AH111" s="481">
        <v>7158</v>
      </c>
      <c r="AI111">
        <v>13.5</v>
      </c>
      <c r="AJ111" s="385">
        <v>199698429</v>
      </c>
      <c r="AK111" s="385">
        <v>31367</v>
      </c>
      <c r="AL111" s="385">
        <v>0</v>
      </c>
      <c r="AM111" s="287">
        <v>0</v>
      </c>
      <c r="AN111" s="542">
        <v>330000</v>
      </c>
      <c r="AO111" s="549">
        <v>0.17</v>
      </c>
      <c r="AP111" s="385">
        <v>11137</v>
      </c>
      <c r="AQ111" s="385">
        <v>11389</v>
      </c>
      <c r="AR111" s="481">
        <v>3774</v>
      </c>
      <c r="AS111" s="481">
        <v>3233</v>
      </c>
      <c r="AT111" s="617"/>
      <c r="AU111" s="618">
        <v>138856</v>
      </c>
      <c r="AV111" s="618">
        <v>0</v>
      </c>
      <c r="AW111" s="620"/>
      <c r="AX111" s="620"/>
      <c r="AY111" s="625"/>
      <c r="AZ111" s="626"/>
      <c r="BA111" s="620"/>
      <c r="BB111" s="673">
        <v>0</v>
      </c>
      <c r="BC111" s="781">
        <v>0.05</v>
      </c>
      <c r="BD111" s="790">
        <v>5</v>
      </c>
      <c r="BE111" s="673">
        <v>17297.36</v>
      </c>
    </row>
    <row r="112" spans="1:57" x14ac:dyDescent="0.2">
      <c r="A112" s="390">
        <v>15</v>
      </c>
      <c r="B112" s="551" t="s">
        <v>185</v>
      </c>
      <c r="C112" t="s">
        <v>1107</v>
      </c>
      <c r="D112" s="406">
        <v>1636.6</v>
      </c>
      <c r="E112" s="560">
        <v>6591</v>
      </c>
      <c r="F112" s="561">
        <v>584.79999999999995</v>
      </c>
      <c r="G112" s="561">
        <v>61.1</v>
      </c>
      <c r="H112" s="561">
        <v>67.070000000000007</v>
      </c>
      <c r="I112" s="561">
        <v>319.72000000000003</v>
      </c>
      <c r="J112" s="561">
        <v>100.8</v>
      </c>
      <c r="K112" s="561">
        <v>61.12</v>
      </c>
      <c r="L112" s="561">
        <v>100.01</v>
      </c>
      <c r="M112" s="343">
        <v>0</v>
      </c>
      <c r="N112" s="477">
        <v>24.64</v>
      </c>
      <c r="O112" s="477">
        <v>8.0150000000000006</v>
      </c>
      <c r="P112" s="407">
        <v>7.04</v>
      </c>
      <c r="Q112" s="477">
        <v>0</v>
      </c>
      <c r="R112" s="483">
        <v>11008288</v>
      </c>
      <c r="S112" s="483">
        <v>976733</v>
      </c>
      <c r="T112" s="483">
        <v>102049</v>
      </c>
      <c r="U112" s="483">
        <v>112020</v>
      </c>
      <c r="V112" s="483">
        <v>533996</v>
      </c>
      <c r="W112" s="483">
        <v>555751</v>
      </c>
      <c r="X112" s="483">
        <v>0</v>
      </c>
      <c r="Y112" s="483">
        <v>136</v>
      </c>
      <c r="Z112" s="406">
        <v>0</v>
      </c>
      <c r="AA112" s="483">
        <v>55672</v>
      </c>
      <c r="AB112" s="483">
        <v>6040</v>
      </c>
      <c r="AC112" s="385">
        <v>30232</v>
      </c>
      <c r="AD112" s="545">
        <v>5.4</v>
      </c>
      <c r="AE112" s="483">
        <v>62206</v>
      </c>
      <c r="AF112" s="483">
        <v>61998</v>
      </c>
      <c r="AG112" s="481">
        <v>77723</v>
      </c>
      <c r="AH112" s="481">
        <v>75431</v>
      </c>
      <c r="AI112">
        <v>21.5</v>
      </c>
      <c r="AJ112" s="385">
        <v>720200638</v>
      </c>
      <c r="AK112" s="385">
        <v>46145</v>
      </c>
      <c r="AL112" s="385">
        <v>0</v>
      </c>
      <c r="AM112" s="287">
        <v>0</v>
      </c>
      <c r="AN112" s="542">
        <v>330000</v>
      </c>
      <c r="AO112" s="549">
        <v>0.17</v>
      </c>
      <c r="AP112" s="385">
        <v>32271</v>
      </c>
      <c r="AQ112" s="385">
        <v>32163</v>
      </c>
      <c r="AR112" s="481">
        <v>40321</v>
      </c>
      <c r="AS112" s="481">
        <v>39798</v>
      </c>
      <c r="AT112" s="617"/>
      <c r="AU112" s="618">
        <v>0</v>
      </c>
      <c r="AV112" s="618">
        <v>0</v>
      </c>
      <c r="AW112" s="620"/>
      <c r="AX112" s="620"/>
      <c r="AY112" s="625"/>
      <c r="AZ112" s="626"/>
      <c r="BA112" s="620"/>
      <c r="BB112" s="673">
        <v>0</v>
      </c>
      <c r="BC112" s="781">
        <v>4.4999999999999998E-2</v>
      </c>
      <c r="BD112" s="790">
        <v>51</v>
      </c>
      <c r="BE112" s="673">
        <v>197781.22</v>
      </c>
    </row>
    <row r="113" spans="1:57" x14ac:dyDescent="0.2">
      <c r="A113" s="390">
        <v>7</v>
      </c>
      <c r="B113" s="551" t="s">
        <v>187</v>
      </c>
      <c r="C113" t="s">
        <v>1109</v>
      </c>
      <c r="D113" s="406">
        <v>1105.3</v>
      </c>
      <c r="E113" s="560">
        <v>6598</v>
      </c>
      <c r="F113" s="561">
        <v>602.11</v>
      </c>
      <c r="G113" s="561">
        <v>70.14</v>
      </c>
      <c r="H113" s="561">
        <v>67.63000000000001</v>
      </c>
      <c r="I113" s="561">
        <v>319.72000000000003</v>
      </c>
      <c r="J113" s="561">
        <v>86.399999999999991</v>
      </c>
      <c r="K113" s="561">
        <v>40.54</v>
      </c>
      <c r="L113" s="561">
        <v>26.03</v>
      </c>
      <c r="M113" s="343">
        <v>0</v>
      </c>
      <c r="N113" s="477">
        <v>3.1599999999999997</v>
      </c>
      <c r="O113" s="477">
        <v>5.1219999999999999</v>
      </c>
      <c r="P113" s="407">
        <v>1.1000000000000001</v>
      </c>
      <c r="Q113" s="477">
        <v>0</v>
      </c>
      <c r="R113" s="483">
        <v>7202377</v>
      </c>
      <c r="S113" s="483">
        <v>657263</v>
      </c>
      <c r="T113" s="483">
        <v>76565</v>
      </c>
      <c r="U113" s="483">
        <v>73825</v>
      </c>
      <c r="V113" s="483">
        <v>349006</v>
      </c>
      <c r="W113" s="483">
        <v>365944</v>
      </c>
      <c r="X113" s="483">
        <v>54825</v>
      </c>
      <c r="Y113" s="483">
        <v>3</v>
      </c>
      <c r="Z113" s="406">
        <v>0</v>
      </c>
      <c r="AA113" s="483">
        <v>46402</v>
      </c>
      <c r="AB113" s="483">
        <v>5332</v>
      </c>
      <c r="AC113" s="385">
        <v>24589</v>
      </c>
      <c r="AD113" s="545">
        <v>5.4</v>
      </c>
      <c r="AE113" s="483">
        <v>18919</v>
      </c>
      <c r="AF113" s="483">
        <v>19159</v>
      </c>
      <c r="AG113" s="481">
        <v>68163</v>
      </c>
      <c r="AH113" s="481">
        <v>58118</v>
      </c>
      <c r="AI113">
        <v>26.5</v>
      </c>
      <c r="AJ113" s="385">
        <v>401593571</v>
      </c>
      <c r="AK113" s="385">
        <v>41237</v>
      </c>
      <c r="AL113" s="385">
        <v>0</v>
      </c>
      <c r="AM113" s="287">
        <v>0</v>
      </c>
      <c r="AN113" s="542">
        <v>330000</v>
      </c>
      <c r="AO113" s="549">
        <v>0.17</v>
      </c>
      <c r="AP113" s="385">
        <v>13733</v>
      </c>
      <c r="AQ113" s="385">
        <v>13907</v>
      </c>
      <c r="AR113" s="481">
        <v>39165</v>
      </c>
      <c r="AS113" s="481">
        <v>43073</v>
      </c>
      <c r="AT113" s="617"/>
      <c r="AU113" s="618">
        <v>28476</v>
      </c>
      <c r="AV113" s="618">
        <v>0</v>
      </c>
      <c r="AW113" s="620"/>
      <c r="AX113" s="620"/>
      <c r="AY113" s="625"/>
      <c r="AZ113" s="626"/>
      <c r="BA113" s="620"/>
      <c r="BB113" s="673">
        <v>896520</v>
      </c>
      <c r="BC113" s="781">
        <v>0.05</v>
      </c>
      <c r="BD113" s="790">
        <v>95</v>
      </c>
      <c r="BE113" s="673">
        <v>164290.91</v>
      </c>
    </row>
    <row r="114" spans="1:57" x14ac:dyDescent="0.2">
      <c r="A114" s="390">
        <v>5</v>
      </c>
      <c r="B114" s="551" t="s">
        <v>188</v>
      </c>
      <c r="C114" t="s">
        <v>1110</v>
      </c>
      <c r="D114" s="406">
        <v>3710.6</v>
      </c>
      <c r="E114" s="560">
        <v>6618</v>
      </c>
      <c r="F114" s="561">
        <v>579.88</v>
      </c>
      <c r="G114" s="561">
        <v>67.52</v>
      </c>
      <c r="H114" s="561">
        <v>76.64</v>
      </c>
      <c r="I114" s="561">
        <v>319.72000000000003</v>
      </c>
      <c r="J114" s="561">
        <v>178.56</v>
      </c>
      <c r="K114" s="561">
        <v>170.02</v>
      </c>
      <c r="L114" s="561">
        <v>356.2</v>
      </c>
      <c r="M114" s="343">
        <v>12.94</v>
      </c>
      <c r="N114" s="477">
        <v>19</v>
      </c>
      <c r="O114" s="477">
        <v>23.102</v>
      </c>
      <c r="P114" s="407">
        <v>9.9</v>
      </c>
      <c r="Q114" s="477">
        <v>0</v>
      </c>
      <c r="R114" s="483">
        <v>24929344</v>
      </c>
      <c r="S114" s="483">
        <v>2184350</v>
      </c>
      <c r="T114" s="483">
        <v>254341</v>
      </c>
      <c r="U114" s="483">
        <v>288695</v>
      </c>
      <c r="V114" s="483">
        <v>1204353</v>
      </c>
      <c r="W114" s="483">
        <v>1330441</v>
      </c>
      <c r="X114" s="483">
        <v>0</v>
      </c>
      <c r="Y114" s="483">
        <v>859</v>
      </c>
      <c r="Z114" s="406">
        <v>2.8</v>
      </c>
      <c r="AA114" s="483">
        <v>141572</v>
      </c>
      <c r="AB114" s="483">
        <v>16870</v>
      </c>
      <c r="AC114" s="385">
        <v>71390</v>
      </c>
      <c r="AD114" s="545">
        <v>5.4</v>
      </c>
      <c r="AE114" s="483">
        <v>241764</v>
      </c>
      <c r="AF114" s="483">
        <v>248251</v>
      </c>
      <c r="AG114" s="481">
        <v>186222</v>
      </c>
      <c r="AH114" s="481">
        <v>156664</v>
      </c>
      <c r="AI114">
        <v>131</v>
      </c>
      <c r="AJ114" s="385">
        <v>926654388</v>
      </c>
      <c r="AK114" s="385">
        <v>118233</v>
      </c>
      <c r="AL114" s="385">
        <v>37650</v>
      </c>
      <c r="AM114" s="287">
        <v>0</v>
      </c>
      <c r="AN114" s="542">
        <v>330000</v>
      </c>
      <c r="AO114" s="549">
        <v>0.17</v>
      </c>
      <c r="AP114" s="385">
        <v>237782</v>
      </c>
      <c r="AQ114" s="385">
        <v>244162</v>
      </c>
      <c r="AR114" s="481">
        <v>183154</v>
      </c>
      <c r="AS114" s="481">
        <v>158881</v>
      </c>
      <c r="AT114" s="617"/>
      <c r="AU114" s="618">
        <v>0</v>
      </c>
      <c r="AV114" s="618">
        <v>0</v>
      </c>
      <c r="AW114" s="620"/>
      <c r="AX114" s="620"/>
      <c r="AY114" s="625"/>
      <c r="AZ114" s="626"/>
      <c r="BA114" s="620"/>
      <c r="BB114" s="673">
        <v>0</v>
      </c>
      <c r="BC114" s="781">
        <v>0.05</v>
      </c>
      <c r="BD114" s="790">
        <v>94</v>
      </c>
      <c r="BE114" s="673">
        <v>578120.46</v>
      </c>
    </row>
    <row r="115" spans="1:57" x14ac:dyDescent="0.2">
      <c r="A115" s="390">
        <v>15</v>
      </c>
      <c r="B115" s="551" t="s">
        <v>189</v>
      </c>
      <c r="C115" t="s">
        <v>1111</v>
      </c>
      <c r="D115" s="406">
        <v>2141.4</v>
      </c>
      <c r="E115" s="560">
        <v>6591</v>
      </c>
      <c r="F115" s="561">
        <v>541.69000000000005</v>
      </c>
      <c r="G115" s="561">
        <v>60.7</v>
      </c>
      <c r="H115" s="561">
        <v>67.73</v>
      </c>
      <c r="I115" s="561">
        <v>319.72000000000003</v>
      </c>
      <c r="J115" s="561">
        <v>81.36</v>
      </c>
      <c r="K115" s="561">
        <v>127.67</v>
      </c>
      <c r="L115" s="561">
        <v>89.050000000000011</v>
      </c>
      <c r="M115" s="343">
        <v>0</v>
      </c>
      <c r="N115" s="477">
        <v>15.81</v>
      </c>
      <c r="O115" s="477">
        <v>10.733000000000001</v>
      </c>
      <c r="P115" s="407">
        <v>1.98</v>
      </c>
      <c r="Q115" s="477">
        <v>0</v>
      </c>
      <c r="R115" s="483">
        <v>14587860</v>
      </c>
      <c r="S115" s="483">
        <v>1198922</v>
      </c>
      <c r="T115" s="483">
        <v>134347</v>
      </c>
      <c r="U115" s="483">
        <v>149907</v>
      </c>
      <c r="V115" s="483">
        <v>707636</v>
      </c>
      <c r="W115" s="483">
        <v>722921</v>
      </c>
      <c r="X115" s="483">
        <v>0</v>
      </c>
      <c r="Y115" s="483">
        <v>254</v>
      </c>
      <c r="Z115" s="406">
        <v>2.8</v>
      </c>
      <c r="AA115" s="483">
        <v>72418</v>
      </c>
      <c r="AB115" s="483">
        <v>7856</v>
      </c>
      <c r="AC115" s="385">
        <v>42202</v>
      </c>
      <c r="AD115" s="545">
        <v>5.4</v>
      </c>
      <c r="AE115" s="483">
        <v>100271</v>
      </c>
      <c r="AF115" s="483">
        <v>99824</v>
      </c>
      <c r="AG115" s="481">
        <v>78874</v>
      </c>
      <c r="AH115" s="481">
        <v>74768</v>
      </c>
      <c r="AI115">
        <v>35</v>
      </c>
      <c r="AJ115" s="385">
        <v>596695955</v>
      </c>
      <c r="AK115" s="385">
        <v>27104</v>
      </c>
      <c r="AL115" s="385">
        <v>0</v>
      </c>
      <c r="AM115" s="287">
        <v>0</v>
      </c>
      <c r="AN115" s="542">
        <v>330000</v>
      </c>
      <c r="AO115" s="549">
        <v>0.17</v>
      </c>
      <c r="AP115" s="385">
        <v>90908</v>
      </c>
      <c r="AQ115" s="385">
        <v>90502</v>
      </c>
      <c r="AR115" s="481">
        <v>71508</v>
      </c>
      <c r="AS115" s="481">
        <v>69383</v>
      </c>
      <c r="AT115" s="617"/>
      <c r="AU115" s="618">
        <v>0</v>
      </c>
      <c r="AV115" s="618">
        <v>95831</v>
      </c>
      <c r="AW115" s="620"/>
      <c r="AX115" s="620"/>
      <c r="AY115" s="625"/>
      <c r="AZ115" s="626"/>
      <c r="BA115" s="620"/>
      <c r="BB115" s="673">
        <v>3760985</v>
      </c>
      <c r="BC115" s="781">
        <v>0.05</v>
      </c>
      <c r="BD115" s="790">
        <v>56</v>
      </c>
      <c r="BE115" s="673">
        <v>193771.16</v>
      </c>
    </row>
    <row r="116" spans="1:57" x14ac:dyDescent="0.2">
      <c r="A116" s="390">
        <v>13</v>
      </c>
      <c r="B116" s="551" t="s">
        <v>190</v>
      </c>
      <c r="C116" t="s">
        <v>1112</v>
      </c>
      <c r="D116" s="406">
        <v>456</v>
      </c>
      <c r="E116" s="560">
        <v>6591</v>
      </c>
      <c r="F116" s="561">
        <v>569.13</v>
      </c>
      <c r="G116" s="561">
        <v>55.11</v>
      </c>
      <c r="H116" s="561">
        <v>73.330000000000013</v>
      </c>
      <c r="I116" s="561">
        <v>319.72000000000003</v>
      </c>
      <c r="J116" s="561">
        <v>26.64</v>
      </c>
      <c r="K116" s="561">
        <v>8.4700000000000006</v>
      </c>
      <c r="L116" s="561">
        <v>19.18</v>
      </c>
      <c r="M116" s="343">
        <v>0</v>
      </c>
      <c r="N116" s="477">
        <v>28.759999999999998</v>
      </c>
      <c r="O116" s="477">
        <v>1.8140000000000001</v>
      </c>
      <c r="P116" s="407">
        <v>0.44</v>
      </c>
      <c r="Q116" s="477">
        <v>0</v>
      </c>
      <c r="R116" s="483">
        <v>3084588</v>
      </c>
      <c r="S116" s="483">
        <v>266353</v>
      </c>
      <c r="T116" s="483">
        <v>25791</v>
      </c>
      <c r="U116" s="483">
        <v>34318</v>
      </c>
      <c r="V116" s="483">
        <v>149629</v>
      </c>
      <c r="W116" s="483">
        <v>150326</v>
      </c>
      <c r="X116" s="483">
        <v>0</v>
      </c>
      <c r="Y116" s="483">
        <v>1</v>
      </c>
      <c r="Z116" s="406">
        <v>0</v>
      </c>
      <c r="AA116" s="483">
        <v>15435</v>
      </c>
      <c r="AB116" s="483">
        <v>1645</v>
      </c>
      <c r="AC116" s="385">
        <v>7061</v>
      </c>
      <c r="AD116" s="545">
        <v>5.4</v>
      </c>
      <c r="AE116" s="483">
        <v>38031</v>
      </c>
      <c r="AF116" s="483">
        <v>39111</v>
      </c>
      <c r="AG116" s="481">
        <v>3272</v>
      </c>
      <c r="AH116" s="481">
        <v>3272</v>
      </c>
      <c r="AI116">
        <v>14.5</v>
      </c>
      <c r="AJ116" s="385">
        <v>177997960</v>
      </c>
      <c r="AK116" s="385">
        <v>0</v>
      </c>
      <c r="AL116" s="385">
        <v>0</v>
      </c>
      <c r="AM116" s="287">
        <v>0</v>
      </c>
      <c r="AN116" s="542">
        <v>330000</v>
      </c>
      <c r="AO116" s="549">
        <v>0.17</v>
      </c>
      <c r="AP116" s="385">
        <v>21897</v>
      </c>
      <c r="AQ116" s="385">
        <v>22519</v>
      </c>
      <c r="AR116" s="481">
        <v>1924</v>
      </c>
      <c r="AS116" s="481">
        <v>1890</v>
      </c>
      <c r="AT116" s="617"/>
      <c r="AU116" s="618">
        <v>0</v>
      </c>
      <c r="AV116" s="618">
        <v>0</v>
      </c>
      <c r="AW116" s="620"/>
      <c r="AX116" s="620"/>
      <c r="AY116" s="625"/>
      <c r="AZ116" s="626"/>
      <c r="BA116" s="620"/>
      <c r="BB116" s="673">
        <v>0</v>
      </c>
      <c r="BC116" s="781">
        <v>3.7999999999999999E-2</v>
      </c>
      <c r="BD116" s="790">
        <v>36</v>
      </c>
      <c r="BE116" s="673">
        <v>7206.9400000000005</v>
      </c>
    </row>
    <row r="117" spans="1:57" x14ac:dyDescent="0.2">
      <c r="A117" s="390">
        <v>12</v>
      </c>
      <c r="B117" s="551" t="s">
        <v>191</v>
      </c>
      <c r="C117" t="s">
        <v>1113</v>
      </c>
      <c r="D117" s="406">
        <v>427</v>
      </c>
      <c r="E117" s="560">
        <v>6622</v>
      </c>
      <c r="F117" s="561">
        <v>615.85</v>
      </c>
      <c r="G117" s="561">
        <v>63.9</v>
      </c>
      <c r="H117" s="561">
        <v>66.64</v>
      </c>
      <c r="I117" s="561">
        <v>319.72000000000003</v>
      </c>
      <c r="J117" s="561">
        <v>13.68</v>
      </c>
      <c r="K117" s="561">
        <v>3.63</v>
      </c>
      <c r="L117" s="561">
        <v>16.440000000000001</v>
      </c>
      <c r="M117" s="343">
        <v>0</v>
      </c>
      <c r="N117" s="477">
        <v>22.23</v>
      </c>
      <c r="O117" s="477">
        <v>1.8109999999999999</v>
      </c>
      <c r="P117" s="407">
        <v>0.44</v>
      </c>
      <c r="Q117" s="477">
        <v>0</v>
      </c>
      <c r="R117" s="483">
        <v>2953412</v>
      </c>
      <c r="S117" s="483">
        <v>274669</v>
      </c>
      <c r="T117" s="483">
        <v>28499</v>
      </c>
      <c r="U117" s="483">
        <v>29721</v>
      </c>
      <c r="V117" s="483">
        <v>142595</v>
      </c>
      <c r="W117" s="483">
        <v>141869</v>
      </c>
      <c r="X117" s="483">
        <v>977</v>
      </c>
      <c r="Y117" s="483">
        <v>4</v>
      </c>
      <c r="Z117" s="406">
        <v>0</v>
      </c>
      <c r="AA117" s="483">
        <v>14253</v>
      </c>
      <c r="AB117" s="483">
        <v>1704</v>
      </c>
      <c r="AC117" s="385">
        <v>8524</v>
      </c>
      <c r="AD117" s="545">
        <v>5.4</v>
      </c>
      <c r="AE117" s="483">
        <v>59105</v>
      </c>
      <c r="AF117" s="483">
        <v>43487</v>
      </c>
      <c r="AG117" s="481">
        <v>20189</v>
      </c>
      <c r="AH117" s="481">
        <v>19804</v>
      </c>
      <c r="AI117">
        <v>11</v>
      </c>
      <c r="AJ117" s="385">
        <v>227996103</v>
      </c>
      <c r="AK117" s="385">
        <v>0</v>
      </c>
      <c r="AL117" s="385">
        <v>0</v>
      </c>
      <c r="AM117" s="287">
        <v>0</v>
      </c>
      <c r="AN117" s="542">
        <v>330000</v>
      </c>
      <c r="AO117" s="549">
        <v>0.17</v>
      </c>
      <c r="AP117" s="385">
        <v>25448</v>
      </c>
      <c r="AQ117" s="385">
        <v>18724</v>
      </c>
      <c r="AR117" s="481">
        <v>8693</v>
      </c>
      <c r="AS117" s="481">
        <v>8666</v>
      </c>
      <c r="AT117" s="617"/>
      <c r="AU117" s="618">
        <v>254227</v>
      </c>
      <c r="AV117" s="618">
        <v>0</v>
      </c>
      <c r="AW117" s="620"/>
      <c r="AX117" s="620"/>
      <c r="AY117" s="625"/>
      <c r="AZ117" s="626"/>
      <c r="BA117" s="620"/>
      <c r="BB117" s="673">
        <v>149958</v>
      </c>
      <c r="BC117" s="781">
        <v>2.5000000000000001E-2</v>
      </c>
      <c r="BD117" s="790">
        <v>47</v>
      </c>
      <c r="BE117" s="673">
        <v>46254.64</v>
      </c>
    </row>
    <row r="118" spans="1:57" x14ac:dyDescent="0.2">
      <c r="A118" s="390">
        <v>7</v>
      </c>
      <c r="B118" s="551" t="s">
        <v>192</v>
      </c>
      <c r="C118" t="s">
        <v>1747</v>
      </c>
      <c r="D118" s="406">
        <v>879.2</v>
      </c>
      <c r="E118" s="560">
        <v>6618</v>
      </c>
      <c r="F118" s="561">
        <v>603.54999999999995</v>
      </c>
      <c r="G118" s="561">
        <v>66.97</v>
      </c>
      <c r="H118" s="561">
        <v>69.34</v>
      </c>
      <c r="I118" s="561">
        <v>319.72000000000003</v>
      </c>
      <c r="J118" s="561">
        <v>26.64</v>
      </c>
      <c r="K118" s="561">
        <v>21.78</v>
      </c>
      <c r="L118" s="561">
        <v>26.03</v>
      </c>
      <c r="M118" s="343">
        <v>0</v>
      </c>
      <c r="N118" s="477">
        <v>7.1400000000000006</v>
      </c>
      <c r="O118" s="477">
        <v>3.516</v>
      </c>
      <c r="P118" s="407">
        <v>0.22</v>
      </c>
      <c r="Q118" s="477">
        <v>0</v>
      </c>
      <c r="R118" s="483">
        <v>5960171</v>
      </c>
      <c r="S118" s="483">
        <v>543557</v>
      </c>
      <c r="T118" s="483">
        <v>60313</v>
      </c>
      <c r="U118" s="483">
        <v>62448</v>
      </c>
      <c r="V118" s="483">
        <v>287940</v>
      </c>
      <c r="W118" s="483">
        <v>288670</v>
      </c>
      <c r="X118" s="483">
        <v>47480</v>
      </c>
      <c r="Y118" s="483">
        <v>5</v>
      </c>
      <c r="Z118" s="406">
        <v>0</v>
      </c>
      <c r="AA118" s="483">
        <v>36603</v>
      </c>
      <c r="AB118" s="483">
        <v>4206</v>
      </c>
      <c r="AC118" s="385">
        <v>16764</v>
      </c>
      <c r="AD118" s="545">
        <v>5.15</v>
      </c>
      <c r="AE118" s="483">
        <v>55618</v>
      </c>
      <c r="AF118" s="483">
        <v>55622</v>
      </c>
      <c r="AG118" s="481">
        <v>33735</v>
      </c>
      <c r="AH118" s="481">
        <v>26992</v>
      </c>
      <c r="AI118">
        <v>23.5</v>
      </c>
      <c r="AJ118" s="385">
        <v>493250280</v>
      </c>
      <c r="AK118" s="385">
        <v>17798</v>
      </c>
      <c r="AL118" s="385">
        <v>0</v>
      </c>
      <c r="AM118" s="287">
        <v>0</v>
      </c>
      <c r="AN118" s="542">
        <v>330000</v>
      </c>
      <c r="AO118" s="549">
        <v>0.17</v>
      </c>
      <c r="AP118" s="385">
        <v>31947</v>
      </c>
      <c r="AQ118" s="385">
        <v>31950</v>
      </c>
      <c r="AR118" s="481">
        <v>31433</v>
      </c>
      <c r="AS118" s="481">
        <v>15867</v>
      </c>
      <c r="AT118" s="617"/>
      <c r="AU118" s="618">
        <v>369652</v>
      </c>
      <c r="AV118" s="618">
        <v>280746</v>
      </c>
      <c r="AW118" s="620"/>
      <c r="AX118" s="620"/>
      <c r="AY118" s="625"/>
      <c r="AZ118" s="626"/>
      <c r="BA118" s="620"/>
      <c r="BB118" s="673">
        <v>1559810</v>
      </c>
      <c r="BC118" s="781">
        <v>0.05</v>
      </c>
      <c r="BD118" s="790">
        <v>41</v>
      </c>
      <c r="BE118" s="673">
        <v>68945.08</v>
      </c>
    </row>
    <row r="119" spans="1:57" x14ac:dyDescent="0.2">
      <c r="A119" s="390">
        <v>12</v>
      </c>
      <c r="B119" s="551" t="s">
        <v>193</v>
      </c>
      <c r="C119" t="s">
        <v>1002</v>
      </c>
      <c r="D119" s="406">
        <v>459</v>
      </c>
      <c r="E119" s="560">
        <v>6591</v>
      </c>
      <c r="F119" s="561">
        <v>592.5</v>
      </c>
      <c r="G119" s="561">
        <v>65.850000000000009</v>
      </c>
      <c r="H119" s="561">
        <v>66.960000000000008</v>
      </c>
      <c r="I119" s="561">
        <v>319.72000000000003</v>
      </c>
      <c r="J119" s="561">
        <v>24.48</v>
      </c>
      <c r="K119" s="561">
        <v>10.89</v>
      </c>
      <c r="L119" s="561">
        <v>9.59</v>
      </c>
      <c r="M119" s="343">
        <v>0</v>
      </c>
      <c r="N119" s="477">
        <v>1.33</v>
      </c>
      <c r="O119" s="477">
        <v>2.1179999999999999</v>
      </c>
      <c r="P119" s="407">
        <v>2.64</v>
      </c>
      <c r="Q119" s="477">
        <v>0</v>
      </c>
      <c r="R119" s="483">
        <v>3051633</v>
      </c>
      <c r="S119" s="483">
        <v>274328</v>
      </c>
      <c r="T119" s="483">
        <v>30489</v>
      </c>
      <c r="U119" s="483">
        <v>31002</v>
      </c>
      <c r="V119" s="483">
        <v>148030</v>
      </c>
      <c r="W119" s="483">
        <v>151464</v>
      </c>
      <c r="X119" s="483">
        <v>0</v>
      </c>
      <c r="Y119" s="483">
        <v>2</v>
      </c>
      <c r="Z119" s="406">
        <v>0</v>
      </c>
      <c r="AA119" s="483">
        <v>15217</v>
      </c>
      <c r="AB119" s="483">
        <v>1820</v>
      </c>
      <c r="AC119" s="385">
        <v>8138</v>
      </c>
      <c r="AD119" s="545">
        <v>5.4</v>
      </c>
      <c r="AE119" s="483">
        <v>17267</v>
      </c>
      <c r="AF119" s="483">
        <v>17349</v>
      </c>
      <c r="AG119" s="481">
        <v>6464</v>
      </c>
      <c r="AH119" s="481">
        <v>5575</v>
      </c>
      <c r="AI119">
        <v>11</v>
      </c>
      <c r="AJ119" s="385">
        <v>227879261</v>
      </c>
      <c r="AK119" s="385">
        <v>17670</v>
      </c>
      <c r="AL119" s="385">
        <v>0</v>
      </c>
      <c r="AM119" s="287">
        <v>0</v>
      </c>
      <c r="AN119" s="542">
        <v>330000</v>
      </c>
      <c r="AO119" s="549">
        <v>0.17</v>
      </c>
      <c r="AP119" s="385">
        <v>8496</v>
      </c>
      <c r="AQ119" s="385">
        <v>8537</v>
      </c>
      <c r="AR119" s="481">
        <v>3181</v>
      </c>
      <c r="AS119" s="481">
        <v>2757</v>
      </c>
      <c r="AT119" s="617"/>
      <c r="AU119" s="618">
        <v>0</v>
      </c>
      <c r="AV119" s="618">
        <v>0</v>
      </c>
      <c r="AW119" s="620"/>
      <c r="AX119" s="620"/>
      <c r="AY119" s="625"/>
      <c r="AZ119" s="626"/>
      <c r="BA119" s="620"/>
      <c r="BB119" s="673">
        <v>61817</v>
      </c>
      <c r="BC119" s="781">
        <v>0.05</v>
      </c>
      <c r="BD119" s="790">
        <v>60</v>
      </c>
      <c r="BE119" s="673">
        <v>14522.03</v>
      </c>
    </row>
    <row r="120" spans="1:57" x14ac:dyDescent="0.2">
      <c r="A120" s="390">
        <v>11</v>
      </c>
      <c r="B120" s="551" t="s">
        <v>194</v>
      </c>
      <c r="C120" t="s">
        <v>1114</v>
      </c>
      <c r="D120" s="406">
        <v>1425.2</v>
      </c>
      <c r="E120" s="560">
        <v>6591</v>
      </c>
      <c r="F120" s="561">
        <v>537.15</v>
      </c>
      <c r="G120" s="561">
        <v>59.52</v>
      </c>
      <c r="H120" s="561">
        <v>51.51</v>
      </c>
      <c r="I120" s="561">
        <v>319.72000000000003</v>
      </c>
      <c r="J120" s="561">
        <v>43.92</v>
      </c>
      <c r="K120" s="561">
        <v>26.62</v>
      </c>
      <c r="L120" s="561">
        <v>23.290000000000003</v>
      </c>
      <c r="M120" s="343">
        <v>0</v>
      </c>
      <c r="N120" s="477">
        <v>6.37</v>
      </c>
      <c r="O120" s="477">
        <v>3.6850000000000001</v>
      </c>
      <c r="P120" s="407">
        <v>6.16</v>
      </c>
      <c r="Q120" s="477">
        <v>0</v>
      </c>
      <c r="R120" s="483">
        <v>9168081</v>
      </c>
      <c r="S120" s="483">
        <v>747176</v>
      </c>
      <c r="T120" s="483">
        <v>82792</v>
      </c>
      <c r="U120" s="483">
        <v>71650</v>
      </c>
      <c r="V120" s="483">
        <v>444731</v>
      </c>
      <c r="W120" s="483">
        <v>415884</v>
      </c>
      <c r="X120" s="483">
        <v>0</v>
      </c>
      <c r="Y120" s="483">
        <v>53</v>
      </c>
      <c r="Z120" s="406">
        <v>0</v>
      </c>
      <c r="AA120" s="483">
        <v>34268</v>
      </c>
      <c r="AB120" s="483">
        <v>4355</v>
      </c>
      <c r="AC120" s="385">
        <v>12768</v>
      </c>
      <c r="AD120" s="545">
        <v>5.4</v>
      </c>
      <c r="AE120" s="483">
        <v>9233</v>
      </c>
      <c r="AF120" s="483">
        <v>9252</v>
      </c>
      <c r="AG120" s="481">
        <v>25751</v>
      </c>
      <c r="AH120" s="481">
        <v>25814</v>
      </c>
      <c r="AI120">
        <v>31.5</v>
      </c>
      <c r="AJ120" s="385">
        <v>461694514</v>
      </c>
      <c r="AK120" s="385">
        <v>1681</v>
      </c>
      <c r="AL120" s="385">
        <v>0</v>
      </c>
      <c r="AM120" s="287">
        <v>0</v>
      </c>
      <c r="AN120" s="542">
        <v>330000</v>
      </c>
      <c r="AO120" s="549">
        <v>0.17</v>
      </c>
      <c r="AP120" s="385">
        <v>5636</v>
      </c>
      <c r="AQ120" s="385">
        <v>5648</v>
      </c>
      <c r="AR120" s="481">
        <v>15720</v>
      </c>
      <c r="AS120" s="481">
        <v>15903</v>
      </c>
      <c r="AT120" s="617"/>
      <c r="AU120" s="618">
        <v>0</v>
      </c>
      <c r="AV120" s="618">
        <v>0</v>
      </c>
      <c r="AW120" s="620"/>
      <c r="AX120" s="620"/>
      <c r="AY120" s="625"/>
      <c r="AZ120" s="626"/>
      <c r="BA120" s="620"/>
      <c r="BB120" s="673">
        <v>2643070</v>
      </c>
      <c r="BC120" s="781">
        <v>0.03</v>
      </c>
      <c r="BD120" s="790">
        <v>85</v>
      </c>
      <c r="BE120" s="673">
        <v>90233.43</v>
      </c>
    </row>
    <row r="121" spans="1:57" x14ac:dyDescent="0.2">
      <c r="A121" s="390">
        <v>5</v>
      </c>
      <c r="B121" s="551" t="s">
        <v>195</v>
      </c>
      <c r="C121" t="s">
        <v>1115</v>
      </c>
      <c r="D121" s="406">
        <v>118</v>
      </c>
      <c r="E121" s="560">
        <v>6758</v>
      </c>
      <c r="F121" s="561">
        <v>642.47</v>
      </c>
      <c r="G121" s="561">
        <v>75.92</v>
      </c>
      <c r="H121" s="561">
        <v>51.449999999999996</v>
      </c>
      <c r="I121" s="561">
        <v>319.72000000000003</v>
      </c>
      <c r="J121" s="561">
        <v>10.799999999999999</v>
      </c>
      <c r="K121" s="561">
        <v>1.21</v>
      </c>
      <c r="L121" s="561">
        <v>10.96</v>
      </c>
      <c r="M121" s="343">
        <v>0.41</v>
      </c>
      <c r="N121" s="477">
        <v>17.66</v>
      </c>
      <c r="O121" s="477">
        <v>0.77700000000000002</v>
      </c>
      <c r="P121" s="407">
        <v>0</v>
      </c>
      <c r="Q121" s="477">
        <v>0</v>
      </c>
      <c r="R121" s="483">
        <v>736622</v>
      </c>
      <c r="S121" s="483">
        <v>70029</v>
      </c>
      <c r="T121" s="483">
        <v>8275</v>
      </c>
      <c r="U121" s="483">
        <v>5608</v>
      </c>
      <c r="V121" s="483">
        <v>34849</v>
      </c>
      <c r="W121" s="483">
        <v>37027</v>
      </c>
      <c r="X121" s="483">
        <v>21032</v>
      </c>
      <c r="Y121" s="483">
        <v>9</v>
      </c>
      <c r="Z121" s="406">
        <v>0</v>
      </c>
      <c r="AA121" s="483">
        <v>3940</v>
      </c>
      <c r="AB121" s="483">
        <v>469</v>
      </c>
      <c r="AC121" s="385">
        <v>3738</v>
      </c>
      <c r="AD121" s="545">
        <v>5.4</v>
      </c>
      <c r="AE121" s="483">
        <v>10406</v>
      </c>
      <c r="AF121" s="483">
        <v>10680</v>
      </c>
      <c r="AG121" s="481">
        <v>7554</v>
      </c>
      <c r="AH121" s="481">
        <v>7554</v>
      </c>
      <c r="AI121">
        <v>7.5</v>
      </c>
      <c r="AJ121" s="385">
        <v>95632193</v>
      </c>
      <c r="AK121" s="385">
        <v>26316</v>
      </c>
      <c r="AL121" s="385">
        <v>0</v>
      </c>
      <c r="AM121" s="287">
        <v>0</v>
      </c>
      <c r="AN121" s="542">
        <v>330000</v>
      </c>
      <c r="AO121" s="549">
        <v>0.17</v>
      </c>
      <c r="AP121" s="385">
        <v>3271</v>
      </c>
      <c r="AQ121" s="385">
        <v>3357</v>
      </c>
      <c r="AR121" s="481">
        <v>2374</v>
      </c>
      <c r="AS121" s="481">
        <v>2407</v>
      </c>
      <c r="AT121" s="617"/>
      <c r="AU121" s="618">
        <v>38035</v>
      </c>
      <c r="AV121" s="618">
        <v>0</v>
      </c>
      <c r="AW121" s="620"/>
      <c r="AX121" s="620"/>
      <c r="AY121" s="625"/>
      <c r="AZ121" s="626"/>
      <c r="BA121" s="620"/>
      <c r="BB121" s="673">
        <v>0</v>
      </c>
      <c r="BC121" s="781">
        <v>2.5000000000000001E-2</v>
      </c>
      <c r="BD121" s="790">
        <v>46</v>
      </c>
      <c r="BE121" s="673">
        <v>11803.61</v>
      </c>
    </row>
    <row r="122" spans="1:57" x14ac:dyDescent="0.2">
      <c r="A122" s="390">
        <v>7</v>
      </c>
      <c r="B122" s="551" t="s">
        <v>196</v>
      </c>
      <c r="C122" t="s">
        <v>1116</v>
      </c>
      <c r="D122" s="406">
        <v>569.4</v>
      </c>
      <c r="E122" s="560">
        <v>6691</v>
      </c>
      <c r="F122" s="561">
        <v>617.63</v>
      </c>
      <c r="G122" s="561">
        <v>63.52</v>
      </c>
      <c r="H122" s="561">
        <v>53.9</v>
      </c>
      <c r="I122" s="561">
        <v>319.72000000000003</v>
      </c>
      <c r="J122" s="561">
        <v>33.839999999999996</v>
      </c>
      <c r="K122" s="561">
        <v>28.439999999999998</v>
      </c>
      <c r="L122" s="561">
        <v>19.18</v>
      </c>
      <c r="M122" s="343">
        <v>0</v>
      </c>
      <c r="N122" s="477">
        <v>29.32</v>
      </c>
      <c r="O122" s="477">
        <v>2.65</v>
      </c>
      <c r="P122" s="407">
        <v>0</v>
      </c>
      <c r="Q122" s="477">
        <v>0</v>
      </c>
      <c r="R122" s="483">
        <v>3928286</v>
      </c>
      <c r="S122" s="483">
        <v>362611</v>
      </c>
      <c r="T122" s="483">
        <v>37293</v>
      </c>
      <c r="U122" s="483">
        <v>31645</v>
      </c>
      <c r="V122" s="483">
        <v>187708</v>
      </c>
      <c r="W122" s="483">
        <v>194750</v>
      </c>
      <c r="X122" s="483">
        <v>13865</v>
      </c>
      <c r="Y122" s="483">
        <v>0</v>
      </c>
      <c r="Z122" s="406">
        <v>0</v>
      </c>
      <c r="AA122" s="483">
        <v>24694</v>
      </c>
      <c r="AB122" s="483">
        <v>2838</v>
      </c>
      <c r="AC122" s="385">
        <v>12639</v>
      </c>
      <c r="AD122" s="545">
        <v>5.4</v>
      </c>
      <c r="AE122" s="483">
        <v>37622</v>
      </c>
      <c r="AF122" s="483">
        <v>38220</v>
      </c>
      <c r="AG122" s="481">
        <v>14975</v>
      </c>
      <c r="AH122" s="481">
        <v>12515</v>
      </c>
      <c r="AI122">
        <v>16.5</v>
      </c>
      <c r="AJ122" s="385">
        <v>278486002</v>
      </c>
      <c r="AK122" s="385">
        <v>105412</v>
      </c>
      <c r="AL122" s="385">
        <v>0</v>
      </c>
      <c r="AM122" s="287">
        <v>0</v>
      </c>
      <c r="AN122" s="542">
        <v>330000</v>
      </c>
      <c r="AO122" s="549">
        <v>0.17</v>
      </c>
      <c r="AP122" s="385">
        <v>17463</v>
      </c>
      <c r="AQ122" s="385">
        <v>17741</v>
      </c>
      <c r="AR122" s="481">
        <v>6951</v>
      </c>
      <c r="AS122" s="481">
        <v>5865</v>
      </c>
      <c r="AT122" s="617"/>
      <c r="AU122" s="618">
        <v>45759</v>
      </c>
      <c r="AV122" s="618">
        <v>0</v>
      </c>
      <c r="AW122" s="620"/>
      <c r="AX122" s="620"/>
      <c r="AY122" s="625"/>
      <c r="AZ122" s="626"/>
      <c r="BA122" s="620"/>
      <c r="BB122" s="673">
        <v>0</v>
      </c>
      <c r="BC122" s="781">
        <v>3.7999999999999999E-2</v>
      </c>
      <c r="BD122" s="790">
        <v>86</v>
      </c>
      <c r="BE122" s="673">
        <v>30879.42</v>
      </c>
    </row>
    <row r="123" spans="1:57" x14ac:dyDescent="0.2">
      <c r="A123" s="390">
        <v>13</v>
      </c>
      <c r="B123" s="551" t="s">
        <v>197</v>
      </c>
      <c r="C123" t="s">
        <v>1117</v>
      </c>
      <c r="D123" s="406">
        <v>1956.7</v>
      </c>
      <c r="E123" s="560">
        <v>6591</v>
      </c>
      <c r="F123" s="561">
        <v>543.62</v>
      </c>
      <c r="G123" s="561">
        <v>58.77</v>
      </c>
      <c r="H123" s="561">
        <v>67.300000000000011</v>
      </c>
      <c r="I123" s="561">
        <v>319.72000000000003</v>
      </c>
      <c r="J123" s="561">
        <v>101.52</v>
      </c>
      <c r="K123" s="561">
        <v>36.299999999999997</v>
      </c>
      <c r="L123" s="561">
        <v>69.87</v>
      </c>
      <c r="M123" s="343">
        <v>0</v>
      </c>
      <c r="N123" s="477">
        <v>6.1</v>
      </c>
      <c r="O123" s="477">
        <v>9.1170000000000009</v>
      </c>
      <c r="P123" s="407">
        <v>0.66</v>
      </c>
      <c r="Q123" s="477">
        <v>0</v>
      </c>
      <c r="R123" s="483">
        <v>13175409</v>
      </c>
      <c r="S123" s="483">
        <v>1086696</v>
      </c>
      <c r="T123" s="483">
        <v>117481</v>
      </c>
      <c r="U123" s="483">
        <v>134533</v>
      </c>
      <c r="V123" s="483">
        <v>639120</v>
      </c>
      <c r="W123" s="483">
        <v>639853</v>
      </c>
      <c r="X123" s="483">
        <v>0</v>
      </c>
      <c r="Y123" s="483">
        <v>23</v>
      </c>
      <c r="Z123" s="406">
        <v>0</v>
      </c>
      <c r="AA123" s="483">
        <v>65699</v>
      </c>
      <c r="AB123" s="483">
        <v>7001</v>
      </c>
      <c r="AC123" s="385">
        <v>29751</v>
      </c>
      <c r="AD123" s="545">
        <v>5.4</v>
      </c>
      <c r="AE123" s="483">
        <v>59604</v>
      </c>
      <c r="AF123" s="483">
        <v>61330</v>
      </c>
      <c r="AG123" s="481">
        <v>31295</v>
      </c>
      <c r="AH123" s="481">
        <v>24862</v>
      </c>
      <c r="AI123">
        <v>31.5</v>
      </c>
      <c r="AJ123" s="385">
        <v>539136070</v>
      </c>
      <c r="AK123" s="385">
        <v>10102</v>
      </c>
      <c r="AL123" s="385">
        <v>0</v>
      </c>
      <c r="AM123" s="287">
        <v>0</v>
      </c>
      <c r="AN123" s="542">
        <v>330000</v>
      </c>
      <c r="AO123" s="549">
        <v>0.17</v>
      </c>
      <c r="AP123" s="385">
        <v>46994</v>
      </c>
      <c r="AQ123" s="385">
        <v>48355</v>
      </c>
      <c r="AR123" s="481">
        <v>24674</v>
      </c>
      <c r="AS123" s="481">
        <v>19775</v>
      </c>
      <c r="AT123" s="617"/>
      <c r="AU123" s="618">
        <v>0</v>
      </c>
      <c r="AV123" s="618">
        <v>0</v>
      </c>
      <c r="AW123" s="620"/>
      <c r="AX123" s="620"/>
      <c r="AY123" s="625"/>
      <c r="AZ123" s="626"/>
      <c r="BA123" s="620"/>
      <c r="BB123" s="673">
        <v>622415</v>
      </c>
      <c r="BC123" s="781">
        <v>0.05</v>
      </c>
      <c r="BD123" s="790">
        <v>65</v>
      </c>
      <c r="BE123" s="673">
        <v>79655.75</v>
      </c>
    </row>
    <row r="124" spans="1:57" x14ac:dyDescent="0.2">
      <c r="A124" s="390">
        <v>11</v>
      </c>
      <c r="B124" s="551" t="s">
        <v>198</v>
      </c>
      <c r="C124" t="s">
        <v>1118</v>
      </c>
      <c r="D124" s="406">
        <v>267.10000000000002</v>
      </c>
      <c r="E124" s="560">
        <v>6594</v>
      </c>
      <c r="F124" s="561">
        <v>620.03</v>
      </c>
      <c r="G124" s="561">
        <v>65.53</v>
      </c>
      <c r="H124" s="561">
        <v>66.930000000000007</v>
      </c>
      <c r="I124" s="561">
        <v>319.72000000000003</v>
      </c>
      <c r="J124" s="561">
        <v>15.84</v>
      </c>
      <c r="K124" s="561">
        <v>5.45</v>
      </c>
      <c r="L124" s="561">
        <v>5.48</v>
      </c>
      <c r="M124" s="343">
        <v>0</v>
      </c>
      <c r="N124" s="477">
        <v>20.09</v>
      </c>
      <c r="O124" s="477">
        <v>1.0680000000000001</v>
      </c>
      <c r="P124" s="407">
        <v>0</v>
      </c>
      <c r="Q124" s="477">
        <v>0</v>
      </c>
      <c r="R124" s="483">
        <v>1780380</v>
      </c>
      <c r="S124" s="483">
        <v>167408</v>
      </c>
      <c r="T124" s="483">
        <v>17693</v>
      </c>
      <c r="U124" s="483">
        <v>18071</v>
      </c>
      <c r="V124" s="483">
        <v>86324</v>
      </c>
      <c r="W124" s="483">
        <v>83555</v>
      </c>
      <c r="X124" s="483">
        <v>14475</v>
      </c>
      <c r="Y124" s="483">
        <v>15</v>
      </c>
      <c r="Z124" s="406">
        <v>0</v>
      </c>
      <c r="AA124" s="483">
        <v>6885</v>
      </c>
      <c r="AB124" s="483">
        <v>875</v>
      </c>
      <c r="AC124" s="385">
        <v>5793</v>
      </c>
      <c r="AD124" s="545">
        <v>5.4</v>
      </c>
      <c r="AE124" s="483">
        <v>13135</v>
      </c>
      <c r="AF124" s="483">
        <v>13369</v>
      </c>
      <c r="AG124" s="481">
        <v>17234</v>
      </c>
      <c r="AH124" s="481">
        <v>12045</v>
      </c>
      <c r="AI124">
        <v>14</v>
      </c>
      <c r="AJ124" s="385">
        <v>141844243</v>
      </c>
      <c r="AK124" s="385">
        <v>0</v>
      </c>
      <c r="AL124" s="385">
        <v>0</v>
      </c>
      <c r="AM124" s="287">
        <v>0</v>
      </c>
      <c r="AN124" s="542">
        <v>330000</v>
      </c>
      <c r="AO124" s="549">
        <v>0.17</v>
      </c>
      <c r="AP124" s="385">
        <v>6019</v>
      </c>
      <c r="AQ124" s="385">
        <v>6126</v>
      </c>
      <c r="AR124" s="481">
        <v>7897</v>
      </c>
      <c r="AS124" s="481">
        <v>5622</v>
      </c>
      <c r="AT124" s="617"/>
      <c r="AU124" s="618">
        <v>106784</v>
      </c>
      <c r="AV124" s="618">
        <v>17343</v>
      </c>
      <c r="AW124" s="620"/>
      <c r="AX124" s="620"/>
      <c r="AY124" s="625"/>
      <c r="AZ124" s="626"/>
      <c r="BA124" s="620"/>
      <c r="BB124" s="673">
        <v>0</v>
      </c>
      <c r="BC124" s="781">
        <v>2.8000000000000001E-2</v>
      </c>
      <c r="BD124" s="790">
        <v>14</v>
      </c>
      <c r="BE124" s="673">
        <v>32728.400000000001</v>
      </c>
    </row>
    <row r="125" spans="1:57" x14ac:dyDescent="0.2">
      <c r="A125" s="390">
        <v>7</v>
      </c>
      <c r="B125" s="551" t="s">
        <v>201</v>
      </c>
      <c r="C125" t="s">
        <v>1119</v>
      </c>
      <c r="D125" s="406">
        <v>287.3</v>
      </c>
      <c r="E125" s="560">
        <v>6591</v>
      </c>
      <c r="F125" s="561">
        <v>665.93</v>
      </c>
      <c r="G125" s="561">
        <v>78.83</v>
      </c>
      <c r="H125" s="561">
        <v>79.03</v>
      </c>
      <c r="I125" s="561">
        <v>319.72000000000003</v>
      </c>
      <c r="J125" s="561">
        <v>7.92</v>
      </c>
      <c r="K125" s="561">
        <v>7.87</v>
      </c>
      <c r="L125" s="561">
        <v>13.7</v>
      </c>
      <c r="M125" s="343">
        <v>0</v>
      </c>
      <c r="N125" s="477">
        <v>17.75</v>
      </c>
      <c r="O125" s="477">
        <v>1.3919999999999999</v>
      </c>
      <c r="P125" s="407">
        <v>0</v>
      </c>
      <c r="Q125" s="477">
        <v>0</v>
      </c>
      <c r="R125" s="483">
        <v>1972027</v>
      </c>
      <c r="S125" s="483">
        <v>199246</v>
      </c>
      <c r="T125" s="483">
        <v>23586</v>
      </c>
      <c r="U125" s="483">
        <v>23646</v>
      </c>
      <c r="V125" s="483">
        <v>95660</v>
      </c>
      <c r="W125" s="483">
        <v>97516</v>
      </c>
      <c r="X125" s="483">
        <v>7859</v>
      </c>
      <c r="Y125" s="483">
        <v>6</v>
      </c>
      <c r="Z125" s="406">
        <v>0</v>
      </c>
      <c r="AA125" s="483">
        <v>12365</v>
      </c>
      <c r="AB125" s="483">
        <v>1421</v>
      </c>
      <c r="AC125" s="385">
        <v>5682</v>
      </c>
      <c r="AD125" s="545">
        <v>5.4</v>
      </c>
      <c r="AE125" s="483">
        <v>55680</v>
      </c>
      <c r="AF125" s="483">
        <v>58054</v>
      </c>
      <c r="AG125" s="481">
        <v>12564</v>
      </c>
      <c r="AH125" s="481">
        <v>12401</v>
      </c>
      <c r="AI125">
        <v>15</v>
      </c>
      <c r="AJ125" s="385">
        <v>141894283</v>
      </c>
      <c r="AK125" s="385">
        <v>2349</v>
      </c>
      <c r="AL125" s="385">
        <v>0</v>
      </c>
      <c r="AM125" s="287">
        <v>0</v>
      </c>
      <c r="AN125" s="542">
        <v>330000</v>
      </c>
      <c r="AO125" s="549">
        <v>0.17</v>
      </c>
      <c r="AP125" s="385">
        <v>31036</v>
      </c>
      <c r="AQ125" s="385">
        <v>32359</v>
      </c>
      <c r="AR125" s="481">
        <v>7003</v>
      </c>
      <c r="AS125" s="481">
        <v>7023</v>
      </c>
      <c r="AT125" s="617"/>
      <c r="AU125" s="618">
        <v>68966</v>
      </c>
      <c r="AV125" s="618">
        <v>10408</v>
      </c>
      <c r="AW125" s="620"/>
      <c r="AX125" s="620"/>
      <c r="AY125" s="625"/>
      <c r="AZ125" s="626"/>
      <c r="BA125" s="620"/>
      <c r="BB125" s="673">
        <v>0</v>
      </c>
      <c r="BC125" s="781">
        <v>0.05</v>
      </c>
      <c r="BD125" s="790">
        <v>64</v>
      </c>
      <c r="BE125" s="673">
        <v>33792.19</v>
      </c>
    </row>
    <row r="126" spans="1:57" x14ac:dyDescent="0.2">
      <c r="A126" s="390">
        <v>5</v>
      </c>
      <c r="B126" s="551" t="s">
        <v>199</v>
      </c>
      <c r="C126" t="s">
        <v>630</v>
      </c>
      <c r="D126" s="406">
        <v>376</v>
      </c>
      <c r="E126" s="560">
        <v>6606</v>
      </c>
      <c r="F126" s="561">
        <v>603.36</v>
      </c>
      <c r="G126" s="561">
        <v>56.92</v>
      </c>
      <c r="H126" s="561">
        <v>69.92</v>
      </c>
      <c r="I126" s="561">
        <v>319.72000000000003</v>
      </c>
      <c r="J126" s="561">
        <v>16.559999999999999</v>
      </c>
      <c r="K126" s="561">
        <v>12.1</v>
      </c>
      <c r="L126" s="561">
        <v>5.48</v>
      </c>
      <c r="M126" s="343">
        <v>1.2</v>
      </c>
      <c r="N126" s="477">
        <v>27.23</v>
      </c>
      <c r="O126" s="477">
        <v>1.9670000000000001</v>
      </c>
      <c r="P126" s="407">
        <v>0</v>
      </c>
      <c r="Q126" s="477">
        <v>0</v>
      </c>
      <c r="R126" s="483">
        <v>2345130</v>
      </c>
      <c r="S126" s="483">
        <v>214193</v>
      </c>
      <c r="T126" s="483">
        <v>20207</v>
      </c>
      <c r="U126" s="483">
        <v>24822</v>
      </c>
      <c r="V126" s="483">
        <v>113501</v>
      </c>
      <c r="W126" s="483">
        <v>118399</v>
      </c>
      <c r="X126" s="483">
        <v>4714</v>
      </c>
      <c r="Y126" s="483">
        <v>10</v>
      </c>
      <c r="Z126" s="406">
        <v>0</v>
      </c>
      <c r="AA126" s="483">
        <v>12599</v>
      </c>
      <c r="AB126" s="483">
        <v>1501</v>
      </c>
      <c r="AC126" s="385">
        <v>7847</v>
      </c>
      <c r="AD126" s="545">
        <v>5.4</v>
      </c>
      <c r="AE126" s="483">
        <v>16254</v>
      </c>
      <c r="AF126" s="483">
        <v>16591</v>
      </c>
      <c r="AG126" s="481">
        <v>8894</v>
      </c>
      <c r="AH126" s="481">
        <v>8046</v>
      </c>
      <c r="AI126">
        <v>10</v>
      </c>
      <c r="AJ126" s="385">
        <v>223480008</v>
      </c>
      <c r="AK126" s="385">
        <v>6948</v>
      </c>
      <c r="AL126" s="385">
        <v>0</v>
      </c>
      <c r="AM126" s="287">
        <v>0</v>
      </c>
      <c r="AN126" s="542">
        <v>330000</v>
      </c>
      <c r="AO126" s="549">
        <v>0.17</v>
      </c>
      <c r="AP126" s="385">
        <v>6354</v>
      </c>
      <c r="AQ126" s="385">
        <v>6486</v>
      </c>
      <c r="AR126" s="481">
        <v>3477</v>
      </c>
      <c r="AS126" s="481">
        <v>3167</v>
      </c>
      <c r="AT126" s="617"/>
      <c r="AU126" s="618">
        <v>0</v>
      </c>
      <c r="AV126" s="618">
        <v>43243</v>
      </c>
      <c r="AW126" s="620"/>
      <c r="AX126" s="620"/>
      <c r="AY126" s="625"/>
      <c r="AZ126" s="626"/>
      <c r="BA126" s="620"/>
      <c r="BB126" s="673">
        <v>706201</v>
      </c>
      <c r="BC126" s="781">
        <v>0.05</v>
      </c>
      <c r="BD126" s="790">
        <v>74</v>
      </c>
      <c r="BE126" s="673">
        <v>19057.41</v>
      </c>
    </row>
    <row r="127" spans="1:57" x14ac:dyDescent="0.2">
      <c r="A127" s="390">
        <v>5</v>
      </c>
      <c r="B127" s="551" t="s">
        <v>227</v>
      </c>
      <c r="C127" t="s">
        <v>1638</v>
      </c>
      <c r="D127" s="406">
        <v>1248.4000000000001</v>
      </c>
      <c r="E127" s="560">
        <v>6665</v>
      </c>
      <c r="F127" s="561">
        <v>577.72</v>
      </c>
      <c r="G127" s="561">
        <v>65.73</v>
      </c>
      <c r="H127" s="561">
        <v>71.17</v>
      </c>
      <c r="I127" s="561">
        <v>319.72000000000003</v>
      </c>
      <c r="J127" s="561">
        <v>54.72</v>
      </c>
      <c r="K127" s="561">
        <v>37.51</v>
      </c>
      <c r="L127" s="561">
        <v>84.94</v>
      </c>
      <c r="M127" s="343">
        <v>4.18</v>
      </c>
      <c r="N127" s="477">
        <v>15.19</v>
      </c>
      <c r="O127" s="477">
        <v>6.53</v>
      </c>
      <c r="P127" s="407">
        <v>1.32</v>
      </c>
      <c r="Q127" s="477">
        <v>20.9</v>
      </c>
      <c r="R127" s="483">
        <v>8656502</v>
      </c>
      <c r="S127" s="483">
        <v>750343</v>
      </c>
      <c r="T127" s="483">
        <v>85370</v>
      </c>
      <c r="U127" s="483">
        <v>92436</v>
      </c>
      <c r="V127" s="483">
        <v>415252</v>
      </c>
      <c r="W127" s="483">
        <v>437922</v>
      </c>
      <c r="X127" s="483">
        <v>0</v>
      </c>
      <c r="Y127" s="483">
        <v>0</v>
      </c>
      <c r="Z127" s="406">
        <v>0</v>
      </c>
      <c r="AA127" s="483">
        <v>46599</v>
      </c>
      <c r="AB127" s="483">
        <v>5553</v>
      </c>
      <c r="AC127" s="385">
        <v>27014</v>
      </c>
      <c r="AD127" s="545">
        <v>5.4</v>
      </c>
      <c r="AE127" s="483">
        <v>109114</v>
      </c>
      <c r="AF127" s="483">
        <v>111406</v>
      </c>
      <c r="AG127" s="481">
        <v>42951</v>
      </c>
      <c r="AH127" s="481">
        <v>39772</v>
      </c>
      <c r="AI127">
        <v>37.5</v>
      </c>
      <c r="AJ127" s="385">
        <v>481227776</v>
      </c>
      <c r="AK127" s="385">
        <v>51508</v>
      </c>
      <c r="AL127" s="385">
        <v>0</v>
      </c>
      <c r="AM127" s="287">
        <v>0</v>
      </c>
      <c r="AN127" s="542">
        <v>330000</v>
      </c>
      <c r="AO127" s="549">
        <v>0.17</v>
      </c>
      <c r="AP127" s="385">
        <v>79407</v>
      </c>
      <c r="AQ127" s="385">
        <v>81075</v>
      </c>
      <c r="AR127" s="481">
        <v>34244</v>
      </c>
      <c r="AS127" s="481">
        <v>29966</v>
      </c>
      <c r="AT127" s="617"/>
      <c r="AU127" s="618">
        <v>104197</v>
      </c>
      <c r="AV127" s="618">
        <v>0</v>
      </c>
      <c r="AW127" s="620"/>
      <c r="AX127" s="620"/>
      <c r="AY127" s="625"/>
      <c r="AZ127" s="626"/>
      <c r="BA127" s="620"/>
      <c r="BB127" s="673">
        <v>1987201</v>
      </c>
      <c r="BC127" s="781">
        <v>0.05</v>
      </c>
      <c r="BD127" s="790">
        <v>37</v>
      </c>
      <c r="BE127" s="673">
        <v>101377.33</v>
      </c>
    </row>
    <row r="128" spans="1:57" x14ac:dyDescent="0.2">
      <c r="A128" s="390">
        <v>7</v>
      </c>
      <c r="B128" s="551" t="s">
        <v>202</v>
      </c>
      <c r="C128" t="s">
        <v>1120</v>
      </c>
      <c r="D128" s="406">
        <v>1614.5</v>
      </c>
      <c r="E128" s="560">
        <v>6614</v>
      </c>
      <c r="F128" s="561">
        <v>558.72</v>
      </c>
      <c r="G128" s="561">
        <v>61.08</v>
      </c>
      <c r="H128" s="561">
        <v>67.990000000000009</v>
      </c>
      <c r="I128" s="561">
        <v>319.72000000000003</v>
      </c>
      <c r="J128" s="561">
        <v>74.88</v>
      </c>
      <c r="K128" s="561">
        <v>73.83</v>
      </c>
      <c r="L128" s="561">
        <v>101.38000000000001</v>
      </c>
      <c r="M128" s="343">
        <v>0</v>
      </c>
      <c r="N128" s="477">
        <v>8.18</v>
      </c>
      <c r="O128" s="477">
        <v>7.15</v>
      </c>
      <c r="P128" s="407">
        <v>2.42</v>
      </c>
      <c r="Q128" s="477">
        <v>0</v>
      </c>
      <c r="R128" s="483">
        <v>10600919</v>
      </c>
      <c r="S128" s="483">
        <v>895516</v>
      </c>
      <c r="T128" s="483">
        <v>97899</v>
      </c>
      <c r="U128" s="483">
        <v>108974</v>
      </c>
      <c r="V128" s="483">
        <v>512447</v>
      </c>
      <c r="W128" s="483">
        <v>538225</v>
      </c>
      <c r="X128" s="483">
        <v>0</v>
      </c>
      <c r="Y128" s="483">
        <v>34</v>
      </c>
      <c r="Z128" s="406">
        <v>0</v>
      </c>
      <c r="AA128" s="483">
        <v>68247</v>
      </c>
      <c r="AB128" s="483">
        <v>7842</v>
      </c>
      <c r="AC128" s="385">
        <v>27136</v>
      </c>
      <c r="AD128" s="545">
        <v>5.4</v>
      </c>
      <c r="AE128" s="483">
        <v>68725</v>
      </c>
      <c r="AF128" s="483">
        <v>68383</v>
      </c>
      <c r="AG128" s="481">
        <v>86060</v>
      </c>
      <c r="AH128" s="481">
        <v>59456</v>
      </c>
      <c r="AI128">
        <v>45</v>
      </c>
      <c r="AJ128" s="385">
        <v>536853229</v>
      </c>
      <c r="AK128" s="385">
        <v>41661</v>
      </c>
      <c r="AL128" s="385">
        <v>0</v>
      </c>
      <c r="AM128" s="287">
        <v>0</v>
      </c>
      <c r="AN128" s="542">
        <v>330000</v>
      </c>
      <c r="AO128" s="549">
        <v>0.17</v>
      </c>
      <c r="AP128" s="385">
        <v>50133</v>
      </c>
      <c r="AQ128" s="385">
        <v>49883</v>
      </c>
      <c r="AR128" s="481">
        <v>62777</v>
      </c>
      <c r="AS128" s="481">
        <v>44584</v>
      </c>
      <c r="AT128" s="617"/>
      <c r="AU128" s="618">
        <v>110304</v>
      </c>
      <c r="AV128" s="618">
        <v>0</v>
      </c>
      <c r="AW128" s="620"/>
      <c r="AX128" s="620"/>
      <c r="AY128" s="625"/>
      <c r="AZ128" s="626">
        <v>-2.08</v>
      </c>
      <c r="BA128" s="620"/>
      <c r="BB128" s="673">
        <v>1194146</v>
      </c>
      <c r="BC128" s="781">
        <v>0.05</v>
      </c>
      <c r="BD128" s="790">
        <v>79</v>
      </c>
      <c r="BE128" s="673">
        <v>227051.34</v>
      </c>
    </row>
    <row r="129" spans="1:57" x14ac:dyDescent="0.2">
      <c r="A129" s="390">
        <v>13</v>
      </c>
      <c r="B129" s="551" t="s">
        <v>203</v>
      </c>
      <c r="C129" t="s">
        <v>1121</v>
      </c>
      <c r="D129" s="406">
        <v>516.6</v>
      </c>
      <c r="E129" s="560">
        <v>6656</v>
      </c>
      <c r="F129" s="561">
        <v>556.74</v>
      </c>
      <c r="G129" s="561">
        <v>57.82</v>
      </c>
      <c r="H129" s="561">
        <v>58.269999999999996</v>
      </c>
      <c r="I129" s="561">
        <v>319.72000000000003</v>
      </c>
      <c r="J129" s="561">
        <v>38.879999999999995</v>
      </c>
      <c r="K129" s="561">
        <v>14.52</v>
      </c>
      <c r="L129" s="561">
        <v>27.4</v>
      </c>
      <c r="M129" s="343">
        <v>0</v>
      </c>
      <c r="N129" s="477">
        <v>27.58</v>
      </c>
      <c r="O129" s="477">
        <v>2.2910000000000004</v>
      </c>
      <c r="P129" s="407">
        <v>0</v>
      </c>
      <c r="Q129" s="477">
        <v>0</v>
      </c>
      <c r="R129" s="483">
        <v>3520358</v>
      </c>
      <c r="S129" s="483">
        <v>294460</v>
      </c>
      <c r="T129" s="483">
        <v>30581</v>
      </c>
      <c r="U129" s="483">
        <v>30819</v>
      </c>
      <c r="V129" s="483">
        <v>169100</v>
      </c>
      <c r="W129" s="483">
        <v>171567</v>
      </c>
      <c r="X129" s="483">
        <v>10580</v>
      </c>
      <c r="Y129" s="483">
        <v>0</v>
      </c>
      <c r="Z129" s="406">
        <v>0</v>
      </c>
      <c r="AA129" s="483">
        <v>17616</v>
      </c>
      <c r="AB129" s="483">
        <v>1877</v>
      </c>
      <c r="AC129" s="385">
        <v>10440</v>
      </c>
      <c r="AD129" s="545">
        <v>5.4</v>
      </c>
      <c r="AE129" s="483">
        <v>55038</v>
      </c>
      <c r="AF129" s="483">
        <v>56488</v>
      </c>
      <c r="AG129" s="481">
        <v>6011</v>
      </c>
      <c r="AH129" s="481">
        <v>6019</v>
      </c>
      <c r="AI129">
        <v>12</v>
      </c>
      <c r="AJ129" s="385">
        <v>260993618</v>
      </c>
      <c r="AK129" s="385">
        <v>21393</v>
      </c>
      <c r="AL129" s="385">
        <v>0</v>
      </c>
      <c r="AM129" s="287">
        <v>0</v>
      </c>
      <c r="AN129" s="542">
        <v>330000</v>
      </c>
      <c r="AO129" s="549">
        <v>0.17</v>
      </c>
      <c r="AP129" s="385">
        <v>31426</v>
      </c>
      <c r="AQ129" s="385">
        <v>32254</v>
      </c>
      <c r="AR129" s="481">
        <v>3432</v>
      </c>
      <c r="AS129" s="481">
        <v>3450</v>
      </c>
      <c r="AT129" s="617"/>
      <c r="AU129" s="618">
        <v>168747</v>
      </c>
      <c r="AV129" s="618">
        <v>73487</v>
      </c>
      <c r="AW129" s="620"/>
      <c r="AX129" s="620"/>
      <c r="AY129" s="625"/>
      <c r="AZ129" s="626"/>
      <c r="BA129" s="620"/>
      <c r="BB129" s="673">
        <v>925337</v>
      </c>
      <c r="BC129" s="781">
        <v>0.05</v>
      </c>
      <c r="BD129" s="790">
        <v>15</v>
      </c>
      <c r="BE129" s="673">
        <v>12150.87</v>
      </c>
    </row>
    <row r="130" spans="1:57" x14ac:dyDescent="0.2">
      <c r="A130" s="390">
        <v>7</v>
      </c>
      <c r="B130" s="551" t="s">
        <v>204</v>
      </c>
      <c r="C130" t="s">
        <v>1122</v>
      </c>
      <c r="D130" s="406">
        <v>658.5</v>
      </c>
      <c r="E130" s="560">
        <v>6591</v>
      </c>
      <c r="F130" s="561">
        <v>620.66999999999996</v>
      </c>
      <c r="G130" s="561">
        <v>66.320000000000007</v>
      </c>
      <c r="H130" s="561">
        <v>59.54</v>
      </c>
      <c r="I130" s="561">
        <v>319.72000000000003</v>
      </c>
      <c r="J130" s="561">
        <v>26.64</v>
      </c>
      <c r="K130" s="561">
        <v>24.2</v>
      </c>
      <c r="L130" s="561">
        <v>46.58</v>
      </c>
      <c r="M130" s="343">
        <v>0</v>
      </c>
      <c r="N130" s="477">
        <v>18.440000000000001</v>
      </c>
      <c r="O130" s="477">
        <v>2.6150000000000002</v>
      </c>
      <c r="P130" s="407">
        <v>0.22</v>
      </c>
      <c r="Q130" s="477">
        <v>0</v>
      </c>
      <c r="R130" s="483">
        <v>4181990</v>
      </c>
      <c r="S130" s="483">
        <v>393815</v>
      </c>
      <c r="T130" s="483">
        <v>42080</v>
      </c>
      <c r="U130" s="483">
        <v>37778</v>
      </c>
      <c r="V130" s="483">
        <v>202862</v>
      </c>
      <c r="W130" s="483">
        <v>212630</v>
      </c>
      <c r="X130" s="483">
        <v>0</v>
      </c>
      <c r="Y130" s="483">
        <v>5</v>
      </c>
      <c r="Z130" s="406">
        <v>0</v>
      </c>
      <c r="AA130" s="483">
        <v>26961</v>
      </c>
      <c r="AB130" s="483">
        <v>3098</v>
      </c>
      <c r="AC130" s="385">
        <v>9964</v>
      </c>
      <c r="AD130" s="545">
        <v>5.4</v>
      </c>
      <c r="AE130" s="483">
        <v>15279</v>
      </c>
      <c r="AF130" s="483">
        <v>15266</v>
      </c>
      <c r="AG130" s="481">
        <v>15345</v>
      </c>
      <c r="AH130" s="481">
        <v>13309</v>
      </c>
      <c r="AI130">
        <v>21</v>
      </c>
      <c r="AJ130" s="385">
        <v>205179407</v>
      </c>
      <c r="AK130" s="385">
        <v>5067</v>
      </c>
      <c r="AL130" s="385">
        <v>0</v>
      </c>
      <c r="AM130" s="287">
        <v>0</v>
      </c>
      <c r="AN130" s="542">
        <v>330000</v>
      </c>
      <c r="AO130" s="549">
        <v>0.17</v>
      </c>
      <c r="AP130" s="385">
        <v>11151</v>
      </c>
      <c r="AQ130" s="385">
        <v>11141</v>
      </c>
      <c r="AR130" s="481">
        <v>11199</v>
      </c>
      <c r="AS130" s="481">
        <v>9859</v>
      </c>
      <c r="AT130" s="617"/>
      <c r="AU130" s="618">
        <v>103241</v>
      </c>
      <c r="AV130" s="618">
        <v>0</v>
      </c>
      <c r="AW130" s="620"/>
      <c r="AX130" s="620"/>
      <c r="AY130" s="625"/>
      <c r="AZ130" s="626"/>
      <c r="BA130" s="620"/>
      <c r="BB130" s="673">
        <v>0</v>
      </c>
      <c r="BC130" s="781">
        <v>4.2000000000000003E-2</v>
      </c>
      <c r="BD130" s="790">
        <v>38</v>
      </c>
      <c r="BE130" s="673">
        <v>36961.78</v>
      </c>
    </row>
    <row r="131" spans="1:57" x14ac:dyDescent="0.2">
      <c r="A131" s="390">
        <v>11</v>
      </c>
      <c r="B131" s="551" t="s">
        <v>205</v>
      </c>
      <c r="C131" t="s">
        <v>1123</v>
      </c>
      <c r="D131" s="406">
        <v>463.3</v>
      </c>
      <c r="E131" s="560">
        <v>6615</v>
      </c>
      <c r="F131" s="561">
        <v>595.77</v>
      </c>
      <c r="G131" s="561">
        <v>60.71</v>
      </c>
      <c r="H131" s="561">
        <v>72.48</v>
      </c>
      <c r="I131" s="561">
        <v>319.72000000000003</v>
      </c>
      <c r="J131" s="561">
        <v>25.919999999999998</v>
      </c>
      <c r="K131" s="561">
        <v>9.68</v>
      </c>
      <c r="L131" s="561">
        <v>17.810000000000002</v>
      </c>
      <c r="M131" s="343">
        <v>0</v>
      </c>
      <c r="N131" s="477">
        <v>37.349999999999994</v>
      </c>
      <c r="O131" s="477">
        <v>1.9</v>
      </c>
      <c r="P131" s="407">
        <v>0.88</v>
      </c>
      <c r="Q131" s="477">
        <v>0</v>
      </c>
      <c r="R131" s="483">
        <v>3003210</v>
      </c>
      <c r="S131" s="483">
        <v>270480</v>
      </c>
      <c r="T131" s="483">
        <v>27562</v>
      </c>
      <c r="U131" s="483">
        <v>32906</v>
      </c>
      <c r="V131" s="483">
        <v>145153</v>
      </c>
      <c r="W131" s="483">
        <v>141778</v>
      </c>
      <c r="X131" s="483">
        <v>8102</v>
      </c>
      <c r="Y131" s="483">
        <v>0</v>
      </c>
      <c r="Z131" s="406">
        <v>0</v>
      </c>
      <c r="AA131" s="483">
        <v>11682</v>
      </c>
      <c r="AB131" s="483">
        <v>1485</v>
      </c>
      <c r="AC131" s="385">
        <v>7140</v>
      </c>
      <c r="AD131" s="545">
        <v>5.4</v>
      </c>
      <c r="AE131" s="483">
        <v>24423</v>
      </c>
      <c r="AF131" s="483">
        <v>24590</v>
      </c>
      <c r="AG131" s="481">
        <v>7159</v>
      </c>
      <c r="AH131" s="481">
        <v>7117</v>
      </c>
      <c r="AI131">
        <v>14.5</v>
      </c>
      <c r="AJ131" s="385">
        <v>154982996</v>
      </c>
      <c r="AK131" s="385">
        <v>12160</v>
      </c>
      <c r="AL131" s="385">
        <v>0</v>
      </c>
      <c r="AM131" s="287">
        <v>0</v>
      </c>
      <c r="AN131" s="542">
        <v>330000</v>
      </c>
      <c r="AO131" s="549">
        <v>0.17</v>
      </c>
      <c r="AP131" s="385">
        <v>15399</v>
      </c>
      <c r="AQ131" s="385">
        <v>15504</v>
      </c>
      <c r="AR131" s="481">
        <v>4514</v>
      </c>
      <c r="AS131" s="481">
        <v>4523</v>
      </c>
      <c r="AT131" s="617"/>
      <c r="AU131" s="618">
        <v>58495</v>
      </c>
      <c r="AV131" s="618">
        <v>0</v>
      </c>
      <c r="AW131" s="620"/>
      <c r="AX131" s="620"/>
      <c r="AY131" s="625"/>
      <c r="AZ131" s="626"/>
      <c r="BA131" s="620"/>
      <c r="BB131" s="673">
        <v>368246</v>
      </c>
      <c r="BC131" s="781">
        <v>2.5000000000000001E-2</v>
      </c>
      <c r="BD131" s="790">
        <v>39</v>
      </c>
      <c r="BE131" s="673">
        <v>17650.919999999998</v>
      </c>
    </row>
    <row r="132" spans="1:57" x14ac:dyDescent="0.2">
      <c r="A132" s="390">
        <v>13</v>
      </c>
      <c r="B132" s="551" t="s">
        <v>208</v>
      </c>
      <c r="C132" t="s">
        <v>1124</v>
      </c>
      <c r="D132" s="406">
        <v>235</v>
      </c>
      <c r="E132" s="560">
        <v>6732</v>
      </c>
      <c r="F132" s="561">
        <v>581.59</v>
      </c>
      <c r="G132" s="561">
        <v>59.92</v>
      </c>
      <c r="H132" s="561">
        <v>67.790000000000006</v>
      </c>
      <c r="I132" s="561">
        <v>319.72000000000003</v>
      </c>
      <c r="J132" s="561">
        <v>13.68</v>
      </c>
      <c r="K132" s="561">
        <v>6.05</v>
      </c>
      <c r="L132" s="561">
        <v>16.440000000000001</v>
      </c>
      <c r="M132" s="343">
        <v>0</v>
      </c>
      <c r="N132" s="477">
        <v>1.0900000000000001</v>
      </c>
      <c r="O132" s="477">
        <v>1.4390000000000001</v>
      </c>
      <c r="P132" s="407">
        <v>0.22</v>
      </c>
      <c r="Q132" s="477">
        <v>0</v>
      </c>
      <c r="R132" s="483">
        <v>1670882</v>
      </c>
      <c r="S132" s="483">
        <v>144351</v>
      </c>
      <c r="T132" s="483">
        <v>14872</v>
      </c>
      <c r="U132" s="483">
        <v>16825</v>
      </c>
      <c r="V132" s="483">
        <v>79355</v>
      </c>
      <c r="W132" s="483">
        <v>81249</v>
      </c>
      <c r="X132" s="483">
        <v>2488</v>
      </c>
      <c r="Y132" s="483">
        <v>0</v>
      </c>
      <c r="Z132" s="406">
        <v>0</v>
      </c>
      <c r="AA132" s="483">
        <v>8342</v>
      </c>
      <c r="AB132" s="483">
        <v>889</v>
      </c>
      <c r="AC132" s="385">
        <v>4856</v>
      </c>
      <c r="AD132" s="545">
        <v>5.4</v>
      </c>
      <c r="AE132" s="483">
        <v>13576</v>
      </c>
      <c r="AF132" s="483">
        <v>13964</v>
      </c>
      <c r="AG132" s="481">
        <v>15591</v>
      </c>
      <c r="AH132" s="481">
        <v>12579</v>
      </c>
      <c r="AI132">
        <v>6.5</v>
      </c>
      <c r="AJ132" s="385">
        <v>132460671</v>
      </c>
      <c r="AK132" s="385">
        <v>19221</v>
      </c>
      <c r="AL132" s="385">
        <v>0</v>
      </c>
      <c r="AM132" s="287">
        <v>0</v>
      </c>
      <c r="AN132" s="542">
        <v>330000</v>
      </c>
      <c r="AO132" s="549">
        <v>0.17</v>
      </c>
      <c r="AP132" s="385">
        <v>7166</v>
      </c>
      <c r="AQ132" s="385">
        <v>7371</v>
      </c>
      <c r="AR132" s="481">
        <v>8873</v>
      </c>
      <c r="AS132" s="481">
        <v>6775</v>
      </c>
      <c r="AT132" s="617"/>
      <c r="AU132" s="618">
        <v>16728</v>
      </c>
      <c r="AV132" s="618">
        <v>0</v>
      </c>
      <c r="AW132" s="620"/>
      <c r="AX132" s="620"/>
      <c r="AY132" s="625"/>
      <c r="AZ132" s="626"/>
      <c r="BA132" s="620"/>
      <c r="BB132" s="673">
        <v>0</v>
      </c>
      <c r="BC132" s="781">
        <v>0.04</v>
      </c>
      <c r="BD132" s="790">
        <v>36</v>
      </c>
      <c r="BE132" s="673">
        <v>33500.94</v>
      </c>
    </row>
    <row r="133" spans="1:57" x14ac:dyDescent="0.2">
      <c r="A133" s="390">
        <v>7</v>
      </c>
      <c r="B133" s="551" t="s">
        <v>209</v>
      </c>
      <c r="C133" t="s">
        <v>1125</v>
      </c>
      <c r="D133" s="406">
        <v>1192.3</v>
      </c>
      <c r="E133" s="560">
        <v>6591</v>
      </c>
      <c r="F133" s="561">
        <v>592.70000000000005</v>
      </c>
      <c r="G133" s="561">
        <v>64.14</v>
      </c>
      <c r="H133" s="561">
        <v>76.490000000000009</v>
      </c>
      <c r="I133" s="561">
        <v>319.72000000000003</v>
      </c>
      <c r="J133" s="561">
        <v>65.52</v>
      </c>
      <c r="K133" s="561">
        <v>61.72</v>
      </c>
      <c r="L133" s="561">
        <v>80.83</v>
      </c>
      <c r="M133" s="343">
        <v>0</v>
      </c>
      <c r="N133" s="477">
        <v>33.730000000000004</v>
      </c>
      <c r="O133" s="477">
        <v>6.4890000000000008</v>
      </c>
      <c r="P133" s="407">
        <v>32.56</v>
      </c>
      <c r="Q133" s="477">
        <v>0</v>
      </c>
      <c r="R133" s="483">
        <v>7976428</v>
      </c>
      <c r="S133" s="483">
        <v>717286</v>
      </c>
      <c r="T133" s="483">
        <v>77622</v>
      </c>
      <c r="U133" s="483">
        <v>92568</v>
      </c>
      <c r="V133" s="483">
        <v>386925</v>
      </c>
      <c r="W133" s="483">
        <v>412379</v>
      </c>
      <c r="X133" s="483">
        <v>1091</v>
      </c>
      <c r="Y133" s="483">
        <v>0</v>
      </c>
      <c r="Z133" s="406">
        <v>0</v>
      </c>
      <c r="AA133" s="483">
        <v>52290</v>
      </c>
      <c r="AB133" s="483">
        <v>6009</v>
      </c>
      <c r="AC133" s="385">
        <v>18390</v>
      </c>
      <c r="AD133" s="545">
        <v>5.4</v>
      </c>
      <c r="AE133" s="483">
        <v>45191</v>
      </c>
      <c r="AF133" s="483">
        <v>46278</v>
      </c>
      <c r="AG133" s="481">
        <v>34489</v>
      </c>
      <c r="AH133" s="481">
        <v>27473</v>
      </c>
      <c r="AI133">
        <v>31</v>
      </c>
      <c r="AJ133" s="385">
        <v>331108671</v>
      </c>
      <c r="AK133" s="385">
        <v>9166</v>
      </c>
      <c r="AL133" s="385">
        <v>0</v>
      </c>
      <c r="AM133" s="287">
        <v>0</v>
      </c>
      <c r="AN133" s="542">
        <v>330000</v>
      </c>
      <c r="AO133" s="549">
        <v>0.17</v>
      </c>
      <c r="AP133" s="385">
        <v>38958</v>
      </c>
      <c r="AQ133" s="385">
        <v>39895</v>
      </c>
      <c r="AR133" s="481">
        <v>29732</v>
      </c>
      <c r="AS133" s="481">
        <v>24080</v>
      </c>
      <c r="AT133" s="617"/>
      <c r="AU133" s="618">
        <v>0</v>
      </c>
      <c r="AV133" s="618">
        <v>37948</v>
      </c>
      <c r="AW133" s="620"/>
      <c r="AX133" s="620"/>
      <c r="AY133" s="625"/>
      <c r="AZ133" s="626"/>
      <c r="BA133" s="620"/>
      <c r="BB133" s="673">
        <v>727877</v>
      </c>
      <c r="BC133" s="781">
        <v>0.03</v>
      </c>
      <c r="BD133" s="790">
        <v>35</v>
      </c>
      <c r="BE133" s="673">
        <v>96351.92</v>
      </c>
    </row>
    <row r="134" spans="1:57" x14ac:dyDescent="0.2">
      <c r="A134" s="390">
        <v>13</v>
      </c>
      <c r="B134" s="551" t="s">
        <v>210</v>
      </c>
      <c r="C134" t="s">
        <v>1126</v>
      </c>
      <c r="D134" s="406">
        <v>1399.4</v>
      </c>
      <c r="E134" s="560">
        <v>6631</v>
      </c>
      <c r="F134" s="561">
        <v>568.16</v>
      </c>
      <c r="G134" s="561">
        <v>66.77</v>
      </c>
      <c r="H134" s="561">
        <v>66</v>
      </c>
      <c r="I134" s="561">
        <v>319.72000000000003</v>
      </c>
      <c r="J134" s="561">
        <v>69.12</v>
      </c>
      <c r="K134" s="561">
        <v>38.72</v>
      </c>
      <c r="L134" s="561">
        <v>60.28</v>
      </c>
      <c r="M134" s="343">
        <v>0</v>
      </c>
      <c r="N134" s="477">
        <v>33.480000000000004</v>
      </c>
      <c r="O134" s="477">
        <v>6.1340000000000003</v>
      </c>
      <c r="P134" s="407">
        <v>7.04</v>
      </c>
      <c r="Q134" s="477">
        <v>0</v>
      </c>
      <c r="R134" s="483">
        <v>9362309</v>
      </c>
      <c r="S134" s="483">
        <v>802185</v>
      </c>
      <c r="T134" s="483">
        <v>94273</v>
      </c>
      <c r="U134" s="483">
        <v>93185</v>
      </c>
      <c r="V134" s="483">
        <v>451413</v>
      </c>
      <c r="W134" s="483">
        <v>460052</v>
      </c>
      <c r="X134" s="483">
        <v>0</v>
      </c>
      <c r="Y134" s="483">
        <v>86</v>
      </c>
      <c r="Z134" s="406">
        <v>0.8</v>
      </c>
      <c r="AA134" s="483">
        <v>47237</v>
      </c>
      <c r="AB134" s="483">
        <v>5033</v>
      </c>
      <c r="AC134" s="385">
        <v>25560</v>
      </c>
      <c r="AD134" s="545">
        <v>5.4</v>
      </c>
      <c r="AE134" s="483">
        <v>45432</v>
      </c>
      <c r="AF134" s="483">
        <v>46685</v>
      </c>
      <c r="AG134" s="481">
        <v>43900</v>
      </c>
      <c r="AH134" s="481">
        <v>36869</v>
      </c>
      <c r="AI134">
        <v>32.5</v>
      </c>
      <c r="AJ134" s="385">
        <v>486271693</v>
      </c>
      <c r="AK134" s="385">
        <v>56481</v>
      </c>
      <c r="AL134" s="385">
        <v>0</v>
      </c>
      <c r="AM134" s="287">
        <v>0</v>
      </c>
      <c r="AN134" s="542">
        <v>330000</v>
      </c>
      <c r="AO134" s="549">
        <v>0.17</v>
      </c>
      <c r="AP134" s="385">
        <v>33266</v>
      </c>
      <c r="AQ134" s="385">
        <v>34184</v>
      </c>
      <c r="AR134" s="481">
        <v>32145</v>
      </c>
      <c r="AS134" s="481">
        <v>27440</v>
      </c>
      <c r="AT134" s="617"/>
      <c r="AU134" s="618">
        <v>182895</v>
      </c>
      <c r="AV134" s="618">
        <v>0</v>
      </c>
      <c r="AW134" s="620"/>
      <c r="AX134" s="620"/>
      <c r="AY134" s="625"/>
      <c r="AZ134" s="626"/>
      <c r="BA134" s="620"/>
      <c r="BB134" s="673">
        <v>2054374</v>
      </c>
      <c r="BC134" s="781">
        <v>0.05</v>
      </c>
      <c r="BD134" s="790">
        <v>83</v>
      </c>
      <c r="BE134" s="673">
        <v>95179.07</v>
      </c>
    </row>
    <row r="135" spans="1:57" x14ac:dyDescent="0.2">
      <c r="A135" s="390">
        <v>15</v>
      </c>
      <c r="B135" s="551" t="s">
        <v>211</v>
      </c>
      <c r="C135" t="s">
        <v>1127</v>
      </c>
      <c r="D135" s="406">
        <v>346.2</v>
      </c>
      <c r="E135" s="560">
        <v>6591</v>
      </c>
      <c r="F135" s="561">
        <v>558.72</v>
      </c>
      <c r="G135" s="561">
        <v>53.78</v>
      </c>
      <c r="H135" s="561">
        <v>68.17</v>
      </c>
      <c r="I135" s="561">
        <v>319.72000000000003</v>
      </c>
      <c r="J135" s="561">
        <v>13.68</v>
      </c>
      <c r="K135" s="561">
        <v>14.52</v>
      </c>
      <c r="L135" s="561">
        <v>10.96</v>
      </c>
      <c r="M135" s="343">
        <v>0</v>
      </c>
      <c r="N135" s="477">
        <v>30.98</v>
      </c>
      <c r="O135" s="477">
        <v>2.3890000000000002</v>
      </c>
      <c r="P135" s="407">
        <v>0</v>
      </c>
      <c r="Q135" s="477">
        <v>0</v>
      </c>
      <c r="R135" s="483">
        <v>2399124</v>
      </c>
      <c r="S135" s="483">
        <v>203374</v>
      </c>
      <c r="T135" s="483">
        <v>19576</v>
      </c>
      <c r="U135" s="483">
        <v>24814</v>
      </c>
      <c r="V135" s="483">
        <v>116378</v>
      </c>
      <c r="W135" s="483">
        <v>117559</v>
      </c>
      <c r="X135" s="483">
        <v>3120</v>
      </c>
      <c r="Y135" s="483">
        <v>3</v>
      </c>
      <c r="Z135" s="406">
        <v>0</v>
      </c>
      <c r="AA135" s="483">
        <v>11776</v>
      </c>
      <c r="AB135" s="483">
        <v>1278</v>
      </c>
      <c r="AC135" s="385">
        <v>7867</v>
      </c>
      <c r="AD135" s="545">
        <v>5.4</v>
      </c>
      <c r="AE135" s="483">
        <v>11347</v>
      </c>
      <c r="AF135" s="483">
        <v>11273</v>
      </c>
      <c r="AG135" s="481">
        <v>3985</v>
      </c>
      <c r="AH135" s="481">
        <v>3985</v>
      </c>
      <c r="AI135">
        <v>10</v>
      </c>
      <c r="AJ135" s="385">
        <v>97816446</v>
      </c>
      <c r="AK135" s="385">
        <v>567</v>
      </c>
      <c r="AL135" s="385">
        <v>0</v>
      </c>
      <c r="AM135" s="287">
        <v>0</v>
      </c>
      <c r="AN135" s="542">
        <v>330000</v>
      </c>
      <c r="AO135" s="549">
        <v>0.17</v>
      </c>
      <c r="AP135" s="385">
        <v>10278</v>
      </c>
      <c r="AQ135" s="385">
        <v>10211</v>
      </c>
      <c r="AR135" s="481">
        <v>3610</v>
      </c>
      <c r="AS135" s="481">
        <v>3637</v>
      </c>
      <c r="AT135" s="617"/>
      <c r="AU135" s="618">
        <v>13644</v>
      </c>
      <c r="AV135" s="618">
        <v>0</v>
      </c>
      <c r="AW135" s="620"/>
      <c r="AX135" s="620"/>
      <c r="AY135" s="625"/>
      <c r="AZ135" s="626"/>
      <c r="BA135" s="620"/>
      <c r="BB135" s="673">
        <v>911026</v>
      </c>
      <c r="BC135" s="781">
        <v>0.05</v>
      </c>
      <c r="BD135" s="790">
        <v>89</v>
      </c>
      <c r="BE135" s="673">
        <v>13945.08</v>
      </c>
    </row>
    <row r="136" spans="1:57" x14ac:dyDescent="0.2">
      <c r="A136" s="390">
        <v>5</v>
      </c>
      <c r="B136" s="551" t="s">
        <v>212</v>
      </c>
      <c r="C136" t="s">
        <v>1128</v>
      </c>
      <c r="D136" s="406">
        <v>300.10000000000002</v>
      </c>
      <c r="E136" s="560">
        <v>6662</v>
      </c>
      <c r="F136" s="561">
        <v>595.23</v>
      </c>
      <c r="G136" s="561">
        <v>61.96</v>
      </c>
      <c r="H136" s="561">
        <v>80.680000000000007</v>
      </c>
      <c r="I136" s="561">
        <v>319.72000000000003</v>
      </c>
      <c r="J136" s="561">
        <v>9.36</v>
      </c>
      <c r="K136" s="561">
        <v>13.31</v>
      </c>
      <c r="L136" s="561">
        <v>8.2200000000000006</v>
      </c>
      <c r="M136" s="343">
        <v>0.97</v>
      </c>
      <c r="N136" s="477">
        <v>8.620000000000001</v>
      </c>
      <c r="O136" s="477">
        <v>1.2789999999999999</v>
      </c>
      <c r="P136" s="407">
        <v>0.44</v>
      </c>
      <c r="Q136" s="477">
        <v>0</v>
      </c>
      <c r="R136" s="483">
        <v>2194463</v>
      </c>
      <c r="S136" s="483">
        <v>196069</v>
      </c>
      <c r="T136" s="483">
        <v>20410</v>
      </c>
      <c r="U136" s="483">
        <v>26576</v>
      </c>
      <c r="V136" s="483">
        <v>105316</v>
      </c>
      <c r="W136" s="483">
        <v>106639</v>
      </c>
      <c r="X136" s="483">
        <v>0</v>
      </c>
      <c r="Y136" s="483">
        <v>3</v>
      </c>
      <c r="Z136" s="406">
        <v>0</v>
      </c>
      <c r="AA136" s="483">
        <v>11347</v>
      </c>
      <c r="AB136" s="483">
        <v>1352</v>
      </c>
      <c r="AC136" s="385">
        <v>5276</v>
      </c>
      <c r="AD136" s="545">
        <v>5.4</v>
      </c>
      <c r="AE136" s="483">
        <v>10985</v>
      </c>
      <c r="AF136" s="483">
        <v>11093</v>
      </c>
      <c r="AG136" s="481">
        <v>48242</v>
      </c>
      <c r="AH136" s="481">
        <v>42719</v>
      </c>
      <c r="AI136">
        <v>11</v>
      </c>
      <c r="AJ136" s="385">
        <v>223708402</v>
      </c>
      <c r="AK136" s="385">
        <v>0</v>
      </c>
      <c r="AL136" s="385">
        <v>0</v>
      </c>
      <c r="AM136" s="287">
        <v>0</v>
      </c>
      <c r="AN136" s="542">
        <v>330000</v>
      </c>
      <c r="AO136" s="549">
        <v>0.17</v>
      </c>
      <c r="AP136" s="385">
        <v>3547</v>
      </c>
      <c r="AQ136" s="385">
        <v>3582</v>
      </c>
      <c r="AR136" s="481">
        <v>15577</v>
      </c>
      <c r="AS136" s="481">
        <v>14219</v>
      </c>
      <c r="AT136" s="617"/>
      <c r="AU136" s="618">
        <v>39840</v>
      </c>
      <c r="AV136" s="618">
        <v>0</v>
      </c>
      <c r="AW136" s="620"/>
      <c r="AX136" s="620"/>
      <c r="AY136" s="625"/>
      <c r="AZ136" s="626"/>
      <c r="BA136" s="620"/>
      <c r="BB136" s="673">
        <v>0</v>
      </c>
      <c r="BC136" s="781">
        <v>0.05</v>
      </c>
      <c r="BD136" s="790">
        <v>30</v>
      </c>
      <c r="BE136" s="673">
        <v>88408.21</v>
      </c>
    </row>
    <row r="137" spans="1:57" x14ac:dyDescent="0.2">
      <c r="A137" s="390">
        <v>12</v>
      </c>
      <c r="B137" s="551" t="s">
        <v>213</v>
      </c>
      <c r="C137" t="s">
        <v>1129</v>
      </c>
      <c r="D137" s="406">
        <v>637.6</v>
      </c>
      <c r="E137" s="560">
        <v>6638</v>
      </c>
      <c r="F137" s="561">
        <v>602.04999999999995</v>
      </c>
      <c r="G137" s="561">
        <v>64.89</v>
      </c>
      <c r="H137" s="561">
        <v>60.29</v>
      </c>
      <c r="I137" s="561">
        <v>319.72000000000003</v>
      </c>
      <c r="J137" s="561">
        <v>43.92</v>
      </c>
      <c r="K137" s="561">
        <v>28.439999999999998</v>
      </c>
      <c r="L137" s="561">
        <v>32.880000000000003</v>
      </c>
      <c r="M137" s="343">
        <v>0</v>
      </c>
      <c r="N137" s="477">
        <v>1.85</v>
      </c>
      <c r="O137" s="477">
        <v>3.4249999999999998</v>
      </c>
      <c r="P137" s="407">
        <v>3.7400000000000007</v>
      </c>
      <c r="Q137" s="477">
        <v>0</v>
      </c>
      <c r="R137" s="483">
        <v>4211811</v>
      </c>
      <c r="S137" s="483">
        <v>382001</v>
      </c>
      <c r="T137" s="483">
        <v>41173</v>
      </c>
      <c r="U137" s="483">
        <v>38254</v>
      </c>
      <c r="V137" s="483">
        <v>202862</v>
      </c>
      <c r="W137" s="483">
        <v>222089</v>
      </c>
      <c r="X137" s="483">
        <v>0</v>
      </c>
      <c r="Y137" s="483">
        <v>107</v>
      </c>
      <c r="Z137" s="406">
        <v>0</v>
      </c>
      <c r="AA137" s="483">
        <v>22312</v>
      </c>
      <c r="AB137" s="483">
        <v>2668</v>
      </c>
      <c r="AC137" s="385">
        <v>14184</v>
      </c>
      <c r="AD137" s="545">
        <v>5.4</v>
      </c>
      <c r="AE137" s="483">
        <v>12759</v>
      </c>
      <c r="AF137" s="483">
        <v>12917</v>
      </c>
      <c r="AG137" s="481">
        <v>35073</v>
      </c>
      <c r="AH137" s="481">
        <v>29733</v>
      </c>
      <c r="AI137">
        <v>8</v>
      </c>
      <c r="AJ137" s="385">
        <v>316692354</v>
      </c>
      <c r="AK137" s="385">
        <v>22112</v>
      </c>
      <c r="AL137" s="385">
        <v>0</v>
      </c>
      <c r="AM137" s="287">
        <v>0</v>
      </c>
      <c r="AN137" s="542">
        <v>330000</v>
      </c>
      <c r="AO137" s="549">
        <v>0.17</v>
      </c>
      <c r="AP137" s="385">
        <v>6745</v>
      </c>
      <c r="AQ137" s="385">
        <v>6829</v>
      </c>
      <c r="AR137" s="481">
        <v>18543</v>
      </c>
      <c r="AS137" s="481">
        <v>16020</v>
      </c>
      <c r="AT137" s="617"/>
      <c r="AU137" s="618">
        <v>0</v>
      </c>
      <c r="AV137" s="618">
        <v>0</v>
      </c>
      <c r="AW137" s="620"/>
      <c r="AX137" s="620"/>
      <c r="AY137" s="625"/>
      <c r="AZ137" s="626"/>
      <c r="BA137" s="620"/>
      <c r="BB137" s="673">
        <v>390538</v>
      </c>
      <c r="BC137" s="781">
        <v>0.05</v>
      </c>
      <c r="BD137" s="790">
        <v>71</v>
      </c>
      <c r="BE137" s="673">
        <v>76967.45</v>
      </c>
    </row>
    <row r="138" spans="1:57" x14ac:dyDescent="0.2">
      <c r="A138" s="390">
        <v>10</v>
      </c>
      <c r="B138" s="551" t="s">
        <v>214</v>
      </c>
      <c r="C138" t="s">
        <v>1130</v>
      </c>
      <c r="D138" s="406">
        <v>629.29999999999995</v>
      </c>
      <c r="E138" s="560">
        <v>6591</v>
      </c>
      <c r="F138" s="561">
        <v>600.5</v>
      </c>
      <c r="G138" s="561">
        <v>63.39</v>
      </c>
      <c r="H138" s="561">
        <v>70.760000000000005</v>
      </c>
      <c r="I138" s="561">
        <v>319.72000000000003</v>
      </c>
      <c r="J138" s="561">
        <v>41.76</v>
      </c>
      <c r="K138" s="561">
        <v>19.369999999999997</v>
      </c>
      <c r="L138" s="561">
        <v>17.809999999999999</v>
      </c>
      <c r="M138" s="343">
        <v>0</v>
      </c>
      <c r="N138" s="477">
        <v>24.8</v>
      </c>
      <c r="O138" s="477">
        <v>2.161</v>
      </c>
      <c r="P138" s="407">
        <v>1.98</v>
      </c>
      <c r="Q138" s="477">
        <v>0</v>
      </c>
      <c r="R138" s="483">
        <v>4065988</v>
      </c>
      <c r="S138" s="483">
        <v>370448</v>
      </c>
      <c r="T138" s="483">
        <v>39105</v>
      </c>
      <c r="U138" s="483">
        <v>43652</v>
      </c>
      <c r="V138" s="483">
        <v>197235</v>
      </c>
      <c r="W138" s="483">
        <v>199166</v>
      </c>
      <c r="X138" s="483">
        <v>5208</v>
      </c>
      <c r="Y138" s="483">
        <v>6</v>
      </c>
      <c r="Z138" s="406">
        <v>0</v>
      </c>
      <c r="AA138" s="483">
        <v>18608</v>
      </c>
      <c r="AB138" s="483">
        <v>2166</v>
      </c>
      <c r="AC138" s="385">
        <v>9575</v>
      </c>
      <c r="AD138" s="545">
        <v>5.4</v>
      </c>
      <c r="AE138" s="483">
        <v>64303</v>
      </c>
      <c r="AF138" s="483">
        <v>65622</v>
      </c>
      <c r="AG138" s="481">
        <v>48678</v>
      </c>
      <c r="AH138" s="481">
        <v>48678</v>
      </c>
      <c r="AI138">
        <v>15</v>
      </c>
      <c r="AJ138" s="385">
        <v>290760393</v>
      </c>
      <c r="AK138" s="385">
        <v>3928</v>
      </c>
      <c r="AL138" s="385">
        <v>0</v>
      </c>
      <c r="AM138" s="287">
        <v>0</v>
      </c>
      <c r="AN138" s="542">
        <v>330000</v>
      </c>
      <c r="AO138" s="549">
        <v>0.17</v>
      </c>
      <c r="AP138" s="385">
        <v>37582</v>
      </c>
      <c r="AQ138" s="385">
        <v>38353</v>
      </c>
      <c r="AR138" s="481">
        <v>28449</v>
      </c>
      <c r="AS138" s="481">
        <v>29320</v>
      </c>
      <c r="AT138" s="617"/>
      <c r="AU138" s="618">
        <v>0</v>
      </c>
      <c r="AV138" s="618">
        <v>180785</v>
      </c>
      <c r="AW138" s="620"/>
      <c r="AX138" s="620"/>
      <c r="AY138" s="625"/>
      <c r="AZ138" s="626"/>
      <c r="BA138" s="620"/>
      <c r="BB138" s="673">
        <v>1207481</v>
      </c>
      <c r="BC138" s="781">
        <v>3.5000000000000003E-2</v>
      </c>
      <c r="BD138" s="790">
        <v>92</v>
      </c>
      <c r="BE138" s="673">
        <v>133261.26999999999</v>
      </c>
    </row>
    <row r="139" spans="1:57" x14ac:dyDescent="0.2">
      <c r="A139" s="390">
        <v>12</v>
      </c>
      <c r="B139" s="551" t="s">
        <v>215</v>
      </c>
      <c r="C139" t="s">
        <v>1131</v>
      </c>
      <c r="D139" s="406">
        <v>538</v>
      </c>
      <c r="E139" s="560">
        <v>6591</v>
      </c>
      <c r="F139" s="561">
        <v>591.28</v>
      </c>
      <c r="G139" s="561">
        <v>66.38</v>
      </c>
      <c r="H139" s="561">
        <v>71.45</v>
      </c>
      <c r="I139" s="561">
        <v>319.72000000000003</v>
      </c>
      <c r="J139" s="561">
        <v>14.399999999999999</v>
      </c>
      <c r="K139" s="561">
        <v>10.9</v>
      </c>
      <c r="L139" s="561">
        <v>21.92</v>
      </c>
      <c r="M139" s="343">
        <v>0</v>
      </c>
      <c r="N139" s="477">
        <v>3.99</v>
      </c>
      <c r="O139" s="477">
        <v>1.6020000000000001</v>
      </c>
      <c r="P139" s="407">
        <v>0.88</v>
      </c>
      <c r="Q139" s="477">
        <v>0</v>
      </c>
      <c r="R139" s="483">
        <v>3453684</v>
      </c>
      <c r="S139" s="483">
        <v>309831</v>
      </c>
      <c r="T139" s="483">
        <v>34783</v>
      </c>
      <c r="U139" s="483">
        <v>37440</v>
      </c>
      <c r="V139" s="483">
        <v>167533</v>
      </c>
      <c r="W139" s="483">
        <v>169397</v>
      </c>
      <c r="X139" s="483">
        <v>1158</v>
      </c>
      <c r="Y139" s="483">
        <v>30</v>
      </c>
      <c r="Z139" s="406">
        <v>0</v>
      </c>
      <c r="AA139" s="483">
        <v>17019</v>
      </c>
      <c r="AB139" s="483">
        <v>2035</v>
      </c>
      <c r="AC139" s="385">
        <v>8794</v>
      </c>
      <c r="AD139" s="545">
        <v>5.4</v>
      </c>
      <c r="AE139" s="483">
        <v>32163</v>
      </c>
      <c r="AF139" s="483">
        <v>33618</v>
      </c>
      <c r="AG139" s="481">
        <v>10030</v>
      </c>
      <c r="AH139" s="481">
        <v>8126</v>
      </c>
      <c r="AI139">
        <v>18</v>
      </c>
      <c r="AJ139" s="385">
        <v>201813038</v>
      </c>
      <c r="AK139" s="385">
        <v>4877</v>
      </c>
      <c r="AL139" s="385">
        <v>0</v>
      </c>
      <c r="AM139" s="287">
        <v>0</v>
      </c>
      <c r="AN139" s="542">
        <v>330000</v>
      </c>
      <c r="AO139" s="549">
        <v>0.17</v>
      </c>
      <c r="AP139" s="385">
        <v>18581</v>
      </c>
      <c r="AQ139" s="385">
        <v>19421</v>
      </c>
      <c r="AR139" s="481">
        <v>5795</v>
      </c>
      <c r="AS139" s="481">
        <v>4740</v>
      </c>
      <c r="AT139" s="617"/>
      <c r="AU139" s="618">
        <v>174780</v>
      </c>
      <c r="AV139" s="618">
        <v>0</v>
      </c>
      <c r="AW139" s="620"/>
      <c r="AX139" s="620"/>
      <c r="AY139" s="625"/>
      <c r="AZ139" s="626"/>
      <c r="BA139" s="620"/>
      <c r="BB139" s="673">
        <v>490582</v>
      </c>
      <c r="BC139" s="781">
        <v>4.9000000000000002E-2</v>
      </c>
      <c r="BD139" s="790">
        <v>75</v>
      </c>
      <c r="BE139" s="673">
        <v>25949.42</v>
      </c>
    </row>
    <row r="140" spans="1:57" x14ac:dyDescent="0.2">
      <c r="A140" s="390">
        <v>10</v>
      </c>
      <c r="B140" s="551" t="s">
        <v>207</v>
      </c>
      <c r="C140" t="s">
        <v>920</v>
      </c>
      <c r="D140" s="406">
        <v>330.7</v>
      </c>
      <c r="E140" s="560">
        <v>6691</v>
      </c>
      <c r="F140" s="561">
        <v>593.16999999999996</v>
      </c>
      <c r="G140" s="561">
        <v>61.09</v>
      </c>
      <c r="H140" s="561">
        <v>61.949999999999996</v>
      </c>
      <c r="I140" s="561">
        <v>319.72000000000003</v>
      </c>
      <c r="J140" s="561">
        <v>19.439999999999998</v>
      </c>
      <c r="K140" s="561">
        <v>4.84</v>
      </c>
      <c r="L140" s="561">
        <v>13.7</v>
      </c>
      <c r="M140" s="343">
        <v>0</v>
      </c>
      <c r="N140" s="477">
        <v>24.61</v>
      </c>
      <c r="O140" s="477">
        <v>1.117</v>
      </c>
      <c r="P140" s="407">
        <v>0</v>
      </c>
      <c r="Q140" s="477">
        <v>0</v>
      </c>
      <c r="R140" s="483">
        <v>2339843</v>
      </c>
      <c r="S140" s="483">
        <v>207432</v>
      </c>
      <c r="T140" s="483">
        <v>21363</v>
      </c>
      <c r="U140" s="483">
        <v>21664</v>
      </c>
      <c r="V140" s="483">
        <v>111806</v>
      </c>
      <c r="W140" s="483">
        <v>112445</v>
      </c>
      <c r="X140" s="483">
        <v>0</v>
      </c>
      <c r="Y140" s="483">
        <v>0</v>
      </c>
      <c r="Z140" s="406">
        <v>0</v>
      </c>
      <c r="AA140" s="483">
        <v>10505</v>
      </c>
      <c r="AB140" s="483">
        <v>1223</v>
      </c>
      <c r="AC140" s="385">
        <v>6546</v>
      </c>
      <c r="AD140" s="545">
        <v>5.4</v>
      </c>
      <c r="AE140" s="483">
        <v>20518</v>
      </c>
      <c r="AF140" s="483">
        <v>20803</v>
      </c>
      <c r="AG140" s="481">
        <v>9683</v>
      </c>
      <c r="AH140" s="481">
        <v>9683</v>
      </c>
      <c r="AI140">
        <v>12.5</v>
      </c>
      <c r="AJ140" s="385">
        <v>156616880</v>
      </c>
      <c r="AK140" s="385">
        <v>18180</v>
      </c>
      <c r="AL140" s="385">
        <v>0</v>
      </c>
      <c r="AM140" s="287">
        <v>0</v>
      </c>
      <c r="AN140" s="542">
        <v>330000</v>
      </c>
      <c r="AO140" s="549">
        <v>0.17</v>
      </c>
      <c r="AP140" s="385">
        <v>11850</v>
      </c>
      <c r="AQ140" s="385">
        <v>12015</v>
      </c>
      <c r="AR140" s="481">
        <v>5592</v>
      </c>
      <c r="AS140" s="481">
        <v>5656</v>
      </c>
      <c r="AT140" s="617"/>
      <c r="AU140" s="618">
        <v>70295</v>
      </c>
      <c r="AV140" s="618">
        <v>0</v>
      </c>
      <c r="AW140" s="620"/>
      <c r="AX140" s="620"/>
      <c r="AY140" s="625"/>
      <c r="AZ140" s="626"/>
      <c r="BA140" s="620"/>
      <c r="BB140" s="673">
        <v>833963</v>
      </c>
      <c r="BC140" s="781">
        <v>4.8000000000000001E-2</v>
      </c>
      <c r="BD140" s="790">
        <v>48</v>
      </c>
      <c r="BE140" s="673">
        <v>27437.84</v>
      </c>
    </row>
    <row r="141" spans="1:57" x14ac:dyDescent="0.2">
      <c r="A141" s="390">
        <v>1</v>
      </c>
      <c r="B141" s="551" t="s">
        <v>216</v>
      </c>
      <c r="C141" t="s">
        <v>1132</v>
      </c>
      <c r="D141" s="406">
        <v>1194.5</v>
      </c>
      <c r="E141" s="560">
        <v>6714</v>
      </c>
      <c r="F141" s="561">
        <v>590.25</v>
      </c>
      <c r="G141" s="561">
        <v>63.47</v>
      </c>
      <c r="H141" s="561">
        <v>62.23</v>
      </c>
      <c r="I141" s="561">
        <v>319.72000000000003</v>
      </c>
      <c r="J141" s="561">
        <v>79.2</v>
      </c>
      <c r="K141" s="561">
        <v>35.1</v>
      </c>
      <c r="L141" s="561">
        <v>43.84</v>
      </c>
      <c r="M141" s="343">
        <v>0</v>
      </c>
      <c r="N141" s="477">
        <v>18.760000000000002</v>
      </c>
      <c r="O141" s="477">
        <v>6.34</v>
      </c>
      <c r="P141" s="407">
        <v>1.32</v>
      </c>
      <c r="Q141" s="477">
        <v>0</v>
      </c>
      <c r="R141" s="483">
        <v>8040015</v>
      </c>
      <c r="S141" s="483">
        <v>706824</v>
      </c>
      <c r="T141" s="483">
        <v>76005</v>
      </c>
      <c r="U141" s="483">
        <v>74520</v>
      </c>
      <c r="V141" s="483">
        <v>382865</v>
      </c>
      <c r="W141" s="483">
        <v>408201</v>
      </c>
      <c r="X141" s="483">
        <v>23729</v>
      </c>
      <c r="Y141" s="483">
        <v>211</v>
      </c>
      <c r="Z141" s="406">
        <v>1.1000000000000001</v>
      </c>
      <c r="AA141" s="483">
        <v>40197</v>
      </c>
      <c r="AB141" s="483">
        <v>4311</v>
      </c>
      <c r="AC141" s="385">
        <v>25394</v>
      </c>
      <c r="AD141" s="545">
        <v>5.4</v>
      </c>
      <c r="AE141" s="483">
        <v>29555</v>
      </c>
      <c r="AF141" s="483">
        <v>29310</v>
      </c>
      <c r="AG141" s="481">
        <v>36191</v>
      </c>
      <c r="AH141" s="481">
        <v>34099</v>
      </c>
      <c r="AI141">
        <v>34</v>
      </c>
      <c r="AJ141" s="385">
        <v>512021560</v>
      </c>
      <c r="AK141" s="385">
        <v>92973</v>
      </c>
      <c r="AL141" s="385">
        <v>0</v>
      </c>
      <c r="AM141" s="287">
        <v>0</v>
      </c>
      <c r="AN141" s="542">
        <v>330000</v>
      </c>
      <c r="AO141" s="549">
        <v>0.17</v>
      </c>
      <c r="AP141" s="385">
        <v>20655</v>
      </c>
      <c r="AQ141" s="385">
        <v>20484</v>
      </c>
      <c r="AR141" s="481">
        <v>25293</v>
      </c>
      <c r="AS141" s="481">
        <v>24115</v>
      </c>
      <c r="AT141" s="617"/>
      <c r="AU141" s="618">
        <v>329215</v>
      </c>
      <c r="AV141" s="618">
        <v>213539</v>
      </c>
      <c r="AW141" s="620"/>
      <c r="AX141" s="620"/>
      <c r="AY141" s="625"/>
      <c r="AZ141" s="626"/>
      <c r="BA141" s="620"/>
      <c r="BB141" s="673">
        <v>550251</v>
      </c>
      <c r="BC141" s="781">
        <v>0.05</v>
      </c>
      <c r="BD141" s="790">
        <v>45</v>
      </c>
      <c r="BE141" s="673">
        <v>82053.19</v>
      </c>
    </row>
    <row r="142" spans="1:57" x14ac:dyDescent="0.2">
      <c r="A142" s="390">
        <v>7</v>
      </c>
      <c r="B142" s="551" t="s">
        <v>217</v>
      </c>
      <c r="C142" t="s">
        <v>640</v>
      </c>
      <c r="D142" s="406">
        <v>459.6</v>
      </c>
      <c r="E142" s="560">
        <v>6703</v>
      </c>
      <c r="F142" s="561">
        <v>562.94000000000005</v>
      </c>
      <c r="G142" s="561">
        <v>47.81</v>
      </c>
      <c r="H142" s="561">
        <v>55.589999999999996</v>
      </c>
      <c r="I142" s="561">
        <v>319.72000000000003</v>
      </c>
      <c r="J142" s="561">
        <v>28.799999999999997</v>
      </c>
      <c r="K142" s="561">
        <v>12.1</v>
      </c>
      <c r="L142" s="561">
        <v>16.440000000000001</v>
      </c>
      <c r="M142" s="343">
        <v>0</v>
      </c>
      <c r="N142" s="477">
        <v>7.37</v>
      </c>
      <c r="O142" s="477">
        <v>2.2359999999999998</v>
      </c>
      <c r="P142" s="407">
        <v>0.88</v>
      </c>
      <c r="Q142" s="477">
        <v>0</v>
      </c>
      <c r="R142" s="483">
        <v>2997582</v>
      </c>
      <c r="S142" s="483">
        <v>251747</v>
      </c>
      <c r="T142" s="483">
        <v>21381</v>
      </c>
      <c r="U142" s="483">
        <v>24860</v>
      </c>
      <c r="V142" s="483">
        <v>142979</v>
      </c>
      <c r="W142" s="483">
        <v>147793</v>
      </c>
      <c r="X142" s="483">
        <v>0</v>
      </c>
      <c r="Y142" s="483">
        <v>2</v>
      </c>
      <c r="Z142" s="406">
        <v>0</v>
      </c>
      <c r="AA142" s="483">
        <v>18740</v>
      </c>
      <c r="AB142" s="483">
        <v>2153</v>
      </c>
      <c r="AC142" s="385">
        <v>8087</v>
      </c>
      <c r="AD142" s="545">
        <v>5.4</v>
      </c>
      <c r="AE142" s="483">
        <v>22386</v>
      </c>
      <c r="AF142" s="483">
        <v>22554</v>
      </c>
      <c r="AG142" s="481">
        <v>29996</v>
      </c>
      <c r="AH142" s="481">
        <v>19793</v>
      </c>
      <c r="AI142">
        <v>10</v>
      </c>
      <c r="AJ142" s="385">
        <v>242307059</v>
      </c>
      <c r="AK142" s="385">
        <v>10941</v>
      </c>
      <c r="AL142" s="385">
        <v>0</v>
      </c>
      <c r="AM142" s="287">
        <v>0</v>
      </c>
      <c r="AN142" s="542">
        <v>330000</v>
      </c>
      <c r="AO142" s="549">
        <v>0.17</v>
      </c>
      <c r="AP142" s="385">
        <v>11181</v>
      </c>
      <c r="AQ142" s="385">
        <v>11265</v>
      </c>
      <c r="AR142" s="481">
        <v>14983</v>
      </c>
      <c r="AS142" s="481">
        <v>10063</v>
      </c>
      <c r="AT142" s="617"/>
      <c r="AU142" s="618">
        <v>83196</v>
      </c>
      <c r="AV142" s="618">
        <v>0</v>
      </c>
      <c r="AW142" s="620"/>
      <c r="AX142" s="620"/>
      <c r="AY142" s="625"/>
      <c r="AZ142" s="626"/>
      <c r="BA142" s="620"/>
      <c r="BB142" s="673">
        <v>856907</v>
      </c>
      <c r="BC142" s="781">
        <v>0.05</v>
      </c>
      <c r="BD142" s="790">
        <v>42</v>
      </c>
      <c r="BE142" s="673">
        <v>78527.960000000006</v>
      </c>
    </row>
    <row r="143" spans="1:57" x14ac:dyDescent="0.2">
      <c r="A143" s="390">
        <v>7</v>
      </c>
      <c r="B143" s="551" t="s">
        <v>218</v>
      </c>
      <c r="C143" t="s">
        <v>1134</v>
      </c>
      <c r="D143" s="406">
        <v>666</v>
      </c>
      <c r="E143" s="560">
        <v>6766</v>
      </c>
      <c r="F143" s="561">
        <v>614.69000000000005</v>
      </c>
      <c r="G143" s="561">
        <v>69.58</v>
      </c>
      <c r="H143" s="561">
        <v>53.76</v>
      </c>
      <c r="I143" s="561">
        <v>319.72000000000003</v>
      </c>
      <c r="J143" s="561">
        <v>36.72</v>
      </c>
      <c r="K143" s="561">
        <v>22.39</v>
      </c>
      <c r="L143" s="561">
        <v>31.51</v>
      </c>
      <c r="M143" s="343">
        <v>0</v>
      </c>
      <c r="N143" s="477">
        <v>17.600000000000001</v>
      </c>
      <c r="O143" s="477">
        <v>2.5990000000000002</v>
      </c>
      <c r="P143" s="407">
        <v>1.54</v>
      </c>
      <c r="Q143" s="477">
        <v>0</v>
      </c>
      <c r="R143" s="483">
        <v>4595467</v>
      </c>
      <c r="S143" s="483">
        <v>417497</v>
      </c>
      <c r="T143" s="483">
        <v>47259</v>
      </c>
      <c r="U143" s="483">
        <v>36514</v>
      </c>
      <c r="V143" s="483">
        <v>217154</v>
      </c>
      <c r="W143" s="483">
        <v>225718</v>
      </c>
      <c r="X143" s="483">
        <v>0</v>
      </c>
      <c r="Y143" s="483">
        <v>18</v>
      </c>
      <c r="Z143" s="406">
        <v>0</v>
      </c>
      <c r="AA143" s="483">
        <v>28621</v>
      </c>
      <c r="AB143" s="483">
        <v>3289</v>
      </c>
      <c r="AC143" s="385">
        <v>11512</v>
      </c>
      <c r="AD143" s="545">
        <v>5.4</v>
      </c>
      <c r="AE143" s="483">
        <v>10582</v>
      </c>
      <c r="AF143" s="483">
        <v>10870</v>
      </c>
      <c r="AG143" s="481">
        <v>17205</v>
      </c>
      <c r="AH143" s="481">
        <v>12756</v>
      </c>
      <c r="AI143">
        <v>0</v>
      </c>
      <c r="AJ143" s="385">
        <v>199576140</v>
      </c>
      <c r="AK143" s="385">
        <v>89463</v>
      </c>
      <c r="AL143" s="385">
        <v>0</v>
      </c>
      <c r="AM143" s="287">
        <v>0</v>
      </c>
      <c r="AN143" s="542">
        <v>330000</v>
      </c>
      <c r="AO143" s="549">
        <v>0.17</v>
      </c>
      <c r="AP143" s="385">
        <v>8260</v>
      </c>
      <c r="AQ143" s="385">
        <v>8484</v>
      </c>
      <c r="AR143" s="481">
        <v>13427</v>
      </c>
      <c r="AS143" s="481">
        <v>10080</v>
      </c>
      <c r="AT143" s="617"/>
      <c r="AU143" s="618">
        <v>109403</v>
      </c>
      <c r="AV143" s="618">
        <v>0</v>
      </c>
      <c r="AW143" s="620"/>
      <c r="AX143" s="620"/>
      <c r="AY143" s="625"/>
      <c r="AZ143" s="626"/>
      <c r="BA143" s="624"/>
      <c r="BB143" s="673">
        <v>0</v>
      </c>
      <c r="BC143" s="781">
        <v>4.3999999999999997E-2</v>
      </c>
      <c r="BD143" s="790">
        <v>7</v>
      </c>
      <c r="BE143" s="673">
        <v>44631.74</v>
      </c>
    </row>
    <row r="144" spans="1:57" x14ac:dyDescent="0.2">
      <c r="A144" s="390">
        <v>5</v>
      </c>
      <c r="B144" s="551" t="s">
        <v>219</v>
      </c>
      <c r="C144" t="s">
        <v>1135</v>
      </c>
      <c r="D144" s="406">
        <v>1198.0999999999999</v>
      </c>
      <c r="E144" s="560">
        <v>6591</v>
      </c>
      <c r="F144" s="561">
        <v>583.08000000000004</v>
      </c>
      <c r="G144" s="561">
        <v>63.78</v>
      </c>
      <c r="H144" s="561">
        <v>70.86</v>
      </c>
      <c r="I144" s="561">
        <v>319.72000000000003</v>
      </c>
      <c r="J144" s="561">
        <v>49.68</v>
      </c>
      <c r="K144" s="561">
        <v>28.46</v>
      </c>
      <c r="L144" s="561">
        <v>60.28</v>
      </c>
      <c r="M144" s="343">
        <v>3.92</v>
      </c>
      <c r="N144" s="477">
        <v>30.98</v>
      </c>
      <c r="O144" s="477">
        <v>6.0280000000000005</v>
      </c>
      <c r="P144" s="407">
        <v>8.8000000000000007</v>
      </c>
      <c r="Q144" s="477">
        <v>0</v>
      </c>
      <c r="R144" s="483">
        <v>7974451</v>
      </c>
      <c r="S144" s="483">
        <v>705468</v>
      </c>
      <c r="T144" s="483">
        <v>77167</v>
      </c>
      <c r="U144" s="483">
        <v>85734</v>
      </c>
      <c r="V144" s="483">
        <v>386829</v>
      </c>
      <c r="W144" s="483">
        <v>404378</v>
      </c>
      <c r="X144" s="483">
        <v>0</v>
      </c>
      <c r="Y144" s="483">
        <v>143</v>
      </c>
      <c r="Z144" s="406">
        <v>2.9</v>
      </c>
      <c r="AA144" s="483">
        <v>43030</v>
      </c>
      <c r="AB144" s="483">
        <v>5127</v>
      </c>
      <c r="AC144" s="385">
        <v>20928</v>
      </c>
      <c r="AD144" s="545">
        <v>5.4</v>
      </c>
      <c r="AE144" s="483">
        <v>57822</v>
      </c>
      <c r="AF144" s="483">
        <v>59365</v>
      </c>
      <c r="AG144" s="481">
        <v>50204</v>
      </c>
      <c r="AH144" s="481">
        <v>43959</v>
      </c>
      <c r="AI144">
        <v>32.5</v>
      </c>
      <c r="AJ144" s="385">
        <v>397169572</v>
      </c>
      <c r="AK144" s="385">
        <v>35342</v>
      </c>
      <c r="AL144" s="385">
        <v>0</v>
      </c>
      <c r="AM144" s="287">
        <v>0</v>
      </c>
      <c r="AN144" s="542">
        <v>330000</v>
      </c>
      <c r="AO144" s="549">
        <v>0.17</v>
      </c>
      <c r="AP144" s="385">
        <v>43254</v>
      </c>
      <c r="AQ144" s="385">
        <v>44408</v>
      </c>
      <c r="AR144" s="481">
        <v>37555</v>
      </c>
      <c r="AS144" s="481">
        <v>33668</v>
      </c>
      <c r="AT144" s="617"/>
      <c r="AU144" s="618">
        <v>0</v>
      </c>
      <c r="AV144" s="618">
        <v>0</v>
      </c>
      <c r="AW144" s="620"/>
      <c r="AX144" s="620"/>
      <c r="AY144" s="625"/>
      <c r="AZ144" s="626"/>
      <c r="BA144" s="624"/>
      <c r="BB144" s="673">
        <v>669667</v>
      </c>
      <c r="BC144" s="781">
        <v>0.05</v>
      </c>
      <c r="BD144" s="790">
        <v>46</v>
      </c>
      <c r="BE144" s="673">
        <v>128033.17</v>
      </c>
    </row>
    <row r="145" spans="1:57" x14ac:dyDescent="0.2">
      <c r="A145" s="390">
        <v>13</v>
      </c>
      <c r="B145" s="408" t="s">
        <v>1484</v>
      </c>
      <c r="C145" t="s">
        <v>1481</v>
      </c>
      <c r="D145" s="406">
        <v>658.8</v>
      </c>
      <c r="E145" s="560">
        <v>6692</v>
      </c>
      <c r="F145" s="561">
        <v>619.41999999999996</v>
      </c>
      <c r="G145" s="561">
        <v>70.95</v>
      </c>
      <c r="H145" s="561">
        <v>63.66</v>
      </c>
      <c r="I145" s="561">
        <v>319.72000000000003</v>
      </c>
      <c r="J145" s="561">
        <v>38.879999999999995</v>
      </c>
      <c r="K145" s="561">
        <v>22.4</v>
      </c>
      <c r="L145" s="561">
        <v>23.290000000000003</v>
      </c>
      <c r="M145" s="343">
        <v>0</v>
      </c>
      <c r="N145" s="477">
        <v>8.43</v>
      </c>
      <c r="O145" s="477">
        <v>3.1880000000000002</v>
      </c>
      <c r="P145" s="407">
        <v>1.76</v>
      </c>
      <c r="Q145" s="477">
        <v>0</v>
      </c>
      <c r="R145" s="483">
        <v>4587366</v>
      </c>
      <c r="S145" s="483">
        <v>424612</v>
      </c>
      <c r="T145" s="483">
        <v>48636</v>
      </c>
      <c r="U145" s="483">
        <v>43639</v>
      </c>
      <c r="V145" s="483">
        <v>219168</v>
      </c>
      <c r="W145" s="483">
        <v>222975</v>
      </c>
      <c r="X145" s="483">
        <v>9275</v>
      </c>
      <c r="Y145" s="483">
        <v>15</v>
      </c>
      <c r="Z145" s="406">
        <v>0</v>
      </c>
      <c r="AA145" s="483">
        <v>22895</v>
      </c>
      <c r="AB145" s="483">
        <v>2440</v>
      </c>
      <c r="AC145" s="385">
        <v>15165</v>
      </c>
      <c r="AD145" s="545">
        <v>5.4</v>
      </c>
      <c r="AE145" s="483">
        <v>30575</v>
      </c>
      <c r="AF145" s="483">
        <v>31326</v>
      </c>
      <c r="AG145" s="481">
        <v>16134</v>
      </c>
      <c r="AH145" s="481">
        <v>15027</v>
      </c>
      <c r="AI145">
        <v>21.5</v>
      </c>
      <c r="AJ145" s="385">
        <v>351082891</v>
      </c>
      <c r="AK145" s="385">
        <v>30115</v>
      </c>
      <c r="AL145" s="385">
        <v>0</v>
      </c>
      <c r="AM145" s="287">
        <v>0</v>
      </c>
      <c r="AN145" s="542">
        <v>330000</v>
      </c>
      <c r="AO145" s="549">
        <v>0.17</v>
      </c>
      <c r="AP145" s="385">
        <v>14023</v>
      </c>
      <c r="AQ145" s="385">
        <v>14367</v>
      </c>
      <c r="AR145" s="481">
        <v>7400</v>
      </c>
      <c r="AS145" s="481">
        <v>6955</v>
      </c>
      <c r="AT145" s="617"/>
      <c r="AU145" s="618">
        <v>42851</v>
      </c>
      <c r="AV145" s="618">
        <v>32105</v>
      </c>
      <c r="AW145" s="620"/>
      <c r="AX145" s="620"/>
      <c r="AY145" s="625"/>
      <c r="AZ145" s="626"/>
      <c r="BA145" s="624"/>
      <c r="BB145" s="673">
        <v>0</v>
      </c>
      <c r="BC145" s="781">
        <v>0.05</v>
      </c>
      <c r="BD145" s="790">
        <v>83</v>
      </c>
      <c r="BE145" s="673">
        <v>27321.57</v>
      </c>
    </row>
    <row r="146" spans="1:57" x14ac:dyDescent="0.2">
      <c r="A146" s="390">
        <v>7</v>
      </c>
      <c r="B146" s="551" t="s">
        <v>220</v>
      </c>
      <c r="C146" t="s">
        <v>1136</v>
      </c>
      <c r="D146" s="406">
        <v>1412</v>
      </c>
      <c r="E146" s="560">
        <v>6591</v>
      </c>
      <c r="F146" s="561">
        <v>594.74</v>
      </c>
      <c r="G146" s="561">
        <v>70.06</v>
      </c>
      <c r="H146" s="561">
        <v>66.100000000000009</v>
      </c>
      <c r="I146" s="561">
        <v>319.72000000000003</v>
      </c>
      <c r="J146" s="561">
        <v>101.52</v>
      </c>
      <c r="K146" s="561">
        <v>36.299999999999997</v>
      </c>
      <c r="L146" s="561">
        <v>78.09</v>
      </c>
      <c r="M146" s="343">
        <v>0</v>
      </c>
      <c r="N146" s="477">
        <v>15.83</v>
      </c>
      <c r="O146" s="477">
        <v>6.6059999999999999</v>
      </c>
      <c r="P146" s="407">
        <v>1.1000000000000001</v>
      </c>
      <c r="Q146" s="477">
        <v>0</v>
      </c>
      <c r="R146" s="483">
        <v>9428426</v>
      </c>
      <c r="S146" s="483">
        <v>850776</v>
      </c>
      <c r="T146" s="483">
        <v>100221</v>
      </c>
      <c r="U146" s="483">
        <v>94556</v>
      </c>
      <c r="V146" s="483">
        <v>457359</v>
      </c>
      <c r="W146" s="483">
        <v>482746</v>
      </c>
      <c r="X146" s="483">
        <v>0</v>
      </c>
      <c r="Y146" s="483">
        <v>138</v>
      </c>
      <c r="Z146" s="406">
        <v>3.8</v>
      </c>
      <c r="AA146" s="483">
        <v>61212</v>
      </c>
      <c r="AB146" s="483">
        <v>7034</v>
      </c>
      <c r="AC146" s="385">
        <v>24957</v>
      </c>
      <c r="AD146" s="545">
        <v>5.4</v>
      </c>
      <c r="AE146" s="483">
        <v>32318</v>
      </c>
      <c r="AF146" s="483">
        <v>32595</v>
      </c>
      <c r="AG146" s="481">
        <v>42623</v>
      </c>
      <c r="AH146" s="481">
        <v>41817</v>
      </c>
      <c r="AI146">
        <v>51</v>
      </c>
      <c r="AJ146" s="385">
        <v>424891401</v>
      </c>
      <c r="AK146" s="385">
        <v>21627</v>
      </c>
      <c r="AL146" s="385">
        <v>0</v>
      </c>
      <c r="AM146" s="287">
        <v>0</v>
      </c>
      <c r="AN146" s="542">
        <v>330000</v>
      </c>
      <c r="AO146" s="549">
        <v>0.17</v>
      </c>
      <c r="AP146" s="385">
        <v>27308</v>
      </c>
      <c r="AQ146" s="385">
        <v>27542</v>
      </c>
      <c r="AR146" s="481">
        <v>36017</v>
      </c>
      <c r="AS146" s="481">
        <v>35984</v>
      </c>
      <c r="AT146" s="617"/>
      <c r="AU146" s="618">
        <v>0</v>
      </c>
      <c r="AV146" s="618">
        <v>0</v>
      </c>
      <c r="AW146" s="620"/>
      <c r="AX146" s="620"/>
      <c r="AY146" s="625"/>
      <c r="AZ146" s="626"/>
      <c r="BA146" s="624"/>
      <c r="BB146" s="673">
        <v>859413</v>
      </c>
      <c r="BC146" s="781">
        <v>0.05</v>
      </c>
      <c r="BD146" s="790">
        <v>10</v>
      </c>
      <c r="BE146" s="673">
        <v>127830.87</v>
      </c>
    </row>
    <row r="147" spans="1:57" x14ac:dyDescent="0.2">
      <c r="A147" s="390">
        <v>11</v>
      </c>
      <c r="B147" s="551" t="s">
        <v>221</v>
      </c>
      <c r="C147" t="s">
        <v>1137</v>
      </c>
      <c r="D147" s="406">
        <v>3429.2</v>
      </c>
      <c r="E147" s="560">
        <v>6591</v>
      </c>
      <c r="F147" s="561">
        <v>526.29</v>
      </c>
      <c r="G147" s="561">
        <v>62.45</v>
      </c>
      <c r="H147" s="561">
        <v>59.66</v>
      </c>
      <c r="I147" s="561">
        <v>319.72000000000003</v>
      </c>
      <c r="J147" s="561">
        <v>138.96</v>
      </c>
      <c r="K147" s="561">
        <v>93.86</v>
      </c>
      <c r="L147" s="561">
        <v>90.42</v>
      </c>
      <c r="M147" s="343">
        <v>0</v>
      </c>
      <c r="N147" s="477">
        <v>20.010000000000002</v>
      </c>
      <c r="O147" s="477">
        <v>13.469000000000001</v>
      </c>
      <c r="P147" s="407">
        <v>4.4000000000000004</v>
      </c>
      <c r="Q147" s="477">
        <v>0</v>
      </c>
      <c r="R147" s="483">
        <v>22880657</v>
      </c>
      <c r="S147" s="483">
        <v>1827016</v>
      </c>
      <c r="T147" s="483">
        <v>216795</v>
      </c>
      <c r="U147" s="483">
        <v>207110</v>
      </c>
      <c r="V147" s="483">
        <v>1109908</v>
      </c>
      <c r="W147" s="483">
        <v>1062776</v>
      </c>
      <c r="X147" s="483">
        <v>0</v>
      </c>
      <c r="Y147" s="483">
        <v>14</v>
      </c>
      <c r="Z147" s="406">
        <v>0</v>
      </c>
      <c r="AA147" s="483">
        <v>87571</v>
      </c>
      <c r="AB147" s="483">
        <v>11130</v>
      </c>
      <c r="AC147" s="385">
        <v>46602</v>
      </c>
      <c r="AD147" s="545">
        <v>5.4</v>
      </c>
      <c r="AE147" s="483">
        <v>50004</v>
      </c>
      <c r="AF147" s="483">
        <v>51426</v>
      </c>
      <c r="AG147" s="481">
        <v>75129</v>
      </c>
      <c r="AH147" s="481">
        <v>50680</v>
      </c>
      <c r="AI147">
        <v>63.5</v>
      </c>
      <c r="AJ147" s="385">
        <v>777507271</v>
      </c>
      <c r="AK147" s="385">
        <v>15843</v>
      </c>
      <c r="AL147" s="385">
        <v>0</v>
      </c>
      <c r="AM147" s="287">
        <v>0</v>
      </c>
      <c r="AN147" s="542">
        <v>330000</v>
      </c>
      <c r="AO147" s="549">
        <v>0.17</v>
      </c>
      <c r="AP147" s="385">
        <v>49435</v>
      </c>
      <c r="AQ147" s="385">
        <v>50840</v>
      </c>
      <c r="AR147" s="481">
        <v>74273</v>
      </c>
      <c r="AS147" s="481">
        <v>50919</v>
      </c>
      <c r="AT147" s="617"/>
      <c r="AU147" s="618">
        <v>0</v>
      </c>
      <c r="AV147" s="618">
        <v>0</v>
      </c>
      <c r="AW147" s="620"/>
      <c r="AX147" s="620"/>
      <c r="AY147" s="625"/>
      <c r="AZ147" s="626"/>
      <c r="BA147" s="624"/>
      <c r="BB147" s="673">
        <v>1577959</v>
      </c>
      <c r="BC147" s="781">
        <v>0.05</v>
      </c>
      <c r="BD147" s="790">
        <v>91</v>
      </c>
      <c r="BE147" s="673">
        <v>268671.86</v>
      </c>
    </row>
    <row r="148" spans="1:57" x14ac:dyDescent="0.2">
      <c r="A148" s="390">
        <v>11</v>
      </c>
      <c r="B148" s="551" t="s">
        <v>222</v>
      </c>
      <c r="C148" t="s">
        <v>1138</v>
      </c>
      <c r="D148" s="406">
        <v>888.4</v>
      </c>
      <c r="E148" s="560">
        <v>6591</v>
      </c>
      <c r="F148" s="561">
        <v>578.1</v>
      </c>
      <c r="G148" s="561">
        <v>53.31</v>
      </c>
      <c r="H148" s="561">
        <v>60.9</v>
      </c>
      <c r="I148" s="561">
        <v>319.72000000000003</v>
      </c>
      <c r="J148" s="561">
        <v>37.44</v>
      </c>
      <c r="K148" s="561">
        <v>33.28</v>
      </c>
      <c r="L148" s="561">
        <v>10.96</v>
      </c>
      <c r="M148" s="343">
        <v>0</v>
      </c>
      <c r="N148" s="477">
        <v>22.53</v>
      </c>
      <c r="O148" s="477">
        <v>3.363</v>
      </c>
      <c r="P148" s="407">
        <v>0.66</v>
      </c>
      <c r="Q148" s="477">
        <v>0</v>
      </c>
      <c r="R148" s="483">
        <v>5724943</v>
      </c>
      <c r="S148" s="483">
        <v>502138</v>
      </c>
      <c r="T148" s="483">
        <v>46305</v>
      </c>
      <c r="U148" s="483">
        <v>52898</v>
      </c>
      <c r="V148" s="483">
        <v>277709</v>
      </c>
      <c r="W148" s="483">
        <v>264971</v>
      </c>
      <c r="X148" s="483">
        <v>2848</v>
      </c>
      <c r="Y148" s="483">
        <v>3</v>
      </c>
      <c r="Z148" s="406">
        <v>0</v>
      </c>
      <c r="AA148" s="483">
        <v>21833</v>
      </c>
      <c r="AB148" s="483">
        <v>2775</v>
      </c>
      <c r="AC148" s="385">
        <v>10759</v>
      </c>
      <c r="AD148" s="545">
        <v>5.4</v>
      </c>
      <c r="AE148" s="483">
        <v>29639</v>
      </c>
      <c r="AF148" s="483">
        <v>30112</v>
      </c>
      <c r="AG148" s="481">
        <v>5913</v>
      </c>
      <c r="AH148" s="481">
        <v>5913</v>
      </c>
      <c r="AI148">
        <v>16</v>
      </c>
      <c r="AJ148" s="385">
        <v>207594621</v>
      </c>
      <c r="AK148" s="385">
        <v>1134</v>
      </c>
      <c r="AL148" s="385">
        <v>0</v>
      </c>
      <c r="AM148" s="287">
        <v>0</v>
      </c>
      <c r="AN148" s="542">
        <v>330000</v>
      </c>
      <c r="AO148" s="549">
        <v>0.17</v>
      </c>
      <c r="AP148" s="385">
        <v>29862</v>
      </c>
      <c r="AQ148" s="385">
        <v>30338</v>
      </c>
      <c r="AR148" s="481">
        <v>5957</v>
      </c>
      <c r="AS148" s="481">
        <v>5985</v>
      </c>
      <c r="AT148" s="617"/>
      <c r="AU148" s="618">
        <v>0</v>
      </c>
      <c r="AV148" s="618">
        <v>104522</v>
      </c>
      <c r="AW148" s="620"/>
      <c r="AX148" s="620"/>
      <c r="AY148" s="625"/>
      <c r="AZ148" s="626"/>
      <c r="BA148" s="624"/>
      <c r="BB148" s="673">
        <v>666529</v>
      </c>
      <c r="BC148" s="781">
        <v>3.6999999999999998E-2</v>
      </c>
      <c r="BD148" s="790">
        <v>61</v>
      </c>
      <c r="BE148" s="673">
        <v>20446.75</v>
      </c>
    </row>
    <row r="149" spans="1:57" x14ac:dyDescent="0.2">
      <c r="A149" s="390">
        <v>10</v>
      </c>
      <c r="B149" s="551" t="s">
        <v>223</v>
      </c>
      <c r="C149" t="s">
        <v>1139</v>
      </c>
      <c r="D149" s="406">
        <v>13981.6</v>
      </c>
      <c r="E149" s="560">
        <v>6608</v>
      </c>
      <c r="F149" s="561">
        <v>545.77</v>
      </c>
      <c r="G149" s="561">
        <v>67.58</v>
      </c>
      <c r="H149" s="561">
        <v>69.210000000000008</v>
      </c>
      <c r="I149" s="561">
        <v>319.72000000000003</v>
      </c>
      <c r="J149" s="561">
        <v>516.96</v>
      </c>
      <c r="K149" s="561">
        <v>288.20999999999998</v>
      </c>
      <c r="L149" s="561">
        <v>516.49</v>
      </c>
      <c r="M149" s="343">
        <v>0</v>
      </c>
      <c r="N149" s="477">
        <v>42.02</v>
      </c>
      <c r="O149" s="477">
        <v>63.439</v>
      </c>
      <c r="P149" s="407">
        <v>275.66000000000003</v>
      </c>
      <c r="Q149" s="477">
        <v>0</v>
      </c>
      <c r="R149" s="483">
        <v>90339290</v>
      </c>
      <c r="S149" s="483">
        <v>7461331</v>
      </c>
      <c r="T149" s="483">
        <v>923900</v>
      </c>
      <c r="U149" s="483">
        <v>946184</v>
      </c>
      <c r="V149" s="483">
        <v>4370956</v>
      </c>
      <c r="W149" s="483">
        <v>4357615</v>
      </c>
      <c r="X149" s="483">
        <v>0</v>
      </c>
      <c r="Y149" s="483">
        <v>984</v>
      </c>
      <c r="Z149" s="406">
        <v>0.6</v>
      </c>
      <c r="AA149" s="483">
        <v>407121</v>
      </c>
      <c r="AB149" s="483">
        <v>47382</v>
      </c>
      <c r="AC149" s="385">
        <v>160266</v>
      </c>
      <c r="AD149" s="545">
        <v>5.4</v>
      </c>
      <c r="AE149" s="483">
        <v>359937</v>
      </c>
      <c r="AF149" s="483">
        <v>369285</v>
      </c>
      <c r="AG149" s="481">
        <v>822716</v>
      </c>
      <c r="AH149" s="481">
        <v>615606</v>
      </c>
      <c r="AI149">
        <v>197.5</v>
      </c>
      <c r="AJ149" s="385">
        <v>5462098208</v>
      </c>
      <c r="AK149" s="385">
        <v>0</v>
      </c>
      <c r="AL149" s="385">
        <v>0</v>
      </c>
      <c r="AM149" s="287">
        <v>0</v>
      </c>
      <c r="AN149" s="542">
        <v>330000</v>
      </c>
      <c r="AO149" s="549">
        <v>0.17</v>
      </c>
      <c r="AP149" s="385">
        <v>223572</v>
      </c>
      <c r="AQ149" s="385">
        <v>229379</v>
      </c>
      <c r="AR149" s="481">
        <v>511024</v>
      </c>
      <c r="AS149" s="481">
        <v>392572</v>
      </c>
      <c r="AT149" s="617"/>
      <c r="AU149" s="618">
        <v>0</v>
      </c>
      <c r="AV149" s="618">
        <v>0</v>
      </c>
      <c r="AW149" s="620"/>
      <c r="AX149" s="620"/>
      <c r="AY149" s="625"/>
      <c r="AZ149" s="626"/>
      <c r="BA149" s="624"/>
      <c r="BB149" s="673">
        <v>12553126</v>
      </c>
      <c r="BC149" s="781">
        <v>0.05</v>
      </c>
      <c r="BD149" s="790">
        <v>52</v>
      </c>
      <c r="BE149" s="673">
        <v>2131343.9</v>
      </c>
    </row>
    <row r="150" spans="1:57" x14ac:dyDescent="0.2">
      <c r="A150" s="390">
        <v>7</v>
      </c>
      <c r="B150" s="551" t="s">
        <v>224</v>
      </c>
      <c r="C150" t="s">
        <v>1140</v>
      </c>
      <c r="D150" s="406">
        <v>1079.3</v>
      </c>
      <c r="E150" s="560">
        <v>6596</v>
      </c>
      <c r="F150" s="561">
        <v>577.66999999999996</v>
      </c>
      <c r="G150" s="561">
        <v>67.210000000000008</v>
      </c>
      <c r="H150" s="561">
        <v>72.48</v>
      </c>
      <c r="I150" s="561">
        <v>319.72000000000003</v>
      </c>
      <c r="J150" s="561">
        <v>69.84</v>
      </c>
      <c r="K150" s="561">
        <v>33.29</v>
      </c>
      <c r="L150" s="561">
        <v>36.989999999999995</v>
      </c>
      <c r="M150" s="343">
        <v>0</v>
      </c>
      <c r="N150" s="477">
        <v>26.93</v>
      </c>
      <c r="O150" s="477">
        <v>5.0979999999999999</v>
      </c>
      <c r="P150" s="407">
        <v>4.4000000000000004</v>
      </c>
      <c r="Q150" s="477">
        <v>0</v>
      </c>
      <c r="R150" s="483">
        <v>7168533</v>
      </c>
      <c r="S150" s="483">
        <v>627812</v>
      </c>
      <c r="T150" s="483">
        <v>73044</v>
      </c>
      <c r="U150" s="483">
        <v>78771</v>
      </c>
      <c r="V150" s="483">
        <v>347472</v>
      </c>
      <c r="W150" s="483">
        <v>359602</v>
      </c>
      <c r="X150" s="483">
        <v>0</v>
      </c>
      <c r="Y150" s="483">
        <v>0</v>
      </c>
      <c r="Z150" s="406">
        <v>0</v>
      </c>
      <c r="AA150" s="483">
        <v>45598</v>
      </c>
      <c r="AB150" s="483">
        <v>5240</v>
      </c>
      <c r="AC150" s="385">
        <v>16543</v>
      </c>
      <c r="AD150" s="545">
        <v>5.4</v>
      </c>
      <c r="AE150" s="483">
        <v>55902</v>
      </c>
      <c r="AF150" s="483">
        <v>56269</v>
      </c>
      <c r="AG150" s="481">
        <v>47244</v>
      </c>
      <c r="AH150" s="481">
        <v>33524</v>
      </c>
      <c r="AI150">
        <v>25</v>
      </c>
      <c r="AJ150" s="385">
        <v>304561405</v>
      </c>
      <c r="AK150" s="385">
        <v>29948</v>
      </c>
      <c r="AL150" s="385">
        <v>0</v>
      </c>
      <c r="AM150" s="287">
        <v>0</v>
      </c>
      <c r="AN150" s="542">
        <v>330000</v>
      </c>
      <c r="AO150" s="549">
        <v>0.17</v>
      </c>
      <c r="AP150" s="385">
        <v>48834</v>
      </c>
      <c r="AQ150" s="385">
        <v>49155</v>
      </c>
      <c r="AR150" s="481">
        <v>41271</v>
      </c>
      <c r="AS150" s="481">
        <v>30102</v>
      </c>
      <c r="AT150" s="617"/>
      <c r="AU150" s="618">
        <v>0</v>
      </c>
      <c r="AV150" s="618">
        <v>0</v>
      </c>
      <c r="AW150" s="620"/>
      <c r="AX150" s="620"/>
      <c r="AY150" s="625"/>
      <c r="AZ150" s="626"/>
      <c r="BA150" s="624"/>
      <c r="BB150" s="673">
        <v>70911</v>
      </c>
      <c r="BC150" s="781">
        <v>0.05</v>
      </c>
      <c r="BD150" s="790">
        <v>42</v>
      </c>
      <c r="BE150" s="673">
        <v>125033.34</v>
      </c>
    </row>
    <row r="151" spans="1:57" x14ac:dyDescent="0.2">
      <c r="A151" s="390">
        <v>10</v>
      </c>
      <c r="B151" s="551" t="s">
        <v>225</v>
      </c>
      <c r="C151" t="s">
        <v>1141</v>
      </c>
      <c r="D151" s="406">
        <v>540.70000000000005</v>
      </c>
      <c r="E151" s="560">
        <v>6591</v>
      </c>
      <c r="F151" s="561">
        <v>540.83000000000004</v>
      </c>
      <c r="G151" s="561">
        <v>63.1</v>
      </c>
      <c r="H151" s="561">
        <v>53.12</v>
      </c>
      <c r="I151" s="561">
        <v>319.72000000000003</v>
      </c>
      <c r="J151" s="561">
        <v>23.759999999999998</v>
      </c>
      <c r="K151" s="561">
        <v>12.110000000000001</v>
      </c>
      <c r="L151" s="561">
        <v>19.18</v>
      </c>
      <c r="M151" s="343">
        <v>0</v>
      </c>
      <c r="N151" s="477">
        <v>21.48</v>
      </c>
      <c r="O151" s="477">
        <v>2.3730000000000002</v>
      </c>
      <c r="P151" s="407">
        <v>0.88</v>
      </c>
      <c r="Q151" s="477">
        <v>0</v>
      </c>
      <c r="R151" s="483">
        <v>3475434</v>
      </c>
      <c r="S151" s="483">
        <v>285180</v>
      </c>
      <c r="T151" s="483">
        <v>33273</v>
      </c>
      <c r="U151" s="483">
        <v>28010</v>
      </c>
      <c r="V151" s="483">
        <v>168588</v>
      </c>
      <c r="W151" s="483">
        <v>167244</v>
      </c>
      <c r="X151" s="483">
        <v>20364</v>
      </c>
      <c r="Y151" s="483">
        <v>2</v>
      </c>
      <c r="Z151" s="406">
        <v>0</v>
      </c>
      <c r="AA151" s="483">
        <v>15625</v>
      </c>
      <c r="AB151" s="483">
        <v>1818</v>
      </c>
      <c r="AC151" s="385">
        <v>10256</v>
      </c>
      <c r="AD151" s="545">
        <v>5.4</v>
      </c>
      <c r="AE151" s="483">
        <v>17845</v>
      </c>
      <c r="AF151" s="483">
        <v>17967</v>
      </c>
      <c r="AG151" s="481">
        <v>12715</v>
      </c>
      <c r="AH151" s="481">
        <v>8815</v>
      </c>
      <c r="AI151">
        <v>18</v>
      </c>
      <c r="AJ151" s="385">
        <v>149394364</v>
      </c>
      <c r="AK151" s="385">
        <v>12199</v>
      </c>
      <c r="AL151" s="385">
        <v>0</v>
      </c>
      <c r="AM151" s="287">
        <v>0</v>
      </c>
      <c r="AN151" s="542">
        <v>330000</v>
      </c>
      <c r="AO151" s="549">
        <v>0.17</v>
      </c>
      <c r="AP151" s="385">
        <v>16667</v>
      </c>
      <c r="AQ151" s="385">
        <v>16781</v>
      </c>
      <c r="AR151" s="481">
        <v>11876</v>
      </c>
      <c r="AS151" s="481">
        <v>8352</v>
      </c>
      <c r="AT151" s="617"/>
      <c r="AU151" s="618">
        <v>53416</v>
      </c>
      <c r="AV151" s="618">
        <v>91647</v>
      </c>
      <c r="AW151" s="620"/>
      <c r="AX151" s="620"/>
      <c r="AY151" s="625"/>
      <c r="AZ151" s="626"/>
      <c r="BA151" s="624"/>
      <c r="BB151" s="673">
        <v>611212</v>
      </c>
      <c r="BC151" s="781">
        <v>3.5999999999999997E-2</v>
      </c>
      <c r="BD151" s="790">
        <v>48</v>
      </c>
      <c r="BE151" s="673">
        <v>32126.63</v>
      </c>
    </row>
    <row r="152" spans="1:57" x14ac:dyDescent="0.2">
      <c r="A152" s="390">
        <v>7</v>
      </c>
      <c r="B152" s="551" t="s">
        <v>226</v>
      </c>
      <c r="C152" t="s">
        <v>1142</v>
      </c>
      <c r="D152" s="406">
        <v>389.2</v>
      </c>
      <c r="E152" s="560">
        <v>6666</v>
      </c>
      <c r="F152" s="561">
        <v>557.69000000000005</v>
      </c>
      <c r="G152" s="561">
        <v>53.29</v>
      </c>
      <c r="H152" s="561">
        <v>46.88</v>
      </c>
      <c r="I152" s="561">
        <v>319.72000000000003</v>
      </c>
      <c r="J152" s="561">
        <v>15.84</v>
      </c>
      <c r="K152" s="561">
        <v>13.92</v>
      </c>
      <c r="L152" s="561">
        <v>10.96</v>
      </c>
      <c r="M152" s="343">
        <v>0</v>
      </c>
      <c r="N152" s="477">
        <v>2.39</v>
      </c>
      <c r="O152" s="477">
        <v>1.2890000000000001</v>
      </c>
      <c r="P152" s="407">
        <v>0</v>
      </c>
      <c r="Q152" s="477">
        <v>0</v>
      </c>
      <c r="R152" s="483">
        <v>2507083</v>
      </c>
      <c r="S152" s="483">
        <v>209747</v>
      </c>
      <c r="T152" s="483">
        <v>20042</v>
      </c>
      <c r="U152" s="483">
        <v>17632</v>
      </c>
      <c r="V152" s="483">
        <v>120247</v>
      </c>
      <c r="W152" s="483">
        <v>120981</v>
      </c>
      <c r="X152" s="483">
        <v>0</v>
      </c>
      <c r="Y152" s="483">
        <v>11</v>
      </c>
      <c r="Z152" s="406">
        <v>0</v>
      </c>
      <c r="AA152" s="483">
        <v>15340</v>
      </c>
      <c r="AB152" s="483">
        <v>1763</v>
      </c>
      <c r="AC152" s="385">
        <v>5361</v>
      </c>
      <c r="AD152" s="545">
        <v>5.4</v>
      </c>
      <c r="AE152" s="483">
        <v>15652</v>
      </c>
      <c r="AF152" s="483">
        <v>16070</v>
      </c>
      <c r="AG152" s="481">
        <v>6950</v>
      </c>
      <c r="AH152" s="481">
        <v>6768</v>
      </c>
      <c r="AI152">
        <v>15</v>
      </c>
      <c r="AJ152" s="385">
        <v>134083900</v>
      </c>
      <c r="AK152" s="385">
        <v>17025</v>
      </c>
      <c r="AL152" s="385">
        <v>0</v>
      </c>
      <c r="AM152" s="287">
        <v>0</v>
      </c>
      <c r="AN152" s="542">
        <v>330000</v>
      </c>
      <c r="AO152" s="549">
        <v>0.17</v>
      </c>
      <c r="AP152" s="385">
        <v>9326</v>
      </c>
      <c r="AQ152" s="385">
        <v>9575</v>
      </c>
      <c r="AR152" s="481">
        <v>4141</v>
      </c>
      <c r="AS152" s="481">
        <v>4070</v>
      </c>
      <c r="AT152" s="617"/>
      <c r="AU152" s="618">
        <v>0</v>
      </c>
      <c r="AV152" s="618">
        <v>0</v>
      </c>
      <c r="AW152" s="620"/>
      <c r="AX152" s="620"/>
      <c r="AY152" s="625"/>
      <c r="AZ152" s="626"/>
      <c r="BA152" s="624"/>
      <c r="BB152" s="673">
        <v>0</v>
      </c>
      <c r="BC152" s="781">
        <v>3.9E-2</v>
      </c>
      <c r="BD152" s="790">
        <v>9</v>
      </c>
      <c r="BE152" s="673">
        <v>15328.64</v>
      </c>
    </row>
    <row r="153" spans="1:57" x14ac:dyDescent="0.2">
      <c r="A153" s="390">
        <v>7</v>
      </c>
      <c r="B153" s="551" t="s">
        <v>228</v>
      </c>
      <c r="C153" t="s">
        <v>1146</v>
      </c>
      <c r="D153" s="406">
        <v>886</v>
      </c>
      <c r="E153" s="560">
        <v>6591</v>
      </c>
      <c r="F153" s="561">
        <v>515.05999999999995</v>
      </c>
      <c r="G153" s="561">
        <v>55.800000000000004</v>
      </c>
      <c r="H153" s="561">
        <v>68.31</v>
      </c>
      <c r="I153" s="561">
        <v>319.72000000000003</v>
      </c>
      <c r="J153" s="561">
        <v>31.68</v>
      </c>
      <c r="K153" s="561">
        <v>13.31</v>
      </c>
      <c r="L153" s="561">
        <v>46.580000000000005</v>
      </c>
      <c r="M153" s="343">
        <v>0</v>
      </c>
      <c r="N153" s="477">
        <v>6.04</v>
      </c>
      <c r="O153" s="477">
        <v>3.036</v>
      </c>
      <c r="P153" s="407">
        <v>15.84</v>
      </c>
      <c r="Q153" s="477">
        <v>0</v>
      </c>
      <c r="R153" s="483">
        <v>5829080</v>
      </c>
      <c r="S153" s="483">
        <v>455519</v>
      </c>
      <c r="T153" s="483">
        <v>49350</v>
      </c>
      <c r="U153" s="483">
        <v>60413</v>
      </c>
      <c r="V153" s="483">
        <v>282760</v>
      </c>
      <c r="W153" s="483">
        <v>285666</v>
      </c>
      <c r="X153" s="483">
        <v>0</v>
      </c>
      <c r="Y153" s="483">
        <v>127</v>
      </c>
      <c r="Z153" s="406">
        <v>0</v>
      </c>
      <c r="AA153" s="483">
        <v>36222</v>
      </c>
      <c r="AB153" s="483">
        <v>4162</v>
      </c>
      <c r="AC153" s="385">
        <v>13877</v>
      </c>
      <c r="AD153" s="545">
        <v>5.4</v>
      </c>
      <c r="AE153" s="483">
        <v>30429</v>
      </c>
      <c r="AF153" s="483">
        <v>31259</v>
      </c>
      <c r="AG153" s="481">
        <v>12194</v>
      </c>
      <c r="AH153" s="481">
        <v>12194</v>
      </c>
      <c r="AI153">
        <v>0</v>
      </c>
      <c r="AJ153" s="385">
        <v>272809162</v>
      </c>
      <c r="AK153" s="385">
        <v>1856</v>
      </c>
      <c r="AL153" s="385">
        <v>0</v>
      </c>
      <c r="AM153" s="287">
        <v>0</v>
      </c>
      <c r="AN153" s="542">
        <v>330000</v>
      </c>
      <c r="AO153" s="549">
        <v>0.17</v>
      </c>
      <c r="AP153" s="385">
        <v>19867</v>
      </c>
      <c r="AQ153" s="385">
        <v>20409</v>
      </c>
      <c r="AR153" s="481">
        <v>7961</v>
      </c>
      <c r="AS153" s="481">
        <v>8027</v>
      </c>
      <c r="AT153" s="617"/>
      <c r="AU153" s="618">
        <v>0</v>
      </c>
      <c r="AV153" s="618">
        <v>0</v>
      </c>
      <c r="AW153" s="620"/>
      <c r="AX153" s="620"/>
      <c r="AY153" s="625"/>
      <c r="AZ153" s="626"/>
      <c r="BA153" s="624"/>
      <c r="BB153" s="673">
        <v>1792388</v>
      </c>
      <c r="BC153" s="781">
        <v>2.5000000000000001E-2</v>
      </c>
      <c r="BD153" s="790">
        <v>10</v>
      </c>
      <c r="BE153" s="673">
        <v>31032.69</v>
      </c>
    </row>
    <row r="154" spans="1:57" x14ac:dyDescent="0.2">
      <c r="A154" s="390">
        <v>11</v>
      </c>
      <c r="B154" s="551" t="s">
        <v>229</v>
      </c>
      <c r="C154" t="s">
        <v>1147</v>
      </c>
      <c r="D154" s="406">
        <v>6894.2</v>
      </c>
      <c r="E154" s="560">
        <v>6591</v>
      </c>
      <c r="F154" s="561">
        <v>528.41</v>
      </c>
      <c r="G154" s="561">
        <v>58.61</v>
      </c>
      <c r="H154" s="561">
        <v>57.31</v>
      </c>
      <c r="I154" s="561">
        <v>319.72000000000003</v>
      </c>
      <c r="J154" s="561">
        <v>205.92</v>
      </c>
      <c r="K154" s="561">
        <v>172</v>
      </c>
      <c r="L154" s="561">
        <v>219.2</v>
      </c>
      <c r="M154" s="343">
        <v>0</v>
      </c>
      <c r="N154" s="477">
        <v>53.32</v>
      </c>
      <c r="O154" s="477">
        <v>24.244</v>
      </c>
      <c r="P154" s="407">
        <v>60.94</v>
      </c>
      <c r="Q154" s="477">
        <v>0</v>
      </c>
      <c r="R154" s="483">
        <v>44529455</v>
      </c>
      <c r="S154" s="483">
        <v>3569991</v>
      </c>
      <c r="T154" s="483">
        <v>395975</v>
      </c>
      <c r="U154" s="483">
        <v>387192</v>
      </c>
      <c r="V154" s="483">
        <v>2160060</v>
      </c>
      <c r="W154" s="483">
        <v>2061058</v>
      </c>
      <c r="X154" s="483">
        <v>0</v>
      </c>
      <c r="Y154" s="483">
        <v>320</v>
      </c>
      <c r="Z154" s="406">
        <v>0</v>
      </c>
      <c r="AA154" s="483">
        <v>169828</v>
      </c>
      <c r="AB154" s="483">
        <v>21585</v>
      </c>
      <c r="AC154" s="385">
        <v>57139</v>
      </c>
      <c r="AD154" s="545">
        <v>5.4</v>
      </c>
      <c r="AE154" s="483">
        <v>283605</v>
      </c>
      <c r="AF154" s="483">
        <v>291648</v>
      </c>
      <c r="AG154" s="481">
        <v>392484</v>
      </c>
      <c r="AH154" s="481">
        <v>261396</v>
      </c>
      <c r="AI154">
        <v>130.5</v>
      </c>
      <c r="AJ154" s="385">
        <v>1984155977</v>
      </c>
      <c r="AK154" s="385">
        <v>5589</v>
      </c>
      <c r="AL154" s="385">
        <v>0</v>
      </c>
      <c r="AM154" s="287">
        <v>19940</v>
      </c>
      <c r="AN154" s="542">
        <v>330000</v>
      </c>
      <c r="AO154" s="549">
        <v>0.17</v>
      </c>
      <c r="AP154" s="385">
        <v>210593</v>
      </c>
      <c r="AQ154" s="385">
        <v>216566</v>
      </c>
      <c r="AR154" s="481">
        <v>291443</v>
      </c>
      <c r="AS154" s="481">
        <v>200011</v>
      </c>
      <c r="AT154" s="617"/>
      <c r="AU154" s="618">
        <v>0</v>
      </c>
      <c r="AV154" s="618">
        <v>0</v>
      </c>
      <c r="AW154" s="620"/>
      <c r="AX154" s="620"/>
      <c r="AY154" s="625"/>
      <c r="AZ154" s="626"/>
      <c r="BA154" s="624"/>
      <c r="BB154" s="673">
        <v>4045522</v>
      </c>
      <c r="BC154" s="781">
        <v>3.3000000000000002E-2</v>
      </c>
      <c r="BD154" s="790">
        <v>77</v>
      </c>
      <c r="BE154" s="673">
        <v>1333947.06</v>
      </c>
    </row>
    <row r="155" spans="1:57" x14ac:dyDescent="0.2">
      <c r="A155" s="390">
        <v>15</v>
      </c>
      <c r="B155" s="551" t="s">
        <v>230</v>
      </c>
      <c r="C155" t="s">
        <v>1148</v>
      </c>
      <c r="D155" s="406">
        <v>1913.8</v>
      </c>
      <c r="E155" s="560">
        <v>6591</v>
      </c>
      <c r="F155" s="561">
        <v>557.55999999999995</v>
      </c>
      <c r="G155" s="561">
        <v>66.36</v>
      </c>
      <c r="H155" s="561">
        <v>71.600000000000009</v>
      </c>
      <c r="I155" s="561">
        <v>319.72000000000003</v>
      </c>
      <c r="J155" s="561">
        <v>91.44</v>
      </c>
      <c r="K155" s="561">
        <v>126.46</v>
      </c>
      <c r="L155" s="561">
        <v>134.26</v>
      </c>
      <c r="M155" s="343">
        <v>0</v>
      </c>
      <c r="N155" s="477">
        <v>37.15</v>
      </c>
      <c r="O155" s="477">
        <v>12.148</v>
      </c>
      <c r="P155" s="407">
        <v>0.22</v>
      </c>
      <c r="Q155" s="477">
        <v>0</v>
      </c>
      <c r="R155" s="483">
        <v>12598697</v>
      </c>
      <c r="S155" s="483">
        <v>1065776</v>
      </c>
      <c r="T155" s="483">
        <v>126847</v>
      </c>
      <c r="U155" s="483">
        <v>136863</v>
      </c>
      <c r="V155" s="483">
        <v>611145</v>
      </c>
      <c r="W155" s="483">
        <v>643434</v>
      </c>
      <c r="X155" s="483">
        <v>13571</v>
      </c>
      <c r="Y155" s="483">
        <v>65</v>
      </c>
      <c r="Z155" s="406">
        <v>0.1</v>
      </c>
      <c r="AA155" s="483">
        <v>64455</v>
      </c>
      <c r="AB155" s="483">
        <v>6992</v>
      </c>
      <c r="AC155" s="385">
        <v>34775</v>
      </c>
      <c r="AD155" s="545">
        <v>5.4</v>
      </c>
      <c r="AE155" s="483">
        <v>284115</v>
      </c>
      <c r="AF155" s="483">
        <v>287004</v>
      </c>
      <c r="AG155" s="481">
        <v>83439</v>
      </c>
      <c r="AH155" s="481">
        <v>67202</v>
      </c>
      <c r="AI155">
        <v>42</v>
      </c>
      <c r="AJ155" s="385">
        <v>389729454</v>
      </c>
      <c r="AK155" s="385">
        <v>0</v>
      </c>
      <c r="AL155" s="385">
        <v>0</v>
      </c>
      <c r="AM155" s="287">
        <v>0</v>
      </c>
      <c r="AN155" s="542">
        <v>330000</v>
      </c>
      <c r="AO155" s="549">
        <v>0.17</v>
      </c>
      <c r="AP155" s="385">
        <v>315354</v>
      </c>
      <c r="AQ155" s="385">
        <v>318561</v>
      </c>
      <c r="AR155" s="481">
        <v>92614</v>
      </c>
      <c r="AS155" s="481">
        <v>76987</v>
      </c>
      <c r="AT155" s="617"/>
      <c r="AU155" s="618">
        <v>4562</v>
      </c>
      <c r="AV155" s="618">
        <v>185893</v>
      </c>
      <c r="AW155" s="620"/>
      <c r="AX155" s="620"/>
      <c r="AY155" s="625"/>
      <c r="AZ155" s="626"/>
      <c r="BA155" s="624"/>
      <c r="BB155" s="673">
        <v>1792567</v>
      </c>
      <c r="BC155" s="781">
        <v>0.05</v>
      </c>
      <c r="BD155" s="790">
        <v>56</v>
      </c>
      <c r="BE155" s="673">
        <v>298587.86</v>
      </c>
    </row>
    <row r="156" spans="1:57" x14ac:dyDescent="0.2">
      <c r="A156" s="390">
        <v>15</v>
      </c>
      <c r="B156" s="551" t="s">
        <v>231</v>
      </c>
      <c r="C156" t="s">
        <v>1149</v>
      </c>
      <c r="D156" s="406">
        <v>349</v>
      </c>
      <c r="E156" s="560">
        <v>6635</v>
      </c>
      <c r="F156" s="561">
        <v>610.32000000000005</v>
      </c>
      <c r="G156" s="561">
        <v>63.83</v>
      </c>
      <c r="H156" s="561">
        <v>58.49</v>
      </c>
      <c r="I156" s="561">
        <v>319.72000000000003</v>
      </c>
      <c r="J156" s="561">
        <v>18.72</v>
      </c>
      <c r="K156" s="561">
        <v>8.4700000000000006</v>
      </c>
      <c r="L156" s="561">
        <v>10.96</v>
      </c>
      <c r="M156" s="343">
        <v>0</v>
      </c>
      <c r="N156" s="477">
        <v>23.56</v>
      </c>
      <c r="O156" s="477">
        <v>1.407</v>
      </c>
      <c r="P156" s="407">
        <v>0</v>
      </c>
      <c r="Q156" s="477">
        <v>0</v>
      </c>
      <c r="R156" s="483">
        <v>2135807</v>
      </c>
      <c r="S156" s="483">
        <v>196462</v>
      </c>
      <c r="T156" s="483">
        <v>20547</v>
      </c>
      <c r="U156" s="483">
        <v>18828</v>
      </c>
      <c r="V156" s="483">
        <v>102918</v>
      </c>
      <c r="W156" s="483">
        <v>101651</v>
      </c>
      <c r="X156" s="483">
        <v>3488</v>
      </c>
      <c r="Y156" s="483">
        <v>2</v>
      </c>
      <c r="Z156" s="406">
        <v>0</v>
      </c>
      <c r="AA156" s="483">
        <v>10183</v>
      </c>
      <c r="AB156" s="483">
        <v>1105</v>
      </c>
      <c r="AC156" s="385">
        <v>5960</v>
      </c>
      <c r="AD156" s="545">
        <v>5.4</v>
      </c>
      <c r="AE156" s="483">
        <v>24928</v>
      </c>
      <c r="AF156" s="483">
        <v>24834</v>
      </c>
      <c r="AG156" s="481">
        <v>5120</v>
      </c>
      <c r="AH156" s="481">
        <v>5120</v>
      </c>
      <c r="AI156">
        <v>9</v>
      </c>
      <c r="AJ156" s="385">
        <v>157532598</v>
      </c>
      <c r="AK156" s="385">
        <v>0</v>
      </c>
      <c r="AL156" s="385">
        <v>0</v>
      </c>
      <c r="AM156" s="287">
        <v>0</v>
      </c>
      <c r="AN156" s="542">
        <v>330000</v>
      </c>
      <c r="AO156" s="549">
        <v>0.17</v>
      </c>
      <c r="AP156" s="385">
        <v>13782</v>
      </c>
      <c r="AQ156" s="385">
        <v>13730</v>
      </c>
      <c r="AR156" s="481">
        <v>2830</v>
      </c>
      <c r="AS156" s="481">
        <v>2845</v>
      </c>
      <c r="AT156" s="617"/>
      <c r="AU156" s="618">
        <v>39283</v>
      </c>
      <c r="AV156" s="618">
        <v>85649</v>
      </c>
      <c r="AW156" s="620"/>
      <c r="AX156" s="620"/>
      <c r="AY156" s="625"/>
      <c r="AZ156" s="626"/>
      <c r="BA156" s="624"/>
      <c r="BB156" s="673">
        <v>0</v>
      </c>
      <c r="BC156" s="781">
        <v>2.8000000000000001E-2</v>
      </c>
      <c r="BD156" s="790">
        <v>54</v>
      </c>
      <c r="BE156" s="673">
        <v>11456.04</v>
      </c>
    </row>
    <row r="157" spans="1:57" x14ac:dyDescent="0.2">
      <c r="A157" s="390">
        <v>12</v>
      </c>
      <c r="B157" s="551" t="s">
        <v>232</v>
      </c>
      <c r="C157" t="s">
        <v>1150</v>
      </c>
      <c r="D157" s="406">
        <v>467.3</v>
      </c>
      <c r="E157" s="560">
        <v>6694</v>
      </c>
      <c r="F157" s="561">
        <v>607.48</v>
      </c>
      <c r="G157" s="561">
        <v>70.45</v>
      </c>
      <c r="H157" s="561">
        <v>76.820000000000007</v>
      </c>
      <c r="I157" s="561">
        <v>319.72000000000003</v>
      </c>
      <c r="J157" s="561">
        <v>24.48</v>
      </c>
      <c r="K157" s="561">
        <v>6.05</v>
      </c>
      <c r="L157" s="561">
        <v>32.880000000000003</v>
      </c>
      <c r="M157" s="343">
        <v>0</v>
      </c>
      <c r="N157" s="477">
        <v>16.55</v>
      </c>
      <c r="O157" s="477">
        <v>1.9670000000000001</v>
      </c>
      <c r="P157" s="407">
        <v>0</v>
      </c>
      <c r="Q157" s="477">
        <v>0</v>
      </c>
      <c r="R157" s="483">
        <v>3241235</v>
      </c>
      <c r="S157" s="483">
        <v>294142</v>
      </c>
      <c r="T157" s="483">
        <v>34112</v>
      </c>
      <c r="U157" s="483">
        <v>37196</v>
      </c>
      <c r="V157" s="483">
        <v>154808</v>
      </c>
      <c r="W157" s="483">
        <v>163225</v>
      </c>
      <c r="X157" s="483">
        <v>0</v>
      </c>
      <c r="Y157" s="483">
        <v>6</v>
      </c>
      <c r="Z157" s="406">
        <v>0</v>
      </c>
      <c r="AA157" s="483">
        <v>16399</v>
      </c>
      <c r="AB157" s="483">
        <v>1961</v>
      </c>
      <c r="AC157" s="385">
        <v>7261</v>
      </c>
      <c r="AD157" s="545">
        <v>5.4</v>
      </c>
      <c r="AE157" s="483">
        <v>16309</v>
      </c>
      <c r="AF157" s="483">
        <v>16630</v>
      </c>
      <c r="AG157" s="481">
        <v>8282</v>
      </c>
      <c r="AH157" s="481">
        <v>8283</v>
      </c>
      <c r="AI157">
        <v>0</v>
      </c>
      <c r="AJ157" s="385">
        <v>179248553</v>
      </c>
      <c r="AK157" s="385">
        <v>19845</v>
      </c>
      <c r="AL157" s="385">
        <v>0</v>
      </c>
      <c r="AM157" s="287">
        <v>0</v>
      </c>
      <c r="AN157" s="542">
        <v>330000</v>
      </c>
      <c r="AO157" s="549">
        <v>0.17</v>
      </c>
      <c r="AP157" s="385">
        <v>10854</v>
      </c>
      <c r="AQ157" s="385">
        <v>11068</v>
      </c>
      <c r="AR157" s="481">
        <v>5512</v>
      </c>
      <c r="AS157" s="481">
        <v>5554</v>
      </c>
      <c r="AT157" s="617"/>
      <c r="AU157" s="618">
        <v>70952</v>
      </c>
      <c r="AV157" s="618">
        <v>0</v>
      </c>
      <c r="AW157" s="620"/>
      <c r="AX157" s="620"/>
      <c r="AY157" s="625"/>
      <c r="AZ157" s="626"/>
      <c r="BA157" s="624"/>
      <c r="BB157" s="673">
        <v>101847</v>
      </c>
      <c r="BC157" s="781">
        <v>3.1E-2</v>
      </c>
      <c r="BD157" s="790">
        <v>75</v>
      </c>
      <c r="BE157" s="673">
        <v>21954.67</v>
      </c>
    </row>
    <row r="158" spans="1:57" x14ac:dyDescent="0.2">
      <c r="A158" s="390">
        <v>11</v>
      </c>
      <c r="B158" s="551" t="s">
        <v>233</v>
      </c>
      <c r="C158" t="s">
        <v>1151</v>
      </c>
      <c r="D158" s="406">
        <v>1744.8</v>
      </c>
      <c r="E158" s="560">
        <v>6591</v>
      </c>
      <c r="F158" s="561">
        <v>571.08000000000004</v>
      </c>
      <c r="G158" s="561">
        <v>61.02</v>
      </c>
      <c r="H158" s="561">
        <v>67.510000000000005</v>
      </c>
      <c r="I158" s="561">
        <v>319.72000000000003</v>
      </c>
      <c r="J158" s="561">
        <v>84.96</v>
      </c>
      <c r="K158" s="561">
        <v>59.929999999999993</v>
      </c>
      <c r="L158" s="561">
        <v>56.169999999999995</v>
      </c>
      <c r="M158" s="343">
        <v>0</v>
      </c>
      <c r="N158" s="477">
        <v>37.620000000000005</v>
      </c>
      <c r="O158" s="477">
        <v>8.8350000000000009</v>
      </c>
      <c r="P158" s="407">
        <v>6.82</v>
      </c>
      <c r="Q158" s="477">
        <v>0</v>
      </c>
      <c r="R158" s="483">
        <v>11710230</v>
      </c>
      <c r="S158" s="483">
        <v>1014638</v>
      </c>
      <c r="T158" s="483">
        <v>108414</v>
      </c>
      <c r="U158" s="483">
        <v>119945</v>
      </c>
      <c r="V158" s="483">
        <v>568047</v>
      </c>
      <c r="W158" s="483">
        <v>560698</v>
      </c>
      <c r="X158" s="483">
        <v>2405</v>
      </c>
      <c r="Y158" s="483">
        <v>23</v>
      </c>
      <c r="Z158" s="406">
        <v>0</v>
      </c>
      <c r="AA158" s="483">
        <v>46201</v>
      </c>
      <c r="AB158" s="483">
        <v>5872</v>
      </c>
      <c r="AC158" s="385">
        <v>30034</v>
      </c>
      <c r="AD158" s="545">
        <v>5.4</v>
      </c>
      <c r="AE158" s="483">
        <v>65247</v>
      </c>
      <c r="AF158" s="483">
        <v>67199</v>
      </c>
      <c r="AG158" s="481">
        <v>37568</v>
      </c>
      <c r="AH158" s="481">
        <v>37160</v>
      </c>
      <c r="AI158">
        <v>37.5</v>
      </c>
      <c r="AJ158" s="385">
        <v>395666806</v>
      </c>
      <c r="AK158" s="385">
        <v>6827</v>
      </c>
      <c r="AL158" s="385">
        <v>0</v>
      </c>
      <c r="AM158" s="287">
        <v>0</v>
      </c>
      <c r="AN158" s="542">
        <v>330000</v>
      </c>
      <c r="AO158" s="549">
        <v>0.17</v>
      </c>
      <c r="AP158" s="385">
        <v>60253</v>
      </c>
      <c r="AQ158" s="385">
        <v>62056</v>
      </c>
      <c r="AR158" s="481">
        <v>34693</v>
      </c>
      <c r="AS158" s="481">
        <v>34926</v>
      </c>
      <c r="AT158" s="617"/>
      <c r="AU158" s="618">
        <v>0</v>
      </c>
      <c r="AV158" s="618">
        <v>56125</v>
      </c>
      <c r="AW158" s="620"/>
      <c r="AX158" s="620"/>
      <c r="AY158" s="625"/>
      <c r="AZ158" s="626"/>
      <c r="BA158" s="624"/>
      <c r="BB158" s="673">
        <v>2237390</v>
      </c>
      <c r="BC158" s="781">
        <v>3.2000000000000001E-2</v>
      </c>
      <c r="BD158" s="790">
        <v>63</v>
      </c>
      <c r="BE158" s="673">
        <v>112061.02</v>
      </c>
    </row>
    <row r="159" spans="1:57" x14ac:dyDescent="0.2">
      <c r="A159" s="390">
        <v>7</v>
      </c>
      <c r="B159" s="551" t="s">
        <v>234</v>
      </c>
      <c r="C159" t="s">
        <v>1152</v>
      </c>
      <c r="D159" s="406">
        <v>615</v>
      </c>
      <c r="E159" s="560">
        <v>6591</v>
      </c>
      <c r="F159" s="561">
        <v>604.27</v>
      </c>
      <c r="G159" s="561">
        <v>61.96</v>
      </c>
      <c r="H159" s="561">
        <v>71.070000000000007</v>
      </c>
      <c r="I159" s="561">
        <v>319.72000000000003</v>
      </c>
      <c r="J159" s="561">
        <v>33.119999999999997</v>
      </c>
      <c r="K159" s="561">
        <v>20.57</v>
      </c>
      <c r="L159" s="561">
        <v>38.36</v>
      </c>
      <c r="M159" s="343">
        <v>0</v>
      </c>
      <c r="N159" s="477">
        <v>2.08</v>
      </c>
      <c r="O159" s="477">
        <v>2.9289999999999998</v>
      </c>
      <c r="P159" s="407">
        <v>3.7400000000000007</v>
      </c>
      <c r="Q159" s="477">
        <v>0</v>
      </c>
      <c r="R159" s="483">
        <v>4097625</v>
      </c>
      <c r="S159" s="483">
        <v>375675</v>
      </c>
      <c r="T159" s="483">
        <v>38521</v>
      </c>
      <c r="U159" s="483">
        <v>44184</v>
      </c>
      <c r="V159" s="483">
        <v>198770</v>
      </c>
      <c r="W159" s="483">
        <v>206130</v>
      </c>
      <c r="X159" s="483">
        <v>0</v>
      </c>
      <c r="Y159" s="483">
        <v>0</v>
      </c>
      <c r="Z159" s="406">
        <v>0</v>
      </c>
      <c r="AA159" s="483">
        <v>26137</v>
      </c>
      <c r="AB159" s="483">
        <v>3003</v>
      </c>
      <c r="AC159" s="385">
        <v>10936</v>
      </c>
      <c r="AD159" s="545">
        <v>5.4</v>
      </c>
      <c r="AE159" s="483">
        <v>11812</v>
      </c>
      <c r="AF159" s="483">
        <v>11739</v>
      </c>
      <c r="AG159" s="481">
        <v>34074</v>
      </c>
      <c r="AH159" s="481">
        <v>24259</v>
      </c>
      <c r="AI159">
        <v>23.5</v>
      </c>
      <c r="AJ159" s="385">
        <v>243558899</v>
      </c>
      <c r="AK159" s="385">
        <v>2240</v>
      </c>
      <c r="AL159" s="385">
        <v>0</v>
      </c>
      <c r="AM159" s="287">
        <v>0</v>
      </c>
      <c r="AN159" s="542">
        <v>330000</v>
      </c>
      <c r="AO159" s="549">
        <v>0.17</v>
      </c>
      <c r="AP159" s="385">
        <v>6635</v>
      </c>
      <c r="AQ159" s="385">
        <v>6594</v>
      </c>
      <c r="AR159" s="481">
        <v>19139</v>
      </c>
      <c r="AS159" s="481">
        <v>13929</v>
      </c>
      <c r="AT159" s="617"/>
      <c r="AU159" s="618">
        <v>0</v>
      </c>
      <c r="AV159" s="618">
        <v>0</v>
      </c>
      <c r="AW159" s="620"/>
      <c r="AX159" s="620"/>
      <c r="AY159" s="625"/>
      <c r="AZ159" s="626"/>
      <c r="BA159" s="624"/>
      <c r="BB159" s="673">
        <v>542537</v>
      </c>
      <c r="BC159" s="781">
        <v>2.7E-2</v>
      </c>
      <c r="BD159" s="790">
        <v>95</v>
      </c>
      <c r="BE159" s="673">
        <v>72455.240000000005</v>
      </c>
    </row>
    <row r="160" spans="1:57" x14ac:dyDescent="0.2">
      <c r="A160" s="390">
        <v>13</v>
      </c>
      <c r="B160" s="551" t="s">
        <v>235</v>
      </c>
      <c r="C160" t="s">
        <v>1153</v>
      </c>
      <c r="D160" s="406">
        <v>299.89999999999998</v>
      </c>
      <c r="E160" s="560">
        <v>6591</v>
      </c>
      <c r="F160" s="561">
        <v>648.55999999999995</v>
      </c>
      <c r="G160" s="561">
        <v>69.820000000000007</v>
      </c>
      <c r="H160" s="561">
        <v>70.040000000000006</v>
      </c>
      <c r="I160" s="561">
        <v>319.72000000000003</v>
      </c>
      <c r="J160" s="561">
        <v>17.28</v>
      </c>
      <c r="K160" s="561">
        <v>4.84</v>
      </c>
      <c r="L160" s="561">
        <v>21.92</v>
      </c>
      <c r="M160" s="343">
        <v>0</v>
      </c>
      <c r="N160" s="477">
        <v>8.74</v>
      </c>
      <c r="O160" s="477">
        <v>1.798</v>
      </c>
      <c r="P160" s="407">
        <v>0</v>
      </c>
      <c r="Q160" s="477">
        <v>0</v>
      </c>
      <c r="R160" s="483">
        <v>1876458</v>
      </c>
      <c r="S160" s="483">
        <v>184645</v>
      </c>
      <c r="T160" s="483">
        <v>19878</v>
      </c>
      <c r="U160" s="483">
        <v>19940</v>
      </c>
      <c r="V160" s="483">
        <v>91024</v>
      </c>
      <c r="W160" s="483">
        <v>95249</v>
      </c>
      <c r="X160" s="483">
        <v>10995</v>
      </c>
      <c r="Y160" s="483">
        <v>0</v>
      </c>
      <c r="Z160" s="406">
        <v>0</v>
      </c>
      <c r="AA160" s="483">
        <v>9780</v>
      </c>
      <c r="AB160" s="483">
        <v>1042</v>
      </c>
      <c r="AC160" s="385">
        <v>5693</v>
      </c>
      <c r="AD160" s="545">
        <v>5.4</v>
      </c>
      <c r="AE160" s="483">
        <v>4596</v>
      </c>
      <c r="AF160" s="483">
        <v>4685</v>
      </c>
      <c r="AG160" s="481">
        <v>9344</v>
      </c>
      <c r="AH160" s="481">
        <v>9344</v>
      </c>
      <c r="AI160">
        <v>8.5</v>
      </c>
      <c r="AJ160" s="385">
        <v>77597930</v>
      </c>
      <c r="AK160" s="385">
        <v>0</v>
      </c>
      <c r="AL160" s="385">
        <v>0</v>
      </c>
      <c r="AM160" s="287">
        <v>0</v>
      </c>
      <c r="AN160" s="542">
        <v>330000</v>
      </c>
      <c r="AO160" s="549">
        <v>0.17</v>
      </c>
      <c r="AP160" s="385">
        <v>4522</v>
      </c>
      <c r="AQ160" s="385">
        <v>4610</v>
      </c>
      <c r="AR160" s="481">
        <v>9196</v>
      </c>
      <c r="AS160" s="481">
        <v>9385</v>
      </c>
      <c r="AT160" s="617"/>
      <c r="AU160" s="618">
        <v>151367</v>
      </c>
      <c r="AV160" s="618">
        <v>65612</v>
      </c>
      <c r="AW160" s="620"/>
      <c r="AX160" s="620"/>
      <c r="AY160" s="625"/>
      <c r="AZ160" s="626"/>
      <c r="BA160" s="624"/>
      <c r="BB160" s="673">
        <v>476154</v>
      </c>
      <c r="BC160" s="781">
        <v>3.2000000000000001E-2</v>
      </c>
      <c r="BD160" s="790">
        <v>27</v>
      </c>
      <c r="BE160" s="673">
        <v>30985.86</v>
      </c>
    </row>
    <row r="161" spans="1:57" x14ac:dyDescent="0.2">
      <c r="A161" s="390">
        <v>5</v>
      </c>
      <c r="B161" s="551" t="s">
        <v>236</v>
      </c>
      <c r="C161" t="s">
        <v>1154</v>
      </c>
      <c r="D161" s="406">
        <v>291</v>
      </c>
      <c r="E161" s="560">
        <v>6591</v>
      </c>
      <c r="F161" s="561">
        <v>635.30999999999995</v>
      </c>
      <c r="G161" s="561">
        <v>69.25</v>
      </c>
      <c r="H161" s="561">
        <v>65.02</v>
      </c>
      <c r="I161" s="561">
        <v>319.72000000000003</v>
      </c>
      <c r="J161" s="561">
        <v>23.04</v>
      </c>
      <c r="K161" s="561">
        <v>4.8499999999999996</v>
      </c>
      <c r="L161" s="561">
        <v>10.96</v>
      </c>
      <c r="M161" s="343">
        <v>0.97</v>
      </c>
      <c r="N161" s="477">
        <v>30.240000000000002</v>
      </c>
      <c r="O161" s="477">
        <v>2.0459999999999998</v>
      </c>
      <c r="P161" s="407">
        <v>0.66</v>
      </c>
      <c r="Q161" s="477">
        <v>0</v>
      </c>
      <c r="R161" s="483">
        <v>2084074</v>
      </c>
      <c r="S161" s="483">
        <v>200885</v>
      </c>
      <c r="T161" s="483">
        <v>21897</v>
      </c>
      <c r="U161" s="483">
        <v>20559</v>
      </c>
      <c r="V161" s="483">
        <v>101095</v>
      </c>
      <c r="W161" s="483">
        <v>108889</v>
      </c>
      <c r="X161" s="483">
        <v>3376</v>
      </c>
      <c r="Y161" s="483">
        <v>2</v>
      </c>
      <c r="Z161" s="406">
        <v>0</v>
      </c>
      <c r="AA161" s="483">
        <v>11587</v>
      </c>
      <c r="AB161" s="483">
        <v>1381</v>
      </c>
      <c r="AC161" s="385">
        <v>7411</v>
      </c>
      <c r="AD161" s="545">
        <v>5.4</v>
      </c>
      <c r="AE161" s="483">
        <v>13158</v>
      </c>
      <c r="AF161" s="483">
        <v>13394</v>
      </c>
      <c r="AG161" s="481">
        <v>10876</v>
      </c>
      <c r="AH161" s="481">
        <v>9328</v>
      </c>
      <c r="AI161">
        <v>8.5</v>
      </c>
      <c r="AJ161" s="385">
        <v>160108457</v>
      </c>
      <c r="AK161" s="385">
        <v>22151</v>
      </c>
      <c r="AL161" s="385">
        <v>0</v>
      </c>
      <c r="AM161" s="287">
        <v>0</v>
      </c>
      <c r="AN161" s="542">
        <v>330000</v>
      </c>
      <c r="AO161" s="549">
        <v>0.17</v>
      </c>
      <c r="AP161" s="385">
        <v>6583</v>
      </c>
      <c r="AQ161" s="385">
        <v>6701</v>
      </c>
      <c r="AR161" s="481">
        <v>5442</v>
      </c>
      <c r="AS161" s="481">
        <v>4722</v>
      </c>
      <c r="AT161" s="617"/>
      <c r="AU161" s="618">
        <v>0</v>
      </c>
      <c r="AV161" s="618">
        <v>3830</v>
      </c>
      <c r="AW161" s="620"/>
      <c r="AX161" s="620"/>
      <c r="AY161" s="625"/>
      <c r="AZ161" s="626"/>
      <c r="BA161" s="624"/>
      <c r="BB161" s="673">
        <v>0</v>
      </c>
      <c r="BC161" s="781">
        <v>4.7E-2</v>
      </c>
      <c r="BD161" s="790">
        <v>76</v>
      </c>
      <c r="BE161" s="673">
        <v>26029.68</v>
      </c>
    </row>
    <row r="162" spans="1:57" x14ac:dyDescent="0.2">
      <c r="A162" s="390">
        <v>12</v>
      </c>
      <c r="B162" s="551" t="s">
        <v>237</v>
      </c>
      <c r="C162" t="s">
        <v>1155</v>
      </c>
      <c r="D162" s="406">
        <v>581.9</v>
      </c>
      <c r="E162" s="560">
        <v>6591</v>
      </c>
      <c r="F162" s="561">
        <v>559.01</v>
      </c>
      <c r="G162" s="561">
        <v>59.230000000000004</v>
      </c>
      <c r="H162" s="561">
        <v>56.839999999999996</v>
      </c>
      <c r="I162" s="561">
        <v>319.72000000000003</v>
      </c>
      <c r="J162" s="561">
        <v>21.599999999999998</v>
      </c>
      <c r="K162" s="561">
        <v>14.52</v>
      </c>
      <c r="L162" s="561">
        <v>24.66</v>
      </c>
      <c r="M162" s="343">
        <v>0</v>
      </c>
      <c r="N162" s="477">
        <v>19.240000000000002</v>
      </c>
      <c r="O162" s="477">
        <v>1.927</v>
      </c>
      <c r="P162" s="407">
        <v>0.22</v>
      </c>
      <c r="Q162" s="477">
        <v>0</v>
      </c>
      <c r="R162" s="483">
        <v>3943395</v>
      </c>
      <c r="S162" s="483">
        <v>334456</v>
      </c>
      <c r="T162" s="483">
        <v>35437</v>
      </c>
      <c r="U162" s="483">
        <v>34007</v>
      </c>
      <c r="V162" s="483">
        <v>191288</v>
      </c>
      <c r="W162" s="483">
        <v>195050</v>
      </c>
      <c r="X162" s="483">
        <v>0</v>
      </c>
      <c r="Y162" s="483">
        <v>26</v>
      </c>
      <c r="Z162" s="406">
        <v>0</v>
      </c>
      <c r="AA162" s="483">
        <v>19596</v>
      </c>
      <c r="AB162" s="483">
        <v>2343</v>
      </c>
      <c r="AC162" s="385">
        <v>9531</v>
      </c>
      <c r="AD162" s="545">
        <v>5.4</v>
      </c>
      <c r="AE162" s="483">
        <v>40478</v>
      </c>
      <c r="AF162" s="483">
        <v>43541</v>
      </c>
      <c r="AG162" s="481">
        <v>10141</v>
      </c>
      <c r="AH162" s="481">
        <v>10040</v>
      </c>
      <c r="AI162">
        <v>18</v>
      </c>
      <c r="AJ162" s="385">
        <v>205111248</v>
      </c>
      <c r="AK162" s="385">
        <v>12848</v>
      </c>
      <c r="AL162" s="385">
        <v>0</v>
      </c>
      <c r="AM162" s="287">
        <v>0</v>
      </c>
      <c r="AN162" s="542">
        <v>330000</v>
      </c>
      <c r="AO162" s="549">
        <v>0.17</v>
      </c>
      <c r="AP162" s="385">
        <v>28996</v>
      </c>
      <c r="AQ162" s="385">
        <v>31190</v>
      </c>
      <c r="AR162" s="481">
        <v>7264</v>
      </c>
      <c r="AS162" s="481">
        <v>7255</v>
      </c>
      <c r="AT162" s="617"/>
      <c r="AU162" s="618">
        <v>0</v>
      </c>
      <c r="AV162" s="618">
        <v>37100</v>
      </c>
      <c r="AW162" s="620"/>
      <c r="AX162" s="620"/>
      <c r="AY162" s="625"/>
      <c r="AZ162" s="626"/>
      <c r="BA162" s="624"/>
      <c r="BB162" s="673">
        <v>1087838</v>
      </c>
      <c r="BC162" s="781">
        <v>0.04</v>
      </c>
      <c r="BD162" s="790">
        <v>97</v>
      </c>
      <c r="BE162" s="673">
        <v>29251.25</v>
      </c>
    </row>
    <row r="163" spans="1:57" x14ac:dyDescent="0.2">
      <c r="A163" s="390">
        <v>12</v>
      </c>
      <c r="B163" s="551" t="s">
        <v>239</v>
      </c>
      <c r="C163" t="s">
        <v>1158</v>
      </c>
      <c r="D163" s="406">
        <v>2170.4</v>
      </c>
      <c r="E163" s="560">
        <v>6591</v>
      </c>
      <c r="F163" s="561">
        <v>546.14</v>
      </c>
      <c r="G163" s="561">
        <v>63.5</v>
      </c>
      <c r="H163" s="561">
        <v>59.69</v>
      </c>
      <c r="I163" s="561">
        <v>319.72000000000003</v>
      </c>
      <c r="J163" s="561">
        <v>103.67999999999999</v>
      </c>
      <c r="K163" s="561">
        <v>69.63</v>
      </c>
      <c r="L163" s="561">
        <v>128.78</v>
      </c>
      <c r="M163" s="343">
        <v>0</v>
      </c>
      <c r="N163" s="477">
        <v>17.54</v>
      </c>
      <c r="O163" s="477">
        <v>9.6950000000000003</v>
      </c>
      <c r="P163" s="407">
        <v>14.3</v>
      </c>
      <c r="Q163" s="477">
        <v>0</v>
      </c>
      <c r="R163" s="483">
        <v>13990057</v>
      </c>
      <c r="S163" s="483">
        <v>1159237</v>
      </c>
      <c r="T163" s="483">
        <v>134785</v>
      </c>
      <c r="U163" s="483">
        <v>126698</v>
      </c>
      <c r="V163" s="483">
        <v>678638</v>
      </c>
      <c r="W163" s="483">
        <v>718324</v>
      </c>
      <c r="X163" s="483">
        <v>0</v>
      </c>
      <c r="Y163" s="483">
        <v>430</v>
      </c>
      <c r="Z163" s="406">
        <v>3.3</v>
      </c>
      <c r="AA163" s="483">
        <v>72167</v>
      </c>
      <c r="AB163" s="483">
        <v>8630</v>
      </c>
      <c r="AC163" s="385">
        <v>34935</v>
      </c>
      <c r="AD163" s="545">
        <v>5.4</v>
      </c>
      <c r="AE163" s="483">
        <v>138010</v>
      </c>
      <c r="AF163" s="483">
        <v>141776</v>
      </c>
      <c r="AG163" s="481">
        <v>130731</v>
      </c>
      <c r="AH163" s="481">
        <v>54496</v>
      </c>
      <c r="AI163">
        <v>45.5</v>
      </c>
      <c r="AJ163" s="385">
        <v>706205945</v>
      </c>
      <c r="AK163" s="385">
        <v>21957</v>
      </c>
      <c r="AL163" s="385">
        <v>0</v>
      </c>
      <c r="AM163" s="287">
        <v>0</v>
      </c>
      <c r="AN163" s="542">
        <v>330000</v>
      </c>
      <c r="AO163" s="549">
        <v>0.17</v>
      </c>
      <c r="AP163" s="385">
        <v>87899</v>
      </c>
      <c r="AQ163" s="385">
        <v>90298</v>
      </c>
      <c r="AR163" s="481">
        <v>83264</v>
      </c>
      <c r="AS163" s="481">
        <v>35805</v>
      </c>
      <c r="AT163" s="617"/>
      <c r="AU163" s="618">
        <v>0</v>
      </c>
      <c r="AV163" s="618">
        <v>0</v>
      </c>
      <c r="AW163" s="620"/>
      <c r="AX163" s="620"/>
      <c r="AY163" s="625"/>
      <c r="AZ163" s="626"/>
      <c r="BA163" s="624">
        <v>0.5</v>
      </c>
      <c r="BB163" s="673">
        <v>1347204</v>
      </c>
      <c r="BC163" s="781">
        <v>2.5000000000000001E-2</v>
      </c>
      <c r="BD163" s="790">
        <v>75</v>
      </c>
      <c r="BE163" s="673">
        <v>289476.46000000002</v>
      </c>
    </row>
    <row r="164" spans="1:57" x14ac:dyDescent="0.2">
      <c r="A164" s="390">
        <v>13</v>
      </c>
      <c r="B164" s="551" t="s">
        <v>240</v>
      </c>
      <c r="C164" t="s">
        <v>1159</v>
      </c>
      <c r="D164" s="406">
        <v>467.1</v>
      </c>
      <c r="E164" s="560">
        <v>6591</v>
      </c>
      <c r="F164" s="561">
        <v>629.17999999999995</v>
      </c>
      <c r="G164" s="561">
        <v>72.64</v>
      </c>
      <c r="H164" s="561">
        <v>83.36</v>
      </c>
      <c r="I164" s="561">
        <v>319.72000000000003</v>
      </c>
      <c r="J164" s="561">
        <v>28.08</v>
      </c>
      <c r="K164" s="561">
        <v>1.8199999999999998</v>
      </c>
      <c r="L164" s="561">
        <v>6.8500000000000005</v>
      </c>
      <c r="M164" s="343">
        <v>0</v>
      </c>
      <c r="N164" s="477">
        <v>16.189999999999998</v>
      </c>
      <c r="O164" s="477">
        <v>2.6259999999999999</v>
      </c>
      <c r="P164" s="407">
        <v>5.94</v>
      </c>
      <c r="Q164" s="477">
        <v>0</v>
      </c>
      <c r="R164" s="483">
        <v>3117543</v>
      </c>
      <c r="S164" s="483">
        <v>297602</v>
      </c>
      <c r="T164" s="483">
        <v>34359</v>
      </c>
      <c r="U164" s="483">
        <v>39429</v>
      </c>
      <c r="V164" s="483">
        <v>151228</v>
      </c>
      <c r="W164" s="483">
        <v>148361</v>
      </c>
      <c r="X164" s="483">
        <v>0</v>
      </c>
      <c r="Y164" s="483">
        <v>2</v>
      </c>
      <c r="Z164" s="406">
        <v>0</v>
      </c>
      <c r="AA164" s="483">
        <v>15233</v>
      </c>
      <c r="AB164" s="483">
        <v>1623</v>
      </c>
      <c r="AC164" s="385">
        <v>7355</v>
      </c>
      <c r="AD164" s="545">
        <v>5.4</v>
      </c>
      <c r="AE164" s="483">
        <v>7816</v>
      </c>
      <c r="AF164" s="483">
        <v>7827</v>
      </c>
      <c r="AG164" s="481">
        <v>9450</v>
      </c>
      <c r="AH164" s="481">
        <v>8061</v>
      </c>
      <c r="AI164">
        <v>15</v>
      </c>
      <c r="AJ164" s="385">
        <v>138047689</v>
      </c>
      <c r="AK164" s="385">
        <v>15516</v>
      </c>
      <c r="AL164" s="385">
        <v>0</v>
      </c>
      <c r="AM164" s="287">
        <v>0</v>
      </c>
      <c r="AN164" s="542">
        <v>330000</v>
      </c>
      <c r="AO164" s="549">
        <v>0.17</v>
      </c>
      <c r="AP164" s="385">
        <v>5398</v>
      </c>
      <c r="AQ164" s="385">
        <v>5405</v>
      </c>
      <c r="AR164" s="481">
        <v>7458</v>
      </c>
      <c r="AS164" s="481">
        <v>5867</v>
      </c>
      <c r="AT164" s="617"/>
      <c r="AU164" s="618">
        <v>0</v>
      </c>
      <c r="AV164" s="618">
        <v>0</v>
      </c>
      <c r="AW164" s="620"/>
      <c r="AX164" s="620"/>
      <c r="AY164" s="625"/>
      <c r="AZ164" s="626"/>
      <c r="BA164" s="624"/>
      <c r="BB164" s="673">
        <v>107913</v>
      </c>
      <c r="BC164" s="781">
        <v>3.1E-2</v>
      </c>
      <c r="BD164" s="790">
        <v>87</v>
      </c>
      <c r="BE164" s="673">
        <v>27907.55</v>
      </c>
    </row>
    <row r="165" spans="1:57" x14ac:dyDescent="0.2">
      <c r="A165" s="390">
        <v>13</v>
      </c>
      <c r="B165" s="551" t="s">
        <v>241</v>
      </c>
      <c r="C165" t="s">
        <v>1160</v>
      </c>
      <c r="D165" s="406">
        <v>2494.5</v>
      </c>
      <c r="E165" s="560">
        <v>6591</v>
      </c>
      <c r="F165" s="561">
        <v>550.54</v>
      </c>
      <c r="G165" s="561">
        <v>64.539999999999992</v>
      </c>
      <c r="H165" s="561">
        <v>82.5</v>
      </c>
      <c r="I165" s="561">
        <v>319.72000000000003</v>
      </c>
      <c r="J165" s="561">
        <v>121.67999999999999</v>
      </c>
      <c r="K165" s="561">
        <v>78.66</v>
      </c>
      <c r="L165" s="561">
        <v>124.66999999999999</v>
      </c>
      <c r="M165" s="343">
        <v>0</v>
      </c>
      <c r="N165" s="477">
        <v>13.18</v>
      </c>
      <c r="O165" s="477">
        <v>11.414999999999999</v>
      </c>
      <c r="P165" s="407">
        <v>10.78</v>
      </c>
      <c r="Q165" s="477">
        <v>0</v>
      </c>
      <c r="R165" s="483">
        <v>17052894</v>
      </c>
      <c r="S165" s="483">
        <v>1424412</v>
      </c>
      <c r="T165" s="483">
        <v>166984</v>
      </c>
      <c r="U165" s="483">
        <v>213452</v>
      </c>
      <c r="V165" s="483">
        <v>827212</v>
      </c>
      <c r="W165" s="483">
        <v>838131</v>
      </c>
      <c r="X165" s="483">
        <v>0</v>
      </c>
      <c r="Y165" s="483">
        <v>203</v>
      </c>
      <c r="Z165" s="406">
        <v>0</v>
      </c>
      <c r="AA165" s="483">
        <v>86058</v>
      </c>
      <c r="AB165" s="483">
        <v>9170</v>
      </c>
      <c r="AC165" s="385">
        <v>37999</v>
      </c>
      <c r="AD165" s="545">
        <v>5.4</v>
      </c>
      <c r="AE165" s="483">
        <v>886279</v>
      </c>
      <c r="AF165" s="483">
        <v>886743</v>
      </c>
      <c r="AG165" s="481">
        <v>227360</v>
      </c>
      <c r="AH165" s="481">
        <v>209899</v>
      </c>
      <c r="AI165">
        <v>26</v>
      </c>
      <c r="AJ165" s="385">
        <v>1142403341</v>
      </c>
      <c r="AK165" s="385">
        <v>0</v>
      </c>
      <c r="AL165" s="385">
        <v>0</v>
      </c>
      <c r="AM165" s="287">
        <v>0</v>
      </c>
      <c r="AN165" s="542">
        <v>330000</v>
      </c>
      <c r="AO165" s="549">
        <v>0.17</v>
      </c>
      <c r="AP165" s="385">
        <v>433172</v>
      </c>
      <c r="AQ165" s="385">
        <v>433399</v>
      </c>
      <c r="AR165" s="481">
        <v>111123</v>
      </c>
      <c r="AS165" s="481">
        <v>106535</v>
      </c>
      <c r="AT165" s="617"/>
      <c r="AU165" s="618">
        <v>0</v>
      </c>
      <c r="AV165" s="618">
        <v>0</v>
      </c>
      <c r="AW165" s="620"/>
      <c r="AX165" s="620"/>
      <c r="AY165" s="625"/>
      <c r="AZ165" s="626"/>
      <c r="BA165" s="624"/>
      <c r="BB165" s="673">
        <v>1990122</v>
      </c>
      <c r="BC165" s="781">
        <v>3.4000000000000002E-2</v>
      </c>
      <c r="BD165" s="790">
        <v>78</v>
      </c>
      <c r="BE165" s="673">
        <v>522184.07</v>
      </c>
    </row>
    <row r="166" spans="1:57" x14ac:dyDescent="0.2">
      <c r="A166" s="390">
        <v>10</v>
      </c>
      <c r="B166" s="551" t="s">
        <v>243</v>
      </c>
      <c r="C166" t="s">
        <v>1162</v>
      </c>
      <c r="D166" s="406">
        <v>7312.5</v>
      </c>
      <c r="E166" s="560">
        <v>6592</v>
      </c>
      <c r="F166" s="561">
        <v>530.73</v>
      </c>
      <c r="G166" s="561">
        <v>59.29</v>
      </c>
      <c r="H166" s="561">
        <v>58.31</v>
      </c>
      <c r="I166" s="561">
        <v>319.72000000000003</v>
      </c>
      <c r="J166" s="561">
        <v>258.48</v>
      </c>
      <c r="K166" s="561">
        <v>193.79000000000002</v>
      </c>
      <c r="L166" s="561">
        <v>224.68</v>
      </c>
      <c r="M166" s="343">
        <v>0</v>
      </c>
      <c r="N166" s="477">
        <v>36.770000000000003</v>
      </c>
      <c r="O166" s="477">
        <v>25.997</v>
      </c>
      <c r="P166" s="407">
        <v>16.72</v>
      </c>
      <c r="Q166" s="477">
        <v>0</v>
      </c>
      <c r="R166" s="483">
        <v>47448557</v>
      </c>
      <c r="S166" s="483">
        <v>3820141</v>
      </c>
      <c r="T166" s="483">
        <v>426763</v>
      </c>
      <c r="U166" s="483">
        <v>419710</v>
      </c>
      <c r="V166" s="483">
        <v>2301313</v>
      </c>
      <c r="W166" s="483">
        <v>2267330</v>
      </c>
      <c r="X166" s="483">
        <v>0</v>
      </c>
      <c r="Y166" s="483">
        <v>456</v>
      </c>
      <c r="Z166" s="406">
        <v>0</v>
      </c>
      <c r="AA166" s="483">
        <v>211831</v>
      </c>
      <c r="AB166" s="483">
        <v>24653</v>
      </c>
      <c r="AC166" s="385">
        <v>73289</v>
      </c>
      <c r="AD166" s="545">
        <v>5.4</v>
      </c>
      <c r="AE166" s="483">
        <v>59859</v>
      </c>
      <c r="AF166" s="483">
        <v>59885</v>
      </c>
      <c r="AG166" s="481">
        <v>296301</v>
      </c>
      <c r="AH166" s="481">
        <v>265230</v>
      </c>
      <c r="AI166">
        <v>110</v>
      </c>
      <c r="AJ166" s="385">
        <v>1869350832</v>
      </c>
      <c r="AK166" s="385">
        <v>16676</v>
      </c>
      <c r="AL166" s="385">
        <v>0</v>
      </c>
      <c r="AM166" s="287">
        <v>0</v>
      </c>
      <c r="AN166" s="542">
        <v>330000</v>
      </c>
      <c r="AO166" s="549">
        <v>0.17</v>
      </c>
      <c r="AP166" s="385">
        <v>48835</v>
      </c>
      <c r="AQ166" s="385">
        <v>48856</v>
      </c>
      <c r="AR166" s="481">
        <v>241727</v>
      </c>
      <c r="AS166" s="481">
        <v>221700</v>
      </c>
      <c r="AT166" s="617"/>
      <c r="AU166" s="618">
        <v>0</v>
      </c>
      <c r="AV166" s="618">
        <v>0</v>
      </c>
      <c r="AW166" s="620"/>
      <c r="AX166" s="620"/>
      <c r="AY166" s="625"/>
      <c r="AZ166" s="626"/>
      <c r="BA166" s="624"/>
      <c r="BB166" s="673">
        <v>6597605</v>
      </c>
      <c r="BC166" s="781">
        <v>2.5000000000000001E-2</v>
      </c>
      <c r="BD166" s="790">
        <v>57</v>
      </c>
      <c r="BE166" s="673">
        <v>953497.61</v>
      </c>
    </row>
    <row r="167" spans="1:57" x14ac:dyDescent="0.2">
      <c r="A167" s="390">
        <v>10</v>
      </c>
      <c r="B167" s="551" t="s">
        <v>244</v>
      </c>
      <c r="C167" t="s">
        <v>1163</v>
      </c>
      <c r="D167" s="406">
        <v>662.9</v>
      </c>
      <c r="E167" s="560">
        <v>6591</v>
      </c>
      <c r="F167" s="561">
        <v>535.91999999999996</v>
      </c>
      <c r="G167" s="561">
        <v>53</v>
      </c>
      <c r="H167" s="561">
        <v>51.96</v>
      </c>
      <c r="I167" s="561">
        <v>319.72000000000003</v>
      </c>
      <c r="J167" s="561">
        <v>19.439999999999998</v>
      </c>
      <c r="K167" s="561">
        <v>12.1</v>
      </c>
      <c r="L167" s="561">
        <v>2.74</v>
      </c>
      <c r="M167" s="343">
        <v>0</v>
      </c>
      <c r="N167" s="477">
        <v>14.66</v>
      </c>
      <c r="O167" s="477">
        <v>2.2069999999999999</v>
      </c>
      <c r="P167" s="407">
        <v>0.66</v>
      </c>
      <c r="Q167" s="477">
        <v>0</v>
      </c>
      <c r="R167" s="483">
        <v>4431129</v>
      </c>
      <c r="S167" s="483">
        <v>360299</v>
      </c>
      <c r="T167" s="483">
        <v>35632</v>
      </c>
      <c r="U167" s="483">
        <v>34933</v>
      </c>
      <c r="V167" s="483">
        <v>214948</v>
      </c>
      <c r="W167" s="483">
        <v>208144</v>
      </c>
      <c r="X167" s="483">
        <v>0</v>
      </c>
      <c r="Y167" s="483">
        <v>2</v>
      </c>
      <c r="Z167" s="406">
        <v>0</v>
      </c>
      <c r="AA167" s="483">
        <v>19446</v>
      </c>
      <c r="AB167" s="483">
        <v>2263</v>
      </c>
      <c r="AC167" s="385">
        <v>9257</v>
      </c>
      <c r="AD167" s="545">
        <v>5.4</v>
      </c>
      <c r="AE167" s="483">
        <v>16391</v>
      </c>
      <c r="AF167" s="483">
        <v>16363</v>
      </c>
      <c r="AG167" s="481">
        <v>8627</v>
      </c>
      <c r="AH167" s="481">
        <v>7187</v>
      </c>
      <c r="AI167">
        <v>28</v>
      </c>
      <c r="AJ167" s="385">
        <v>149258994</v>
      </c>
      <c r="AK167" s="385">
        <v>798</v>
      </c>
      <c r="AL167" s="385">
        <v>0</v>
      </c>
      <c r="AM167" s="287">
        <v>0</v>
      </c>
      <c r="AN167" s="542">
        <v>330000</v>
      </c>
      <c r="AO167" s="549">
        <v>0.17</v>
      </c>
      <c r="AP167" s="385">
        <v>12786</v>
      </c>
      <c r="AQ167" s="385">
        <v>12764</v>
      </c>
      <c r="AR167" s="481">
        <v>6730</v>
      </c>
      <c r="AS167" s="481">
        <v>5668</v>
      </c>
      <c r="AT167" s="617"/>
      <c r="AU167" s="618">
        <v>110399</v>
      </c>
      <c r="AV167" s="618">
        <v>0</v>
      </c>
      <c r="AW167" s="620"/>
      <c r="AX167" s="620"/>
      <c r="AY167" s="625"/>
      <c r="AZ167" s="626"/>
      <c r="BA167" s="624"/>
      <c r="BB167" s="673">
        <v>99008</v>
      </c>
      <c r="BC167" s="781">
        <v>2.5000000000000001E-2</v>
      </c>
      <c r="BD167" s="790">
        <v>57</v>
      </c>
      <c r="BE167" s="673">
        <v>27959.72</v>
      </c>
    </row>
    <row r="168" spans="1:57" x14ac:dyDescent="0.2">
      <c r="A168" s="390">
        <v>13</v>
      </c>
      <c r="B168" s="551" t="s">
        <v>245</v>
      </c>
      <c r="C168" t="s">
        <v>1164</v>
      </c>
      <c r="D168" s="406">
        <v>552</v>
      </c>
      <c r="E168" s="560">
        <v>6597</v>
      </c>
      <c r="F168" s="561">
        <v>572.08000000000004</v>
      </c>
      <c r="G168" s="561">
        <v>63.77</v>
      </c>
      <c r="H168" s="561">
        <v>64.740000000000009</v>
      </c>
      <c r="I168" s="561">
        <v>319.72000000000003</v>
      </c>
      <c r="J168" s="561">
        <v>14.399999999999999</v>
      </c>
      <c r="K168" s="561">
        <v>16.95</v>
      </c>
      <c r="L168" s="561">
        <v>13.7</v>
      </c>
      <c r="M168" s="343">
        <v>0</v>
      </c>
      <c r="N168" s="477">
        <v>23.29</v>
      </c>
      <c r="O168" s="477">
        <v>2.1179999999999999</v>
      </c>
      <c r="P168" s="407">
        <v>0.44</v>
      </c>
      <c r="Q168" s="477">
        <v>0</v>
      </c>
      <c r="R168" s="483">
        <v>3661335</v>
      </c>
      <c r="S168" s="483">
        <v>317504</v>
      </c>
      <c r="T168" s="483">
        <v>35392</v>
      </c>
      <c r="U168" s="483">
        <v>35931</v>
      </c>
      <c r="V168" s="483">
        <v>177445</v>
      </c>
      <c r="W168" s="483">
        <v>175252</v>
      </c>
      <c r="X168" s="483">
        <v>5847</v>
      </c>
      <c r="Y168" s="483">
        <v>0</v>
      </c>
      <c r="Z168" s="406">
        <v>0</v>
      </c>
      <c r="AA168" s="483">
        <v>17995</v>
      </c>
      <c r="AB168" s="483">
        <v>1917</v>
      </c>
      <c r="AC168" s="385">
        <v>9406</v>
      </c>
      <c r="AD168" s="545">
        <v>5.4</v>
      </c>
      <c r="AE168" s="483">
        <v>22053</v>
      </c>
      <c r="AF168" s="483">
        <v>22522</v>
      </c>
      <c r="AG168" s="481">
        <v>6106</v>
      </c>
      <c r="AH168" s="481">
        <v>6106</v>
      </c>
      <c r="AI168">
        <v>18</v>
      </c>
      <c r="AJ168" s="385">
        <v>169567194</v>
      </c>
      <c r="AK168" s="385">
        <v>1045</v>
      </c>
      <c r="AL168" s="385">
        <v>0</v>
      </c>
      <c r="AM168" s="287">
        <v>0</v>
      </c>
      <c r="AN168" s="542">
        <v>330000</v>
      </c>
      <c r="AO168" s="549">
        <v>0.17</v>
      </c>
      <c r="AP168" s="385">
        <v>15276</v>
      </c>
      <c r="AQ168" s="385">
        <v>15601</v>
      </c>
      <c r="AR168" s="481">
        <v>4229</v>
      </c>
      <c r="AS168" s="481">
        <v>4257</v>
      </c>
      <c r="AT168" s="617"/>
      <c r="AU168" s="618">
        <v>0</v>
      </c>
      <c r="AV168" s="618">
        <v>8769</v>
      </c>
      <c r="AW168" s="620"/>
      <c r="AX168" s="620"/>
      <c r="AY168" s="625"/>
      <c r="AZ168" s="626"/>
      <c r="BA168" s="624"/>
      <c r="BB168" s="673">
        <v>340114</v>
      </c>
      <c r="BC168" s="781">
        <v>2.5000000000000001E-2</v>
      </c>
      <c r="BD168" s="790">
        <v>43</v>
      </c>
      <c r="BE168" s="673">
        <v>16062.76</v>
      </c>
    </row>
    <row r="169" spans="1:57" x14ac:dyDescent="0.2">
      <c r="A169" s="390">
        <v>10</v>
      </c>
      <c r="B169" s="551" t="s">
        <v>246</v>
      </c>
      <c r="C169" t="s">
        <v>1165</v>
      </c>
      <c r="D169" s="406">
        <v>359.5</v>
      </c>
      <c r="E169" s="560">
        <v>6591</v>
      </c>
      <c r="F169" s="561">
        <v>641.80999999999995</v>
      </c>
      <c r="G169" s="561">
        <v>65.98</v>
      </c>
      <c r="H169" s="561">
        <v>72.42</v>
      </c>
      <c r="I169" s="561">
        <v>319.72000000000003</v>
      </c>
      <c r="J169" s="561">
        <v>19.439999999999998</v>
      </c>
      <c r="K169" s="561">
        <v>8.4700000000000006</v>
      </c>
      <c r="L169" s="561">
        <v>2.74</v>
      </c>
      <c r="M169" s="343">
        <v>0</v>
      </c>
      <c r="N169" s="477">
        <v>2.36</v>
      </c>
      <c r="O169" s="477">
        <v>1.663</v>
      </c>
      <c r="P169" s="407">
        <v>0.66</v>
      </c>
      <c r="Q169" s="477">
        <v>0</v>
      </c>
      <c r="R169" s="483">
        <v>2500625</v>
      </c>
      <c r="S169" s="483">
        <v>243503</v>
      </c>
      <c r="T169" s="483">
        <v>25033</v>
      </c>
      <c r="U169" s="483">
        <v>27476</v>
      </c>
      <c r="V169" s="483">
        <v>121302</v>
      </c>
      <c r="W169" s="483">
        <v>120531</v>
      </c>
      <c r="X169" s="483">
        <v>8067</v>
      </c>
      <c r="Y169" s="483">
        <v>4</v>
      </c>
      <c r="Z169" s="406">
        <v>0</v>
      </c>
      <c r="AA169" s="483">
        <v>11261</v>
      </c>
      <c r="AB169" s="483">
        <v>1311</v>
      </c>
      <c r="AC169" s="385">
        <v>6283</v>
      </c>
      <c r="AD169" s="545">
        <v>5.4</v>
      </c>
      <c r="AE169" s="483">
        <v>13454</v>
      </c>
      <c r="AF169" s="483">
        <v>13580</v>
      </c>
      <c r="AG169" s="481">
        <v>7666</v>
      </c>
      <c r="AH169" s="481">
        <v>7365</v>
      </c>
      <c r="AI169">
        <v>16</v>
      </c>
      <c r="AJ169" s="385">
        <v>142228068</v>
      </c>
      <c r="AK169" s="385">
        <v>3533</v>
      </c>
      <c r="AL169" s="385">
        <v>0</v>
      </c>
      <c r="AM169" s="287">
        <v>0</v>
      </c>
      <c r="AN169" s="542">
        <v>330000</v>
      </c>
      <c r="AO169" s="549">
        <v>0.17</v>
      </c>
      <c r="AP169" s="385">
        <v>8352</v>
      </c>
      <c r="AQ169" s="385">
        <v>8430</v>
      </c>
      <c r="AR169" s="481">
        <v>4759</v>
      </c>
      <c r="AS169" s="481">
        <v>4617</v>
      </c>
      <c r="AT169" s="617"/>
      <c r="AU169" s="618">
        <v>34644</v>
      </c>
      <c r="AV169" s="618">
        <v>91190</v>
      </c>
      <c r="AW169" s="620"/>
      <c r="AX169" s="620"/>
      <c r="AY169" s="625"/>
      <c r="AZ169" s="626"/>
      <c r="BA169" s="624"/>
      <c r="BB169" s="673">
        <v>86349</v>
      </c>
      <c r="BC169" s="781">
        <v>3.3000000000000002E-2</v>
      </c>
      <c r="BD169" s="790">
        <v>52</v>
      </c>
      <c r="BE169" s="673">
        <v>17750.55</v>
      </c>
    </row>
    <row r="170" spans="1:57" x14ac:dyDescent="0.2">
      <c r="A170" s="390">
        <v>9</v>
      </c>
      <c r="B170" s="551" t="s">
        <v>247</v>
      </c>
      <c r="C170" t="s">
        <v>1166</v>
      </c>
      <c r="D170" s="406">
        <v>729.7</v>
      </c>
      <c r="E170" s="560">
        <v>6591</v>
      </c>
      <c r="F170" s="561">
        <v>617.19000000000005</v>
      </c>
      <c r="G170" s="561">
        <v>71.5</v>
      </c>
      <c r="H170" s="561">
        <v>65.11</v>
      </c>
      <c r="I170" s="561">
        <v>319.72000000000003</v>
      </c>
      <c r="J170" s="561">
        <v>55.44</v>
      </c>
      <c r="K170" s="561">
        <v>24.2</v>
      </c>
      <c r="L170" s="561">
        <v>34.25</v>
      </c>
      <c r="M170" s="343">
        <v>0</v>
      </c>
      <c r="N170" s="477">
        <v>15.37</v>
      </c>
      <c r="O170" s="477">
        <v>3.1050000000000004</v>
      </c>
      <c r="P170" s="407">
        <v>0</v>
      </c>
      <c r="Q170" s="477">
        <v>0</v>
      </c>
      <c r="R170" s="483">
        <v>4854931</v>
      </c>
      <c r="S170" s="483">
        <v>454622</v>
      </c>
      <c r="T170" s="483">
        <v>52667</v>
      </c>
      <c r="U170" s="483">
        <v>47960</v>
      </c>
      <c r="V170" s="483">
        <v>235506</v>
      </c>
      <c r="W170" s="483">
        <v>242871</v>
      </c>
      <c r="X170" s="483">
        <v>4300</v>
      </c>
      <c r="Y170" s="483">
        <v>1</v>
      </c>
      <c r="Z170" s="406">
        <v>0</v>
      </c>
      <c r="AA170" s="483">
        <v>21914</v>
      </c>
      <c r="AB170" s="483">
        <v>2573</v>
      </c>
      <c r="AC170" s="385">
        <v>13147</v>
      </c>
      <c r="AD170" s="545">
        <v>5.4</v>
      </c>
      <c r="AE170" s="483">
        <v>288299</v>
      </c>
      <c r="AF170" s="483">
        <v>296236</v>
      </c>
      <c r="AG170" s="481">
        <v>26940</v>
      </c>
      <c r="AH170" s="481">
        <v>26290</v>
      </c>
      <c r="AI170">
        <v>15</v>
      </c>
      <c r="AJ170" s="385">
        <v>263708876</v>
      </c>
      <c r="AK170" s="385">
        <v>21272</v>
      </c>
      <c r="AL170" s="385">
        <v>673</v>
      </c>
      <c r="AM170" s="287">
        <v>0</v>
      </c>
      <c r="AN170" s="542">
        <v>330000</v>
      </c>
      <c r="AO170" s="549">
        <v>0.17</v>
      </c>
      <c r="AP170" s="385">
        <v>204183</v>
      </c>
      <c r="AQ170" s="385">
        <v>209805</v>
      </c>
      <c r="AR170" s="481">
        <v>19080</v>
      </c>
      <c r="AS170" s="481">
        <v>18963</v>
      </c>
      <c r="AT170" s="617"/>
      <c r="AU170" s="618">
        <v>26079</v>
      </c>
      <c r="AV170" s="618">
        <v>124919</v>
      </c>
      <c r="AW170" s="620"/>
      <c r="AX170" s="620"/>
      <c r="AY170" s="625"/>
      <c r="AZ170" s="626"/>
      <c r="BA170" s="624"/>
      <c r="BB170" s="673">
        <v>0</v>
      </c>
      <c r="BC170" s="781">
        <v>3.9E-2</v>
      </c>
      <c r="BD170" s="790">
        <v>58</v>
      </c>
      <c r="BE170" s="673">
        <v>64103.27</v>
      </c>
    </row>
    <row r="171" spans="1:57" x14ac:dyDescent="0.2">
      <c r="A171" s="390">
        <v>5</v>
      </c>
      <c r="B171" s="551" t="s">
        <v>248</v>
      </c>
      <c r="C171" t="s">
        <v>1167</v>
      </c>
      <c r="D171" s="406">
        <v>153.5</v>
      </c>
      <c r="E171" s="560">
        <v>6766</v>
      </c>
      <c r="F171" s="561">
        <v>648.33000000000004</v>
      </c>
      <c r="G171" s="561">
        <v>68.87</v>
      </c>
      <c r="H171" s="561">
        <v>10.600000000000001</v>
      </c>
      <c r="I171" s="561">
        <v>319.72000000000003</v>
      </c>
      <c r="J171" s="561">
        <v>12.959999999999999</v>
      </c>
      <c r="K171" s="561">
        <v>4.84</v>
      </c>
      <c r="L171" s="561">
        <v>1.37</v>
      </c>
      <c r="M171" s="343">
        <v>0.51</v>
      </c>
      <c r="N171" s="477">
        <v>17.13</v>
      </c>
      <c r="O171" s="477">
        <v>1.01</v>
      </c>
      <c r="P171" s="407">
        <v>0.88</v>
      </c>
      <c r="Q171" s="477">
        <v>0</v>
      </c>
      <c r="R171" s="483">
        <v>1096769</v>
      </c>
      <c r="S171" s="483">
        <v>105094</v>
      </c>
      <c r="T171" s="483">
        <v>11164</v>
      </c>
      <c r="U171" s="483">
        <v>1718</v>
      </c>
      <c r="V171" s="483">
        <v>51827</v>
      </c>
      <c r="W171" s="483">
        <v>54442</v>
      </c>
      <c r="X171" s="483">
        <v>0</v>
      </c>
      <c r="Y171" s="483">
        <v>12</v>
      </c>
      <c r="Z171" s="406">
        <v>0</v>
      </c>
      <c r="AA171" s="483">
        <v>5793</v>
      </c>
      <c r="AB171" s="483">
        <v>690</v>
      </c>
      <c r="AC171" s="385">
        <v>5293</v>
      </c>
      <c r="AD171" s="545">
        <v>5.4</v>
      </c>
      <c r="AE171" s="483">
        <v>18216</v>
      </c>
      <c r="AF171" s="483">
        <v>18553</v>
      </c>
      <c r="AG171" s="481">
        <v>9793</v>
      </c>
      <c r="AH171" s="481">
        <v>9281</v>
      </c>
      <c r="AI171">
        <v>6</v>
      </c>
      <c r="AJ171" s="385">
        <v>179724459</v>
      </c>
      <c r="AK171" s="385">
        <v>80912</v>
      </c>
      <c r="AL171" s="385">
        <v>0</v>
      </c>
      <c r="AM171" s="287">
        <v>0</v>
      </c>
      <c r="AN171" s="542">
        <v>330000</v>
      </c>
      <c r="AO171" s="549">
        <v>0.17</v>
      </c>
      <c r="AP171" s="385">
        <v>2597</v>
      </c>
      <c r="AQ171" s="385">
        <v>2645</v>
      </c>
      <c r="AR171" s="481">
        <v>1709</v>
      </c>
      <c r="AS171" s="481">
        <v>1406</v>
      </c>
      <c r="AT171" s="617"/>
      <c r="AU171" s="618">
        <v>0</v>
      </c>
      <c r="AV171" s="618">
        <v>0</v>
      </c>
      <c r="AW171" s="620"/>
      <c r="AX171" s="620"/>
      <c r="AY171" s="625"/>
      <c r="AZ171" s="626"/>
      <c r="BA171" s="624"/>
      <c r="BB171" s="673">
        <v>0</v>
      </c>
      <c r="BC171" s="781">
        <v>0.05</v>
      </c>
      <c r="BD171" s="790">
        <v>55</v>
      </c>
      <c r="BE171" s="673">
        <v>14979.07</v>
      </c>
    </row>
    <row r="172" spans="1:57" x14ac:dyDescent="0.2">
      <c r="A172" s="390">
        <v>11</v>
      </c>
      <c r="B172" s="551" t="s">
        <v>249</v>
      </c>
      <c r="C172" t="s">
        <v>1168</v>
      </c>
      <c r="D172" s="406">
        <v>452.4</v>
      </c>
      <c r="E172" s="560">
        <v>6591</v>
      </c>
      <c r="F172" s="561">
        <v>580.09</v>
      </c>
      <c r="G172" s="561">
        <v>58.02</v>
      </c>
      <c r="H172" s="561">
        <v>58.39</v>
      </c>
      <c r="I172" s="561">
        <v>319.72000000000003</v>
      </c>
      <c r="J172" s="561">
        <v>23.04</v>
      </c>
      <c r="K172" s="561">
        <v>9.08</v>
      </c>
      <c r="L172" s="561">
        <v>8.2200000000000006</v>
      </c>
      <c r="M172" s="343">
        <v>0</v>
      </c>
      <c r="N172" s="477">
        <v>11.809999999999999</v>
      </c>
      <c r="O172" s="477">
        <v>1.82</v>
      </c>
      <c r="P172" s="407">
        <v>0</v>
      </c>
      <c r="Q172" s="477">
        <v>0</v>
      </c>
      <c r="R172" s="483">
        <v>2859835</v>
      </c>
      <c r="S172" s="483">
        <v>251701</v>
      </c>
      <c r="T172" s="483">
        <v>25175</v>
      </c>
      <c r="U172" s="483">
        <v>25335</v>
      </c>
      <c r="V172" s="483">
        <v>138727</v>
      </c>
      <c r="W172" s="483">
        <v>135375</v>
      </c>
      <c r="X172" s="483">
        <v>0</v>
      </c>
      <c r="Y172" s="483">
        <v>58</v>
      </c>
      <c r="Z172" s="406">
        <v>0</v>
      </c>
      <c r="AA172" s="483">
        <v>11155</v>
      </c>
      <c r="AB172" s="483">
        <v>1418</v>
      </c>
      <c r="AC172" s="385">
        <v>7818</v>
      </c>
      <c r="AD172" s="545">
        <v>5.4</v>
      </c>
      <c r="AE172" s="483">
        <v>31597</v>
      </c>
      <c r="AF172" s="483">
        <v>31879</v>
      </c>
      <c r="AG172" s="481">
        <v>9331</v>
      </c>
      <c r="AH172" s="481">
        <v>9189</v>
      </c>
      <c r="AI172">
        <v>19</v>
      </c>
      <c r="AJ172" s="385">
        <v>177340055</v>
      </c>
      <c r="AK172" s="385">
        <v>2006</v>
      </c>
      <c r="AL172" s="385">
        <v>0</v>
      </c>
      <c r="AM172" s="287">
        <v>0</v>
      </c>
      <c r="AN172" s="542">
        <v>330000</v>
      </c>
      <c r="AO172" s="549">
        <v>0.17</v>
      </c>
      <c r="AP172" s="385">
        <v>17304</v>
      </c>
      <c r="AQ172" s="385">
        <v>17458</v>
      </c>
      <c r="AR172" s="481">
        <v>5110</v>
      </c>
      <c r="AS172" s="481">
        <v>5081</v>
      </c>
      <c r="AT172" s="617"/>
      <c r="AU172" s="618">
        <v>27737</v>
      </c>
      <c r="AV172" s="618">
        <v>0</v>
      </c>
      <c r="AW172" s="620"/>
      <c r="AX172" s="620"/>
      <c r="AY172" s="625"/>
      <c r="AZ172" s="626"/>
      <c r="BA172" s="624"/>
      <c r="BB172" s="673">
        <v>477614</v>
      </c>
      <c r="BC172" s="781">
        <v>0.03</v>
      </c>
      <c r="BD172" s="790">
        <v>50</v>
      </c>
      <c r="BE172" s="673">
        <v>22701.32</v>
      </c>
    </row>
    <row r="173" spans="1:57" x14ac:dyDescent="0.2">
      <c r="A173" s="390">
        <v>11</v>
      </c>
      <c r="B173" s="551" t="s">
        <v>250</v>
      </c>
      <c r="C173" t="s">
        <v>1169</v>
      </c>
      <c r="D173" s="406">
        <v>672.5</v>
      </c>
      <c r="E173" s="560">
        <v>6591</v>
      </c>
      <c r="F173" s="561">
        <v>559.27</v>
      </c>
      <c r="G173" s="561">
        <v>61.57</v>
      </c>
      <c r="H173" s="561">
        <v>67.260000000000005</v>
      </c>
      <c r="I173" s="561">
        <v>319.72000000000003</v>
      </c>
      <c r="J173" s="561">
        <v>31.68</v>
      </c>
      <c r="K173" s="561">
        <v>24.2</v>
      </c>
      <c r="L173" s="561">
        <v>9.59</v>
      </c>
      <c r="M173" s="343">
        <v>0</v>
      </c>
      <c r="N173" s="477">
        <v>7.89</v>
      </c>
      <c r="O173" s="477">
        <v>2.762</v>
      </c>
      <c r="P173" s="407">
        <v>0</v>
      </c>
      <c r="Q173" s="477">
        <v>0</v>
      </c>
      <c r="R173" s="483">
        <v>4660496</v>
      </c>
      <c r="S173" s="483">
        <v>395460</v>
      </c>
      <c r="T173" s="483">
        <v>43536</v>
      </c>
      <c r="U173" s="483">
        <v>47560</v>
      </c>
      <c r="V173" s="483">
        <v>226074</v>
      </c>
      <c r="W173" s="483">
        <v>218781</v>
      </c>
      <c r="X173" s="483">
        <v>0</v>
      </c>
      <c r="Y173" s="483">
        <v>3</v>
      </c>
      <c r="Z173" s="406">
        <v>0</v>
      </c>
      <c r="AA173" s="483">
        <v>18027</v>
      </c>
      <c r="AB173" s="483">
        <v>2291</v>
      </c>
      <c r="AC173" s="385">
        <v>8747</v>
      </c>
      <c r="AD173" s="545">
        <v>5.4</v>
      </c>
      <c r="AE173" s="483">
        <v>9994</v>
      </c>
      <c r="AF173" s="483">
        <v>10032</v>
      </c>
      <c r="AG173" s="481">
        <v>5132</v>
      </c>
      <c r="AH173" s="481">
        <v>3544</v>
      </c>
      <c r="AI173">
        <v>18</v>
      </c>
      <c r="AJ173" s="385">
        <v>120806274</v>
      </c>
      <c r="AK173" s="385">
        <v>0</v>
      </c>
      <c r="AL173" s="385">
        <v>0</v>
      </c>
      <c r="AM173" s="287">
        <v>0</v>
      </c>
      <c r="AN173" s="542">
        <v>330000</v>
      </c>
      <c r="AO173" s="549">
        <v>0.17</v>
      </c>
      <c r="AP173" s="385">
        <v>8606</v>
      </c>
      <c r="AQ173" s="385">
        <v>8638</v>
      </c>
      <c r="AR173" s="481">
        <v>4419</v>
      </c>
      <c r="AS173" s="481">
        <v>3073</v>
      </c>
      <c r="AT173" s="617"/>
      <c r="AU173" s="618">
        <v>0</v>
      </c>
      <c r="AV173" s="618">
        <v>0</v>
      </c>
      <c r="AW173" s="620"/>
      <c r="AX173" s="620"/>
      <c r="AY173" s="625"/>
      <c r="AZ173" s="626"/>
      <c r="BA173" s="624"/>
      <c r="BB173" s="673">
        <v>557153</v>
      </c>
      <c r="BC173" s="781">
        <v>2.5000000000000001E-2</v>
      </c>
      <c r="BD173" s="790">
        <v>8</v>
      </c>
      <c r="BE173" s="673">
        <v>16238.41</v>
      </c>
    </row>
    <row r="174" spans="1:57" x14ac:dyDescent="0.2">
      <c r="A174" s="390">
        <v>5</v>
      </c>
      <c r="B174" s="551" t="s">
        <v>252</v>
      </c>
      <c r="C174" t="s">
        <v>1170</v>
      </c>
      <c r="D174" s="406">
        <v>649</v>
      </c>
      <c r="E174" s="560">
        <v>6651</v>
      </c>
      <c r="F174" s="561">
        <v>600.35</v>
      </c>
      <c r="G174" s="561">
        <v>65.08</v>
      </c>
      <c r="H174" s="561">
        <v>52</v>
      </c>
      <c r="I174" s="561">
        <v>319.72000000000003</v>
      </c>
      <c r="J174" s="561">
        <v>30.959999999999997</v>
      </c>
      <c r="K174" s="561">
        <v>10.29</v>
      </c>
      <c r="L174" s="561">
        <v>20.55</v>
      </c>
      <c r="M174" s="343">
        <v>2.08</v>
      </c>
      <c r="N174" s="477">
        <v>9.870000000000001</v>
      </c>
      <c r="O174" s="477">
        <v>2.8070000000000004</v>
      </c>
      <c r="P174" s="407">
        <v>0.22</v>
      </c>
      <c r="Q174" s="477">
        <v>0</v>
      </c>
      <c r="R174" s="483">
        <v>4283244</v>
      </c>
      <c r="S174" s="483">
        <v>386625</v>
      </c>
      <c r="T174" s="483">
        <v>41912</v>
      </c>
      <c r="U174" s="483">
        <v>33488</v>
      </c>
      <c r="V174" s="483">
        <v>205900</v>
      </c>
      <c r="W174" s="483">
        <v>213322</v>
      </c>
      <c r="X174" s="483">
        <v>0</v>
      </c>
      <c r="Y174" s="483">
        <v>7</v>
      </c>
      <c r="Z174" s="406">
        <v>0</v>
      </c>
      <c r="AA174" s="483">
        <v>22700</v>
      </c>
      <c r="AB174" s="483">
        <v>2705</v>
      </c>
      <c r="AC174" s="385">
        <v>12769</v>
      </c>
      <c r="AD174" s="545">
        <v>5.4</v>
      </c>
      <c r="AE174" s="483">
        <v>137388</v>
      </c>
      <c r="AF174" s="483">
        <v>141310</v>
      </c>
      <c r="AG174" s="481">
        <v>37205</v>
      </c>
      <c r="AH174" s="481">
        <v>23237</v>
      </c>
      <c r="AI174">
        <v>19.5</v>
      </c>
      <c r="AJ174" s="385">
        <v>324570976</v>
      </c>
      <c r="AK174" s="385">
        <v>20580</v>
      </c>
      <c r="AL174" s="385">
        <v>0</v>
      </c>
      <c r="AM174" s="287">
        <v>0</v>
      </c>
      <c r="AN174" s="542">
        <v>330000</v>
      </c>
      <c r="AO174" s="549">
        <v>0.17</v>
      </c>
      <c r="AP174" s="385">
        <v>69393</v>
      </c>
      <c r="AQ174" s="385">
        <v>71374</v>
      </c>
      <c r="AR174" s="481">
        <v>18792</v>
      </c>
      <c r="AS174" s="481">
        <v>12006</v>
      </c>
      <c r="AT174" s="617"/>
      <c r="AU174" s="618">
        <v>234714</v>
      </c>
      <c r="AV174" s="618">
        <v>0</v>
      </c>
      <c r="AW174" s="620"/>
      <c r="AX174" s="620"/>
      <c r="AY174" s="625"/>
      <c r="AZ174" s="626"/>
      <c r="BA174" s="624"/>
      <c r="BB174" s="673">
        <v>467233</v>
      </c>
      <c r="BC174" s="781">
        <v>0.05</v>
      </c>
      <c r="BD174" s="790">
        <v>13</v>
      </c>
      <c r="BE174" s="673">
        <v>74987.520000000004</v>
      </c>
    </row>
    <row r="175" spans="1:57" x14ac:dyDescent="0.2">
      <c r="A175" s="390">
        <v>12</v>
      </c>
      <c r="B175" s="551" t="s">
        <v>253</v>
      </c>
      <c r="C175" t="s">
        <v>1494</v>
      </c>
      <c r="D175" s="406">
        <v>679.4</v>
      </c>
      <c r="E175" s="560">
        <v>6698</v>
      </c>
      <c r="F175" s="561">
        <v>579.23</v>
      </c>
      <c r="G175" s="561">
        <v>60.59</v>
      </c>
      <c r="H175" s="561">
        <v>57.44</v>
      </c>
      <c r="I175" s="561">
        <v>319.72000000000003</v>
      </c>
      <c r="J175" s="561">
        <v>41.04</v>
      </c>
      <c r="K175" s="561">
        <v>21.78</v>
      </c>
      <c r="L175" s="561">
        <v>35.619999999999997</v>
      </c>
      <c r="M175" s="343">
        <v>0</v>
      </c>
      <c r="N175" s="477">
        <v>21.22</v>
      </c>
      <c r="O175" s="477">
        <v>4.0119999999999996</v>
      </c>
      <c r="P175" s="407">
        <v>0</v>
      </c>
      <c r="Q175" s="477">
        <v>0</v>
      </c>
      <c r="R175" s="483">
        <v>4539235</v>
      </c>
      <c r="S175" s="483">
        <v>392544</v>
      </c>
      <c r="T175" s="483">
        <v>41062</v>
      </c>
      <c r="U175" s="483">
        <v>38927</v>
      </c>
      <c r="V175" s="483">
        <v>216674</v>
      </c>
      <c r="W175" s="483">
        <v>230629</v>
      </c>
      <c r="X175" s="483">
        <v>4748</v>
      </c>
      <c r="Y175" s="483">
        <v>38</v>
      </c>
      <c r="Z175" s="406">
        <v>0</v>
      </c>
      <c r="AA175" s="483">
        <v>23170</v>
      </c>
      <c r="AB175" s="483">
        <v>2771</v>
      </c>
      <c r="AC175" s="385">
        <v>14353</v>
      </c>
      <c r="AD175" s="545">
        <v>5.4</v>
      </c>
      <c r="AE175" s="483">
        <v>38051</v>
      </c>
      <c r="AF175" s="483">
        <v>39088</v>
      </c>
      <c r="AG175" s="481">
        <v>14641</v>
      </c>
      <c r="AH175" s="481">
        <v>14326</v>
      </c>
      <c r="AI175">
        <v>16</v>
      </c>
      <c r="AJ175" s="385">
        <v>339117445</v>
      </c>
      <c r="AK175" s="385">
        <v>59018</v>
      </c>
      <c r="AL175" s="385">
        <v>0</v>
      </c>
      <c r="AM175" s="287">
        <v>0</v>
      </c>
      <c r="AN175" s="542">
        <v>330000</v>
      </c>
      <c r="AO175" s="549">
        <v>0.17</v>
      </c>
      <c r="AP175" s="385">
        <v>19438</v>
      </c>
      <c r="AQ175" s="385">
        <v>19968</v>
      </c>
      <c r="AR175" s="481">
        <v>8616</v>
      </c>
      <c r="AS175" s="481">
        <v>7381</v>
      </c>
      <c r="AT175" s="617"/>
      <c r="AU175" s="618">
        <v>51975</v>
      </c>
      <c r="AV175" s="618">
        <v>0</v>
      </c>
      <c r="AW175" s="620"/>
      <c r="AX175" s="620"/>
      <c r="AY175" s="625"/>
      <c r="AZ175" s="626"/>
      <c r="BA175" s="624"/>
      <c r="BB175" s="673">
        <v>837976</v>
      </c>
      <c r="BC175" s="781">
        <v>0.05</v>
      </c>
      <c r="BD175" s="790">
        <v>67</v>
      </c>
      <c r="BE175" s="673">
        <v>31691.41</v>
      </c>
    </row>
    <row r="176" spans="1:57" x14ac:dyDescent="0.2">
      <c r="A176" s="390">
        <v>9</v>
      </c>
      <c r="B176" s="551" t="s">
        <v>254</v>
      </c>
      <c r="C176" t="s">
        <v>1171</v>
      </c>
      <c r="D176" s="406">
        <v>1363.5</v>
      </c>
      <c r="E176" s="560">
        <v>6591</v>
      </c>
      <c r="F176" s="561">
        <v>599.37</v>
      </c>
      <c r="G176" s="561">
        <v>70.09</v>
      </c>
      <c r="H176" s="561">
        <v>71.88000000000001</v>
      </c>
      <c r="I176" s="561">
        <v>319.72000000000003</v>
      </c>
      <c r="J176" s="561">
        <v>82.08</v>
      </c>
      <c r="K176" s="561">
        <v>85.929999999999993</v>
      </c>
      <c r="L176" s="561">
        <v>142.47999999999999</v>
      </c>
      <c r="M176" s="343">
        <v>0</v>
      </c>
      <c r="N176" s="477">
        <v>22.13</v>
      </c>
      <c r="O176" s="477">
        <v>8.84</v>
      </c>
      <c r="P176" s="407">
        <v>4.18</v>
      </c>
      <c r="Q176" s="477">
        <v>0</v>
      </c>
      <c r="R176" s="483">
        <v>8875441</v>
      </c>
      <c r="S176" s="483">
        <v>807112</v>
      </c>
      <c r="T176" s="483">
        <v>94383</v>
      </c>
      <c r="U176" s="483">
        <v>96794</v>
      </c>
      <c r="V176" s="483">
        <v>430535</v>
      </c>
      <c r="W176" s="483">
        <v>472012</v>
      </c>
      <c r="X176" s="483">
        <v>0</v>
      </c>
      <c r="Y176" s="483">
        <v>103</v>
      </c>
      <c r="Z176" s="406">
        <v>0.7</v>
      </c>
      <c r="AA176" s="483">
        <v>42590</v>
      </c>
      <c r="AB176" s="483">
        <v>5001</v>
      </c>
      <c r="AC176" s="385">
        <v>24956</v>
      </c>
      <c r="AD176" s="545">
        <v>5.4</v>
      </c>
      <c r="AE176" s="483">
        <v>46866</v>
      </c>
      <c r="AF176" s="483">
        <v>46904</v>
      </c>
      <c r="AG176" s="481">
        <v>58078</v>
      </c>
      <c r="AH176" s="481">
        <v>57310</v>
      </c>
      <c r="AI176">
        <v>36.5</v>
      </c>
      <c r="AJ176" s="385">
        <v>389277196</v>
      </c>
      <c r="AK176" s="385">
        <v>14112</v>
      </c>
      <c r="AL176" s="385">
        <v>0</v>
      </c>
      <c r="AM176" s="287">
        <v>0</v>
      </c>
      <c r="AN176" s="542">
        <v>330000</v>
      </c>
      <c r="AO176" s="549">
        <v>0.17</v>
      </c>
      <c r="AP176" s="385">
        <v>37065</v>
      </c>
      <c r="AQ176" s="385">
        <v>37095</v>
      </c>
      <c r="AR176" s="481">
        <v>45932</v>
      </c>
      <c r="AS176" s="481">
        <v>46607</v>
      </c>
      <c r="AT176" s="617"/>
      <c r="AU176" s="618">
        <v>0</v>
      </c>
      <c r="AV176" s="618">
        <v>0</v>
      </c>
      <c r="AW176" s="620"/>
      <c r="AX176" s="620"/>
      <c r="AY176" s="625"/>
      <c r="AZ176" s="626"/>
      <c r="BA176" s="624"/>
      <c r="BB176" s="673">
        <v>333006</v>
      </c>
      <c r="BC176" s="781">
        <v>2.5000000000000001E-2</v>
      </c>
      <c r="BD176" s="790">
        <v>49</v>
      </c>
      <c r="BE176" s="673">
        <v>129903.67</v>
      </c>
    </row>
    <row r="177" spans="1:57" x14ac:dyDescent="0.2">
      <c r="A177" s="390">
        <v>1</v>
      </c>
      <c r="B177" s="551" t="s">
        <v>255</v>
      </c>
      <c r="C177" t="s">
        <v>1172</v>
      </c>
      <c r="D177" s="406">
        <v>698.4</v>
      </c>
      <c r="E177" s="560">
        <v>6623</v>
      </c>
      <c r="F177" s="561">
        <v>580.78</v>
      </c>
      <c r="G177" s="561">
        <v>64.010000000000005</v>
      </c>
      <c r="H177" s="561">
        <v>62.199999999999996</v>
      </c>
      <c r="I177" s="561">
        <v>319.72000000000003</v>
      </c>
      <c r="J177" s="561">
        <v>25.2</v>
      </c>
      <c r="K177" s="561">
        <v>6.66</v>
      </c>
      <c r="L177" s="561">
        <v>8.2200000000000006</v>
      </c>
      <c r="M177" s="343">
        <v>0</v>
      </c>
      <c r="N177" s="477">
        <v>21.18</v>
      </c>
      <c r="O177" s="477">
        <v>3.1470000000000002</v>
      </c>
      <c r="P177" s="407">
        <v>0</v>
      </c>
      <c r="Q177" s="477">
        <v>0</v>
      </c>
      <c r="R177" s="483">
        <v>4642723</v>
      </c>
      <c r="S177" s="483">
        <v>407127</v>
      </c>
      <c r="T177" s="483">
        <v>44871</v>
      </c>
      <c r="U177" s="483">
        <v>43602</v>
      </c>
      <c r="V177" s="483">
        <v>224124</v>
      </c>
      <c r="W177" s="483">
        <v>225533</v>
      </c>
      <c r="X177" s="483">
        <v>9267</v>
      </c>
      <c r="Y177" s="483">
        <v>28</v>
      </c>
      <c r="Z177" s="406">
        <v>0</v>
      </c>
      <c r="AA177" s="483">
        <v>22209</v>
      </c>
      <c r="AB177" s="483">
        <v>2382</v>
      </c>
      <c r="AC177" s="385">
        <v>15420</v>
      </c>
      <c r="AD177" s="545">
        <v>5.4</v>
      </c>
      <c r="AE177" s="483">
        <v>35907</v>
      </c>
      <c r="AF177" s="483">
        <v>35602</v>
      </c>
      <c r="AG177" s="481">
        <v>12717</v>
      </c>
      <c r="AH177" s="481">
        <v>11884</v>
      </c>
      <c r="AI177">
        <v>20</v>
      </c>
      <c r="AJ177" s="385">
        <v>311146495</v>
      </c>
      <c r="AK177" s="385">
        <v>21777</v>
      </c>
      <c r="AL177" s="385">
        <v>0</v>
      </c>
      <c r="AM177" s="287">
        <v>0</v>
      </c>
      <c r="AN177" s="542">
        <v>330000</v>
      </c>
      <c r="AO177" s="549">
        <v>0.17</v>
      </c>
      <c r="AP177" s="385">
        <v>19147</v>
      </c>
      <c r="AQ177" s="385">
        <v>18984</v>
      </c>
      <c r="AR177" s="481">
        <v>6781</v>
      </c>
      <c r="AS177" s="481">
        <v>6377</v>
      </c>
      <c r="AT177" s="617"/>
      <c r="AU177" s="618">
        <v>0</v>
      </c>
      <c r="AV177" s="618">
        <v>87707</v>
      </c>
      <c r="AW177" s="620"/>
      <c r="AX177" s="620"/>
      <c r="AY177" s="625"/>
      <c r="AZ177" s="626"/>
      <c r="BA177" s="624"/>
      <c r="BB177" s="673">
        <v>0</v>
      </c>
      <c r="BC177" s="781">
        <v>3.7999999999999999E-2</v>
      </c>
      <c r="BD177" s="790">
        <v>28</v>
      </c>
      <c r="BE177" s="673">
        <v>33824.720000000001</v>
      </c>
    </row>
    <row r="178" spans="1:57" x14ac:dyDescent="0.2">
      <c r="A178" s="390">
        <v>12</v>
      </c>
      <c r="B178" s="551" t="s">
        <v>256</v>
      </c>
      <c r="C178" t="s">
        <v>1173</v>
      </c>
      <c r="D178" s="406">
        <v>431</v>
      </c>
      <c r="E178" s="560">
        <v>6626</v>
      </c>
      <c r="F178" s="561">
        <v>606.35</v>
      </c>
      <c r="G178" s="561">
        <v>64.039999999999992</v>
      </c>
      <c r="H178" s="561">
        <v>49.01</v>
      </c>
      <c r="I178" s="561">
        <v>319.72000000000003</v>
      </c>
      <c r="J178" s="561">
        <v>19.439999999999998</v>
      </c>
      <c r="K178" s="561">
        <v>12.1</v>
      </c>
      <c r="L178" s="561">
        <v>21.92</v>
      </c>
      <c r="M178" s="343">
        <v>0</v>
      </c>
      <c r="N178" s="477">
        <v>22.13</v>
      </c>
      <c r="O178" s="477">
        <v>1.889</v>
      </c>
      <c r="P178" s="407">
        <v>0.44</v>
      </c>
      <c r="Q178" s="477">
        <v>0</v>
      </c>
      <c r="R178" s="483">
        <v>2904176</v>
      </c>
      <c r="S178" s="483">
        <v>265763</v>
      </c>
      <c r="T178" s="483">
        <v>28069</v>
      </c>
      <c r="U178" s="483">
        <v>21481</v>
      </c>
      <c r="V178" s="483">
        <v>140133</v>
      </c>
      <c r="W178" s="483">
        <v>145529</v>
      </c>
      <c r="X178" s="483">
        <v>3020</v>
      </c>
      <c r="Y178" s="483">
        <v>8</v>
      </c>
      <c r="Z178" s="406">
        <v>0</v>
      </c>
      <c r="AA178" s="483">
        <v>14621</v>
      </c>
      <c r="AB178" s="483">
        <v>1748</v>
      </c>
      <c r="AC178" s="385">
        <v>9462</v>
      </c>
      <c r="AD178" s="545">
        <v>5.4</v>
      </c>
      <c r="AE178" s="483">
        <v>110911</v>
      </c>
      <c r="AF178" s="483">
        <v>97395</v>
      </c>
      <c r="AG178" s="481">
        <v>20711</v>
      </c>
      <c r="AH178" s="481">
        <v>15218</v>
      </c>
      <c r="AI178">
        <v>10.5</v>
      </c>
      <c r="AJ178" s="385">
        <v>320729431</v>
      </c>
      <c r="AK178" s="385">
        <v>24664</v>
      </c>
      <c r="AL178" s="385">
        <v>0</v>
      </c>
      <c r="AM178" s="287">
        <v>0</v>
      </c>
      <c r="AN178" s="542">
        <v>330000</v>
      </c>
      <c r="AO178" s="549">
        <v>0.17</v>
      </c>
      <c r="AP178" s="385">
        <v>31688</v>
      </c>
      <c r="AQ178" s="385">
        <v>27826</v>
      </c>
      <c r="AR178" s="481">
        <v>5917</v>
      </c>
      <c r="AS178" s="481">
        <v>4394</v>
      </c>
      <c r="AT178" s="617"/>
      <c r="AU178" s="618">
        <v>0</v>
      </c>
      <c r="AV178" s="618">
        <v>3473</v>
      </c>
      <c r="AW178" s="620"/>
      <c r="AX178" s="620"/>
      <c r="AY178" s="625"/>
      <c r="AZ178" s="626"/>
      <c r="BA178" s="624"/>
      <c r="BB178" s="673">
        <v>224258</v>
      </c>
      <c r="BC178" s="781">
        <v>3.7999999999999999E-2</v>
      </c>
      <c r="BD178" s="790">
        <v>18</v>
      </c>
      <c r="BE178" s="673">
        <v>36421.519999999997</v>
      </c>
    </row>
    <row r="179" spans="1:57" x14ac:dyDescent="0.2">
      <c r="A179" s="390">
        <v>10</v>
      </c>
      <c r="B179" s="551" t="s">
        <v>257</v>
      </c>
      <c r="C179" t="s">
        <v>1174</v>
      </c>
      <c r="D179" s="406">
        <v>1934.5</v>
      </c>
      <c r="E179" s="560">
        <v>6693</v>
      </c>
      <c r="F179" s="561">
        <v>587.41999999999996</v>
      </c>
      <c r="G179" s="561">
        <v>70.739999999999995</v>
      </c>
      <c r="H179" s="561">
        <v>71.960000000000008</v>
      </c>
      <c r="I179" s="561">
        <v>319.72000000000003</v>
      </c>
      <c r="J179" s="561">
        <v>84.24</v>
      </c>
      <c r="K179" s="561">
        <v>52.68</v>
      </c>
      <c r="L179" s="561">
        <v>75.350000000000009</v>
      </c>
      <c r="M179" s="343">
        <v>0</v>
      </c>
      <c r="N179" s="477">
        <v>11.47</v>
      </c>
      <c r="O179" s="477">
        <v>7.7960000000000003</v>
      </c>
      <c r="P179" s="407">
        <v>2.42</v>
      </c>
      <c r="Q179" s="477">
        <v>0</v>
      </c>
      <c r="R179" s="483">
        <v>13218675</v>
      </c>
      <c r="S179" s="483">
        <v>1160155</v>
      </c>
      <c r="T179" s="483">
        <v>139712</v>
      </c>
      <c r="U179" s="483">
        <v>142121</v>
      </c>
      <c r="V179" s="483">
        <v>631447</v>
      </c>
      <c r="W179" s="483">
        <v>627210</v>
      </c>
      <c r="X179" s="483">
        <v>0</v>
      </c>
      <c r="Y179" s="483">
        <v>78</v>
      </c>
      <c r="Z179" s="406">
        <v>0.3</v>
      </c>
      <c r="AA179" s="483">
        <v>58599</v>
      </c>
      <c r="AB179" s="483">
        <v>6820</v>
      </c>
      <c r="AC179" s="385">
        <v>26570</v>
      </c>
      <c r="AD179" s="545">
        <v>5.4</v>
      </c>
      <c r="AE179" s="483">
        <v>53430</v>
      </c>
      <c r="AF179" s="483">
        <v>53248</v>
      </c>
      <c r="AG179" s="481">
        <v>64966</v>
      </c>
      <c r="AH179" s="481">
        <v>57757</v>
      </c>
      <c r="AI179">
        <v>40</v>
      </c>
      <c r="AJ179" s="385">
        <v>421182673</v>
      </c>
      <c r="AK179" s="385">
        <v>77281</v>
      </c>
      <c r="AL179" s="385">
        <v>0</v>
      </c>
      <c r="AM179" s="287">
        <v>0</v>
      </c>
      <c r="AN179" s="542">
        <v>330000</v>
      </c>
      <c r="AO179" s="549">
        <v>0.17</v>
      </c>
      <c r="AP179" s="385">
        <v>45727</v>
      </c>
      <c r="AQ179" s="385">
        <v>45571</v>
      </c>
      <c r="AR179" s="481">
        <v>55600</v>
      </c>
      <c r="AS179" s="481">
        <v>50596</v>
      </c>
      <c r="AT179" s="617"/>
      <c r="AU179" s="618">
        <v>0</v>
      </c>
      <c r="AV179" s="618">
        <v>0</v>
      </c>
      <c r="AW179" s="620"/>
      <c r="AX179" s="620"/>
      <c r="AY179" s="625">
        <v>2</v>
      </c>
      <c r="AZ179" s="626">
        <v>-0.18099999999999999</v>
      </c>
      <c r="BA179" s="624"/>
      <c r="BB179" s="673">
        <v>3586641</v>
      </c>
      <c r="BC179" s="781">
        <v>2.5000000000000001E-2</v>
      </c>
      <c r="BD179" s="790">
        <v>57</v>
      </c>
      <c r="BE179" s="673">
        <v>223513.01</v>
      </c>
    </row>
    <row r="180" spans="1:57" x14ac:dyDescent="0.2">
      <c r="A180" s="390">
        <v>7</v>
      </c>
      <c r="B180" s="551" t="s">
        <v>258</v>
      </c>
      <c r="C180" t="s">
        <v>1175</v>
      </c>
      <c r="D180" s="406">
        <v>5435.2</v>
      </c>
      <c r="E180" s="560">
        <v>6632</v>
      </c>
      <c r="F180" s="561">
        <v>549.57000000000005</v>
      </c>
      <c r="G180" s="561">
        <v>61.53</v>
      </c>
      <c r="H180" s="561">
        <v>85.68</v>
      </c>
      <c r="I180" s="561">
        <v>319.72000000000003</v>
      </c>
      <c r="J180" s="561">
        <v>303.83999999999997</v>
      </c>
      <c r="K180" s="561">
        <v>137.37</v>
      </c>
      <c r="L180" s="561">
        <v>253.45000000000002</v>
      </c>
      <c r="M180" s="343">
        <v>0</v>
      </c>
      <c r="N180" s="477">
        <v>7.46</v>
      </c>
      <c r="O180" s="477">
        <v>31.256999999999998</v>
      </c>
      <c r="P180" s="407">
        <v>249.04</v>
      </c>
      <c r="Q180" s="477">
        <v>0</v>
      </c>
      <c r="R180" s="483">
        <v>35289535</v>
      </c>
      <c r="S180" s="483">
        <v>2924317</v>
      </c>
      <c r="T180" s="483">
        <v>327407</v>
      </c>
      <c r="U180" s="483">
        <v>455912</v>
      </c>
      <c r="V180" s="483">
        <v>1701262</v>
      </c>
      <c r="W180" s="483">
        <v>1757141</v>
      </c>
      <c r="X180" s="483">
        <v>0</v>
      </c>
      <c r="Y180" s="483">
        <v>200</v>
      </c>
      <c r="Z180" s="406">
        <v>1.7</v>
      </c>
      <c r="AA180" s="483">
        <v>222805</v>
      </c>
      <c r="AB180" s="483">
        <v>25602</v>
      </c>
      <c r="AC180" s="385">
        <v>76472</v>
      </c>
      <c r="AD180" s="545">
        <v>5.4</v>
      </c>
      <c r="AE180" s="483">
        <v>387274</v>
      </c>
      <c r="AF180" s="483">
        <v>387267</v>
      </c>
      <c r="AG180" s="481">
        <v>162942</v>
      </c>
      <c r="AH180" s="481">
        <v>155276</v>
      </c>
      <c r="AI180">
        <v>92</v>
      </c>
      <c r="AJ180" s="385">
        <v>972576312</v>
      </c>
      <c r="AK180" s="385">
        <v>212335</v>
      </c>
      <c r="AL180" s="385">
        <v>0</v>
      </c>
      <c r="AM180" s="287">
        <v>0</v>
      </c>
      <c r="AN180" s="542">
        <v>330000</v>
      </c>
      <c r="AO180" s="549">
        <v>0.17</v>
      </c>
      <c r="AP180" s="385">
        <v>380591</v>
      </c>
      <c r="AQ180" s="385">
        <v>380584</v>
      </c>
      <c r="AR180" s="481">
        <v>160130</v>
      </c>
      <c r="AS180" s="481">
        <v>156608</v>
      </c>
      <c r="AT180" s="617"/>
      <c r="AU180" s="618">
        <v>0</v>
      </c>
      <c r="AV180" s="618">
        <v>0</v>
      </c>
      <c r="AW180" s="620"/>
      <c r="AX180" s="620"/>
      <c r="AY180" s="625"/>
      <c r="AZ180" s="626"/>
      <c r="BA180" s="624"/>
      <c r="BB180" s="673">
        <v>8460611</v>
      </c>
      <c r="BC180" s="781">
        <v>0.05</v>
      </c>
      <c r="BD180" s="790">
        <v>64</v>
      </c>
      <c r="BE180" s="673">
        <v>542377.03</v>
      </c>
    </row>
    <row r="181" spans="1:57" x14ac:dyDescent="0.2">
      <c r="A181" s="390">
        <v>11</v>
      </c>
      <c r="B181" s="551" t="s">
        <v>259</v>
      </c>
      <c r="C181" t="s">
        <v>1176</v>
      </c>
      <c r="D181" s="406">
        <v>510</v>
      </c>
      <c r="E181" s="560">
        <v>6591</v>
      </c>
      <c r="F181" s="561">
        <v>565.80999999999995</v>
      </c>
      <c r="G181" s="561">
        <v>54.08</v>
      </c>
      <c r="H181" s="561">
        <v>61.43</v>
      </c>
      <c r="I181" s="561">
        <v>319.72000000000003</v>
      </c>
      <c r="J181" s="561">
        <v>23.759999999999998</v>
      </c>
      <c r="K181" s="561">
        <v>17.560000000000002</v>
      </c>
      <c r="L181" s="561">
        <v>5.48</v>
      </c>
      <c r="M181" s="343">
        <v>0</v>
      </c>
      <c r="N181" s="477">
        <v>6.6</v>
      </c>
      <c r="O181" s="477">
        <v>1.6619999999999999</v>
      </c>
      <c r="P181" s="407">
        <v>0</v>
      </c>
      <c r="Q181" s="477">
        <v>0</v>
      </c>
      <c r="R181" s="483">
        <v>3461593</v>
      </c>
      <c r="S181" s="483">
        <v>297163</v>
      </c>
      <c r="T181" s="483">
        <v>28403</v>
      </c>
      <c r="U181" s="483">
        <v>32263</v>
      </c>
      <c r="V181" s="483">
        <v>167917</v>
      </c>
      <c r="W181" s="483">
        <v>161865</v>
      </c>
      <c r="X181" s="483">
        <v>0</v>
      </c>
      <c r="Y181" s="483">
        <v>16</v>
      </c>
      <c r="Z181" s="406">
        <v>0</v>
      </c>
      <c r="AA181" s="483">
        <v>13337</v>
      </c>
      <c r="AB181" s="483">
        <v>1695</v>
      </c>
      <c r="AC181" s="385">
        <v>7670</v>
      </c>
      <c r="AD181" s="545">
        <v>5.4</v>
      </c>
      <c r="AE181" s="483">
        <v>18202</v>
      </c>
      <c r="AF181" s="483">
        <v>18715</v>
      </c>
      <c r="AG181" s="481">
        <v>3904</v>
      </c>
      <c r="AH181" s="481">
        <v>3904</v>
      </c>
      <c r="AI181">
        <v>11.5</v>
      </c>
      <c r="AJ181" s="385">
        <v>150983427</v>
      </c>
      <c r="AK181" s="385">
        <v>4108</v>
      </c>
      <c r="AL181" s="385">
        <v>0</v>
      </c>
      <c r="AM181" s="287">
        <v>0</v>
      </c>
      <c r="AN181" s="542">
        <v>330000</v>
      </c>
      <c r="AO181" s="549">
        <v>0.17</v>
      </c>
      <c r="AP181" s="385">
        <v>13847</v>
      </c>
      <c r="AQ181" s="385">
        <v>14237</v>
      </c>
      <c r="AR181" s="481">
        <v>2970</v>
      </c>
      <c r="AS181" s="481">
        <v>2982</v>
      </c>
      <c r="AT181" s="617"/>
      <c r="AU181" s="618">
        <v>22273</v>
      </c>
      <c r="AV181" s="618">
        <v>0</v>
      </c>
      <c r="AW181" s="620"/>
      <c r="AX181" s="620"/>
      <c r="AY181" s="625"/>
      <c r="AZ181" s="626"/>
      <c r="BA181" s="624"/>
      <c r="BB181" s="673">
        <v>0</v>
      </c>
      <c r="BC181" s="781">
        <v>0.05</v>
      </c>
      <c r="BD181" s="790">
        <v>91</v>
      </c>
      <c r="BE181" s="673">
        <v>11342.37</v>
      </c>
    </row>
    <row r="182" spans="1:57" x14ac:dyDescent="0.2">
      <c r="A182" s="390">
        <v>7</v>
      </c>
      <c r="B182" s="551" t="s">
        <v>260</v>
      </c>
      <c r="C182" t="s">
        <v>1177</v>
      </c>
      <c r="D182" s="406">
        <v>3742</v>
      </c>
      <c r="E182" s="560">
        <v>6663</v>
      </c>
      <c r="F182" s="561">
        <v>555.11</v>
      </c>
      <c r="G182" s="561">
        <v>65.98</v>
      </c>
      <c r="H182" s="561">
        <v>74.73</v>
      </c>
      <c r="I182" s="561">
        <v>319.72000000000003</v>
      </c>
      <c r="J182" s="561">
        <v>216</v>
      </c>
      <c r="K182" s="561">
        <v>185.74</v>
      </c>
      <c r="L182" s="561">
        <v>260.3</v>
      </c>
      <c r="M182" s="343">
        <v>0</v>
      </c>
      <c r="N182" s="477">
        <v>4.0599999999999996</v>
      </c>
      <c r="O182" s="477">
        <v>21.664000000000001</v>
      </c>
      <c r="P182" s="407">
        <v>6.38</v>
      </c>
      <c r="Q182" s="477">
        <v>0</v>
      </c>
      <c r="R182" s="483">
        <v>24905628</v>
      </c>
      <c r="S182" s="483">
        <v>2074946</v>
      </c>
      <c r="T182" s="483">
        <v>246627</v>
      </c>
      <c r="U182" s="483">
        <v>279333</v>
      </c>
      <c r="V182" s="483">
        <v>1195081</v>
      </c>
      <c r="W182" s="483">
        <v>1279995</v>
      </c>
      <c r="X182" s="483">
        <v>0</v>
      </c>
      <c r="Y182" s="483">
        <v>456</v>
      </c>
      <c r="Z182" s="406">
        <v>20.100000000000001</v>
      </c>
      <c r="AA182" s="483">
        <v>162303</v>
      </c>
      <c r="AB182" s="483">
        <v>18650</v>
      </c>
      <c r="AC182" s="385">
        <v>72766</v>
      </c>
      <c r="AD182" s="545">
        <v>5.4</v>
      </c>
      <c r="AE182" s="483">
        <v>146952</v>
      </c>
      <c r="AF182" s="483">
        <v>147639</v>
      </c>
      <c r="AG182" s="481">
        <v>247828</v>
      </c>
      <c r="AH182" s="481">
        <v>234889</v>
      </c>
      <c r="AI182">
        <v>80.5</v>
      </c>
      <c r="AJ182" s="385">
        <v>1154669644</v>
      </c>
      <c r="AK182" s="385">
        <v>26403</v>
      </c>
      <c r="AL182" s="385">
        <v>0</v>
      </c>
      <c r="AM182" s="287">
        <v>0</v>
      </c>
      <c r="AN182" s="542">
        <v>330000</v>
      </c>
      <c r="AO182" s="549">
        <v>0.17</v>
      </c>
      <c r="AP182" s="385">
        <v>126322</v>
      </c>
      <c r="AQ182" s="385">
        <v>126913</v>
      </c>
      <c r="AR182" s="481">
        <v>213038</v>
      </c>
      <c r="AS182" s="481">
        <v>210267</v>
      </c>
      <c r="AT182" s="617"/>
      <c r="AU182" s="618">
        <v>0</v>
      </c>
      <c r="AV182" s="618">
        <v>0</v>
      </c>
      <c r="AW182" s="620"/>
      <c r="AX182" s="620"/>
      <c r="AY182" s="625"/>
      <c r="AZ182" s="626"/>
      <c r="BA182" s="624"/>
      <c r="BB182" s="673">
        <v>3362804</v>
      </c>
      <c r="BC182" s="781">
        <v>0.05</v>
      </c>
      <c r="BD182" s="790">
        <v>17</v>
      </c>
      <c r="BE182" s="673">
        <v>648499.63</v>
      </c>
    </row>
    <row r="183" spans="1:57" x14ac:dyDescent="0.2">
      <c r="A183" s="390">
        <v>15</v>
      </c>
      <c r="B183" s="551" t="s">
        <v>262</v>
      </c>
      <c r="C183" t="s">
        <v>1178</v>
      </c>
      <c r="D183" s="406">
        <v>780.9</v>
      </c>
      <c r="E183" s="560">
        <v>6591</v>
      </c>
      <c r="F183" s="561">
        <v>576.02</v>
      </c>
      <c r="G183" s="561">
        <v>56.53</v>
      </c>
      <c r="H183" s="561">
        <v>59.65</v>
      </c>
      <c r="I183" s="561">
        <v>319.72000000000003</v>
      </c>
      <c r="J183" s="561">
        <v>38.879999999999995</v>
      </c>
      <c r="K183" s="561">
        <v>14.52</v>
      </c>
      <c r="L183" s="561">
        <v>23.290000000000003</v>
      </c>
      <c r="M183" s="343">
        <v>0</v>
      </c>
      <c r="N183" s="477">
        <v>16.54</v>
      </c>
      <c r="O183" s="477">
        <v>2.9319999999999999</v>
      </c>
      <c r="P183" s="407">
        <v>0</v>
      </c>
      <c r="Q183" s="477">
        <v>0</v>
      </c>
      <c r="R183" s="483">
        <v>5023660</v>
      </c>
      <c r="S183" s="483">
        <v>439042</v>
      </c>
      <c r="T183" s="483">
        <v>43087</v>
      </c>
      <c r="U183" s="483">
        <v>45465</v>
      </c>
      <c r="V183" s="483">
        <v>243691</v>
      </c>
      <c r="W183" s="483">
        <v>237578</v>
      </c>
      <c r="X183" s="483">
        <v>17895</v>
      </c>
      <c r="Y183" s="483">
        <v>0</v>
      </c>
      <c r="Z183" s="406">
        <v>0</v>
      </c>
      <c r="AA183" s="483">
        <v>23799</v>
      </c>
      <c r="AB183" s="483">
        <v>2582</v>
      </c>
      <c r="AC183" s="385">
        <v>13828</v>
      </c>
      <c r="AD183" s="545">
        <v>5.4</v>
      </c>
      <c r="AE183" s="483">
        <v>26339</v>
      </c>
      <c r="AF183" s="483">
        <v>26526</v>
      </c>
      <c r="AG183" s="481">
        <v>15763</v>
      </c>
      <c r="AH183" s="481">
        <v>15763</v>
      </c>
      <c r="AI183">
        <v>0</v>
      </c>
      <c r="AJ183" s="385">
        <v>290848601</v>
      </c>
      <c r="AK183" s="385">
        <v>13236</v>
      </c>
      <c r="AL183" s="385">
        <v>0</v>
      </c>
      <c r="AM183" s="287">
        <v>0</v>
      </c>
      <c r="AN183" s="542">
        <v>330000</v>
      </c>
      <c r="AO183" s="549">
        <v>0.17</v>
      </c>
      <c r="AP183" s="385">
        <v>13923</v>
      </c>
      <c r="AQ183" s="385">
        <v>14022</v>
      </c>
      <c r="AR183" s="481">
        <v>8332</v>
      </c>
      <c r="AS183" s="481">
        <v>8409</v>
      </c>
      <c r="AT183" s="617"/>
      <c r="AU183" s="618">
        <v>0</v>
      </c>
      <c r="AV183" s="618">
        <v>0</v>
      </c>
      <c r="AW183" s="620"/>
      <c r="AX183" s="620"/>
      <c r="AY183" s="625"/>
      <c r="AZ183" s="626"/>
      <c r="BA183" s="624"/>
      <c r="BB183" s="673">
        <v>716426</v>
      </c>
      <c r="BC183" s="781">
        <v>3.1E-2</v>
      </c>
      <c r="BD183" s="790">
        <v>29</v>
      </c>
      <c r="BE183" s="673">
        <v>32036.32</v>
      </c>
    </row>
    <row r="184" spans="1:57" x14ac:dyDescent="0.2">
      <c r="A184" s="390">
        <v>11</v>
      </c>
      <c r="B184" s="551" t="s">
        <v>263</v>
      </c>
      <c r="C184" t="s">
        <v>1179</v>
      </c>
      <c r="D184" s="406">
        <v>343.1</v>
      </c>
      <c r="E184" s="560">
        <v>6591</v>
      </c>
      <c r="F184" s="561">
        <v>658.09</v>
      </c>
      <c r="G184" s="561">
        <v>68.09</v>
      </c>
      <c r="H184" s="561">
        <v>81.2</v>
      </c>
      <c r="I184" s="561">
        <v>319.72000000000003</v>
      </c>
      <c r="J184" s="561">
        <v>30.24</v>
      </c>
      <c r="K184" s="561">
        <v>14.52</v>
      </c>
      <c r="L184" s="561">
        <v>5.48</v>
      </c>
      <c r="M184" s="343">
        <v>0</v>
      </c>
      <c r="N184" s="477">
        <v>6.93</v>
      </c>
      <c r="O184" s="477">
        <v>1.665</v>
      </c>
      <c r="P184" s="407">
        <v>0</v>
      </c>
      <c r="Q184" s="477">
        <v>0</v>
      </c>
      <c r="R184" s="483">
        <v>2215894</v>
      </c>
      <c r="S184" s="483">
        <v>221250</v>
      </c>
      <c r="T184" s="483">
        <v>22892</v>
      </c>
      <c r="U184" s="483">
        <v>27299</v>
      </c>
      <c r="V184" s="483">
        <v>107490</v>
      </c>
      <c r="W184" s="483">
        <v>105962</v>
      </c>
      <c r="X184" s="483">
        <v>3977</v>
      </c>
      <c r="Y184" s="483">
        <v>0</v>
      </c>
      <c r="Z184" s="406">
        <v>0</v>
      </c>
      <c r="AA184" s="483">
        <v>8731</v>
      </c>
      <c r="AB184" s="483">
        <v>1110</v>
      </c>
      <c r="AC184" s="385">
        <v>6932</v>
      </c>
      <c r="AD184" s="545">
        <v>5.4</v>
      </c>
      <c r="AE184" s="483">
        <v>21234</v>
      </c>
      <c r="AF184" s="483">
        <v>21828</v>
      </c>
      <c r="AG184" s="481">
        <v>1121</v>
      </c>
      <c r="AH184" s="481">
        <v>1121</v>
      </c>
      <c r="AI184">
        <v>12.5</v>
      </c>
      <c r="AJ184" s="385">
        <v>68073233</v>
      </c>
      <c r="AK184" s="385">
        <v>3219</v>
      </c>
      <c r="AL184" s="385">
        <v>0</v>
      </c>
      <c r="AM184" s="287">
        <v>0</v>
      </c>
      <c r="AN184" s="542">
        <v>330000</v>
      </c>
      <c r="AO184" s="549">
        <v>0.17</v>
      </c>
      <c r="AP184" s="385">
        <v>20570</v>
      </c>
      <c r="AQ184" s="385">
        <v>21145</v>
      </c>
      <c r="AR184" s="481">
        <v>1086</v>
      </c>
      <c r="AS184" s="481">
        <v>1089</v>
      </c>
      <c r="AT184" s="617"/>
      <c r="AU184" s="618">
        <v>0</v>
      </c>
      <c r="AV184" s="618">
        <v>0</v>
      </c>
      <c r="AW184" s="620"/>
      <c r="AX184" s="620"/>
      <c r="AY184" s="625"/>
      <c r="AZ184" s="626"/>
      <c r="BA184" s="624"/>
      <c r="BB184" s="673">
        <v>466557</v>
      </c>
      <c r="BC184" s="781">
        <v>0.05</v>
      </c>
      <c r="BD184" s="790">
        <v>63</v>
      </c>
      <c r="BE184" s="673">
        <v>3974.42</v>
      </c>
    </row>
    <row r="185" spans="1:57" x14ac:dyDescent="0.2">
      <c r="A185" s="390">
        <v>1</v>
      </c>
      <c r="B185" s="551" t="s">
        <v>267</v>
      </c>
      <c r="C185" t="s">
        <v>643</v>
      </c>
      <c r="D185" s="406">
        <v>777.4</v>
      </c>
      <c r="E185" s="560">
        <v>6628</v>
      </c>
      <c r="F185" s="561">
        <v>584.32000000000005</v>
      </c>
      <c r="G185" s="561">
        <v>70.989999999999995</v>
      </c>
      <c r="H185" s="561">
        <v>71.900000000000006</v>
      </c>
      <c r="I185" s="561">
        <v>319.72000000000003</v>
      </c>
      <c r="J185" s="561">
        <v>45.36</v>
      </c>
      <c r="K185" s="561">
        <v>19.369999999999997</v>
      </c>
      <c r="L185" s="561">
        <v>21.92</v>
      </c>
      <c r="M185" s="343">
        <v>0</v>
      </c>
      <c r="N185" s="477">
        <v>20.21</v>
      </c>
      <c r="O185" s="477">
        <v>3.8020000000000005</v>
      </c>
      <c r="P185" s="407">
        <v>0.44</v>
      </c>
      <c r="Q185" s="477">
        <v>0</v>
      </c>
      <c r="R185" s="483">
        <v>5186410</v>
      </c>
      <c r="S185" s="483">
        <v>457230</v>
      </c>
      <c r="T185" s="483">
        <v>55550</v>
      </c>
      <c r="U185" s="483">
        <v>56262</v>
      </c>
      <c r="V185" s="483">
        <v>250181</v>
      </c>
      <c r="W185" s="483">
        <v>262015</v>
      </c>
      <c r="X185" s="483">
        <v>3472</v>
      </c>
      <c r="Y185" s="483">
        <v>0</v>
      </c>
      <c r="Z185" s="406">
        <v>0</v>
      </c>
      <c r="AA185" s="483">
        <v>25801</v>
      </c>
      <c r="AB185" s="483">
        <v>2767</v>
      </c>
      <c r="AC185" s="385">
        <v>16647</v>
      </c>
      <c r="AD185" s="545">
        <v>5.4</v>
      </c>
      <c r="AE185" s="483">
        <v>22516</v>
      </c>
      <c r="AF185" s="483">
        <v>22406</v>
      </c>
      <c r="AG185" s="481">
        <v>20407</v>
      </c>
      <c r="AH185" s="481">
        <v>14032</v>
      </c>
      <c r="AI185">
        <v>20.5</v>
      </c>
      <c r="AJ185" s="385">
        <v>246390612</v>
      </c>
      <c r="AK185" s="385">
        <v>24116</v>
      </c>
      <c r="AL185" s="385">
        <v>0</v>
      </c>
      <c r="AM185" s="287">
        <v>0</v>
      </c>
      <c r="AN185" s="542">
        <v>330000</v>
      </c>
      <c r="AO185" s="549">
        <v>0.17</v>
      </c>
      <c r="AP185" s="385">
        <v>17855</v>
      </c>
      <c r="AQ185" s="385">
        <v>17768</v>
      </c>
      <c r="AR185" s="481">
        <v>16183</v>
      </c>
      <c r="AS185" s="481">
        <v>11300</v>
      </c>
      <c r="AT185" s="617"/>
      <c r="AU185" s="618">
        <v>103363</v>
      </c>
      <c r="AV185" s="618">
        <v>0</v>
      </c>
      <c r="AW185" s="620"/>
      <c r="AX185" s="620"/>
      <c r="AY185" s="625"/>
      <c r="AZ185" s="626"/>
      <c r="BA185" s="624"/>
      <c r="BB185" s="673">
        <v>1339790</v>
      </c>
      <c r="BC185" s="781">
        <v>4.8000000000000001E-2</v>
      </c>
      <c r="BD185" s="790">
        <v>22</v>
      </c>
      <c r="BE185" s="673">
        <v>56346.99</v>
      </c>
    </row>
    <row r="186" spans="1:57" x14ac:dyDescent="0.2">
      <c r="A186" s="390">
        <v>10</v>
      </c>
      <c r="B186" s="551" t="s">
        <v>264</v>
      </c>
      <c r="C186" t="s">
        <v>642</v>
      </c>
      <c r="D186" s="406">
        <v>552.9</v>
      </c>
      <c r="E186" s="560">
        <v>6680</v>
      </c>
      <c r="F186" s="561">
        <v>614.28</v>
      </c>
      <c r="G186" s="561">
        <v>60.93</v>
      </c>
      <c r="H186" s="561">
        <v>64.570000000000007</v>
      </c>
      <c r="I186" s="561">
        <v>319.72000000000003</v>
      </c>
      <c r="J186" s="561">
        <v>31.68</v>
      </c>
      <c r="K186" s="561">
        <v>16.34</v>
      </c>
      <c r="L186" s="561">
        <v>16.440000000000001</v>
      </c>
      <c r="M186" s="343">
        <v>0</v>
      </c>
      <c r="N186" s="477">
        <v>13.9</v>
      </c>
      <c r="O186" s="477">
        <v>2.9349999999999996</v>
      </c>
      <c r="P186" s="407">
        <v>0</v>
      </c>
      <c r="Q186" s="477">
        <v>0</v>
      </c>
      <c r="R186" s="483">
        <v>3575136</v>
      </c>
      <c r="S186" s="483">
        <v>328763</v>
      </c>
      <c r="T186" s="483">
        <v>32610</v>
      </c>
      <c r="U186" s="483">
        <v>34558</v>
      </c>
      <c r="V186" s="483">
        <v>171114</v>
      </c>
      <c r="W186" s="483">
        <v>172898</v>
      </c>
      <c r="X186" s="483">
        <v>8350</v>
      </c>
      <c r="Y186" s="483">
        <v>10</v>
      </c>
      <c r="Z186" s="406">
        <v>0</v>
      </c>
      <c r="AA186" s="483">
        <v>16153</v>
      </c>
      <c r="AB186" s="483">
        <v>1880</v>
      </c>
      <c r="AC186" s="385">
        <v>11937</v>
      </c>
      <c r="AD186" s="545">
        <v>5.4</v>
      </c>
      <c r="AE186" s="483">
        <v>32135</v>
      </c>
      <c r="AF186" s="483">
        <v>31925</v>
      </c>
      <c r="AG186" s="481">
        <v>6207</v>
      </c>
      <c r="AH186" s="481">
        <v>6206</v>
      </c>
      <c r="AI186">
        <v>10</v>
      </c>
      <c r="AJ186" s="385">
        <v>247719987</v>
      </c>
      <c r="AK186" s="385">
        <v>45782</v>
      </c>
      <c r="AL186" s="385">
        <v>0</v>
      </c>
      <c r="AM186" s="287">
        <v>0</v>
      </c>
      <c r="AN186" s="542">
        <v>330000</v>
      </c>
      <c r="AO186" s="549">
        <v>0.17</v>
      </c>
      <c r="AP186" s="385">
        <v>14313</v>
      </c>
      <c r="AQ186" s="385">
        <v>14220</v>
      </c>
      <c r="AR186" s="481">
        <v>2764</v>
      </c>
      <c r="AS186" s="481">
        <v>2777</v>
      </c>
      <c r="AT186" s="617"/>
      <c r="AU186" s="618">
        <v>167886</v>
      </c>
      <c r="AV186" s="618">
        <v>0</v>
      </c>
      <c r="AW186" s="620"/>
      <c r="AX186" s="620"/>
      <c r="AY186" s="625"/>
      <c r="AZ186" s="626"/>
      <c r="BA186" s="624"/>
      <c r="BB186" s="673">
        <v>0</v>
      </c>
      <c r="BC186" s="781">
        <v>0.04</v>
      </c>
      <c r="BD186" s="790">
        <v>53</v>
      </c>
      <c r="BE186" s="673">
        <v>15164.36</v>
      </c>
    </row>
    <row r="187" spans="1:57" x14ac:dyDescent="0.2">
      <c r="A187" s="390">
        <v>10</v>
      </c>
      <c r="B187" s="551" t="s">
        <v>265</v>
      </c>
      <c r="C187" t="s">
        <v>1180</v>
      </c>
      <c r="D187" s="406">
        <v>1258.4000000000001</v>
      </c>
      <c r="E187" s="560">
        <v>6615</v>
      </c>
      <c r="F187" s="561">
        <v>584.97</v>
      </c>
      <c r="G187" s="561">
        <v>63.64</v>
      </c>
      <c r="H187" s="561">
        <v>65.39</v>
      </c>
      <c r="I187" s="561">
        <v>319.72000000000003</v>
      </c>
      <c r="J187" s="561">
        <v>66.239999999999995</v>
      </c>
      <c r="K187" s="561">
        <v>41.14</v>
      </c>
      <c r="L187" s="561">
        <v>32.880000000000003</v>
      </c>
      <c r="M187" s="343">
        <v>0</v>
      </c>
      <c r="N187" s="477">
        <v>24.82</v>
      </c>
      <c r="O187" s="477">
        <v>4.6840000000000002</v>
      </c>
      <c r="P187" s="407">
        <v>4.4000000000000004</v>
      </c>
      <c r="Q187" s="477">
        <v>0</v>
      </c>
      <c r="R187" s="483">
        <v>8010104</v>
      </c>
      <c r="S187" s="483">
        <v>708340</v>
      </c>
      <c r="T187" s="483">
        <v>77062</v>
      </c>
      <c r="U187" s="483">
        <v>79181</v>
      </c>
      <c r="V187" s="483">
        <v>387149</v>
      </c>
      <c r="W187" s="483">
        <v>387462</v>
      </c>
      <c r="X187" s="483">
        <v>14</v>
      </c>
      <c r="Y187" s="483">
        <v>92</v>
      </c>
      <c r="Z187" s="406">
        <v>0</v>
      </c>
      <c r="AA187" s="483">
        <v>36200</v>
      </c>
      <c r="AB187" s="483">
        <v>4213</v>
      </c>
      <c r="AC187" s="385">
        <v>18304</v>
      </c>
      <c r="AD187" s="545">
        <v>5.4</v>
      </c>
      <c r="AE187" s="483">
        <v>52678</v>
      </c>
      <c r="AF187" s="483">
        <v>53159</v>
      </c>
      <c r="AG187" s="481">
        <v>30821</v>
      </c>
      <c r="AH187" s="481">
        <v>29740</v>
      </c>
      <c r="AI187">
        <v>47</v>
      </c>
      <c r="AJ187" s="385">
        <v>439191108</v>
      </c>
      <c r="AK187" s="385">
        <v>27021</v>
      </c>
      <c r="AL187" s="385">
        <v>0</v>
      </c>
      <c r="AM187" s="287">
        <v>0</v>
      </c>
      <c r="AN187" s="542">
        <v>330000</v>
      </c>
      <c r="AO187" s="549">
        <v>0.17</v>
      </c>
      <c r="AP187" s="385">
        <v>32401</v>
      </c>
      <c r="AQ187" s="385">
        <v>32697</v>
      </c>
      <c r="AR187" s="481">
        <v>18957</v>
      </c>
      <c r="AS187" s="481">
        <v>18549</v>
      </c>
      <c r="AT187" s="617"/>
      <c r="AU187" s="618">
        <v>117103</v>
      </c>
      <c r="AV187" s="618">
        <v>0</v>
      </c>
      <c r="AW187" s="620"/>
      <c r="AX187" s="620"/>
      <c r="AY187" s="625"/>
      <c r="AZ187" s="626"/>
      <c r="BA187" s="624"/>
      <c r="BB187" s="673">
        <v>601134</v>
      </c>
      <c r="BC187" s="781">
        <v>2.8000000000000001E-2</v>
      </c>
      <c r="BD187" s="790">
        <v>92</v>
      </c>
      <c r="BE187" s="673">
        <v>78443.990000000005</v>
      </c>
    </row>
    <row r="188" spans="1:57" x14ac:dyDescent="0.2">
      <c r="A188" s="390">
        <v>13</v>
      </c>
      <c r="B188" s="551" t="s">
        <v>266</v>
      </c>
      <c r="C188" t="s">
        <v>1181</v>
      </c>
      <c r="D188" s="406">
        <v>842.1</v>
      </c>
      <c r="E188" s="560">
        <v>6591</v>
      </c>
      <c r="F188" s="561">
        <v>544.09</v>
      </c>
      <c r="G188" s="561">
        <v>54.11</v>
      </c>
      <c r="H188" s="561">
        <v>63.92</v>
      </c>
      <c r="I188" s="561">
        <v>319.72000000000003</v>
      </c>
      <c r="J188" s="561">
        <v>56.16</v>
      </c>
      <c r="K188" s="561">
        <v>30.869999999999997</v>
      </c>
      <c r="L188" s="561">
        <v>35.619999999999997</v>
      </c>
      <c r="M188" s="343">
        <v>0</v>
      </c>
      <c r="N188" s="477">
        <v>3.04</v>
      </c>
      <c r="O188" s="477">
        <v>4.048</v>
      </c>
      <c r="P188" s="407">
        <v>0.22</v>
      </c>
      <c r="Q188" s="477">
        <v>0</v>
      </c>
      <c r="R188" s="483">
        <v>5682101</v>
      </c>
      <c r="S188" s="483">
        <v>469060</v>
      </c>
      <c r="T188" s="483">
        <v>46648</v>
      </c>
      <c r="U188" s="483">
        <v>55105</v>
      </c>
      <c r="V188" s="483">
        <v>275631</v>
      </c>
      <c r="W188" s="483">
        <v>288146</v>
      </c>
      <c r="X188" s="483">
        <v>0</v>
      </c>
      <c r="Y188" s="483">
        <v>10</v>
      </c>
      <c r="Z188" s="406">
        <v>0</v>
      </c>
      <c r="AA188" s="483">
        <v>29586</v>
      </c>
      <c r="AB188" s="483">
        <v>3153</v>
      </c>
      <c r="AC188" s="385">
        <v>14839</v>
      </c>
      <c r="AD188" s="545">
        <v>5.4</v>
      </c>
      <c r="AE188" s="483">
        <v>33053</v>
      </c>
      <c r="AF188" s="483">
        <v>33899</v>
      </c>
      <c r="AG188" s="481">
        <v>19299</v>
      </c>
      <c r="AH188" s="481">
        <v>19300</v>
      </c>
      <c r="AI188">
        <v>17.5</v>
      </c>
      <c r="AJ188" s="385">
        <v>282149232</v>
      </c>
      <c r="AK188" s="385">
        <v>662</v>
      </c>
      <c r="AL188" s="385">
        <v>0</v>
      </c>
      <c r="AM188" s="287">
        <v>0</v>
      </c>
      <c r="AN188" s="542">
        <v>330000</v>
      </c>
      <c r="AO188" s="549">
        <v>0.17</v>
      </c>
      <c r="AP188" s="385">
        <v>22587</v>
      </c>
      <c r="AQ188" s="385">
        <v>23165</v>
      </c>
      <c r="AR188" s="481">
        <v>13189</v>
      </c>
      <c r="AS188" s="481">
        <v>13351</v>
      </c>
      <c r="AT188" s="617"/>
      <c r="AU188" s="618">
        <v>152268</v>
      </c>
      <c r="AV188" s="618">
        <v>0</v>
      </c>
      <c r="AW188" s="620"/>
      <c r="AX188" s="620"/>
      <c r="AY188" s="625"/>
      <c r="AZ188" s="626"/>
      <c r="BA188" s="624"/>
      <c r="BB188" s="673">
        <v>0</v>
      </c>
      <c r="BC188" s="781">
        <v>2.8000000000000001E-2</v>
      </c>
      <c r="BD188" s="790">
        <v>43</v>
      </c>
      <c r="BE188" s="673">
        <v>44689.5</v>
      </c>
    </row>
    <row r="189" spans="1:57" x14ac:dyDescent="0.2">
      <c r="A189" s="390">
        <v>12</v>
      </c>
      <c r="B189" s="551" t="s">
        <v>261</v>
      </c>
      <c r="C189" t="s">
        <v>641</v>
      </c>
      <c r="D189" s="406">
        <v>1412</v>
      </c>
      <c r="E189" s="560">
        <v>6631</v>
      </c>
      <c r="F189" s="561">
        <v>558.87</v>
      </c>
      <c r="G189" s="561">
        <v>66.91</v>
      </c>
      <c r="H189" s="561">
        <v>64.320000000000007</v>
      </c>
      <c r="I189" s="561">
        <v>319.72000000000003</v>
      </c>
      <c r="J189" s="561">
        <v>65.52</v>
      </c>
      <c r="K189" s="561">
        <v>38.119999999999997</v>
      </c>
      <c r="L189" s="561">
        <v>64.39</v>
      </c>
      <c r="M189" s="343">
        <v>0</v>
      </c>
      <c r="N189" s="477">
        <v>12.75</v>
      </c>
      <c r="O189" s="477">
        <v>5.6359999999999992</v>
      </c>
      <c r="P189" s="407">
        <v>18.260000000000005</v>
      </c>
      <c r="Q189" s="477">
        <v>0</v>
      </c>
      <c r="R189" s="483">
        <v>9412041</v>
      </c>
      <c r="S189" s="483">
        <v>793260</v>
      </c>
      <c r="T189" s="483">
        <v>94972</v>
      </c>
      <c r="U189" s="483">
        <v>91296</v>
      </c>
      <c r="V189" s="483">
        <v>453811</v>
      </c>
      <c r="W189" s="483">
        <v>462816</v>
      </c>
      <c r="X189" s="483">
        <v>0</v>
      </c>
      <c r="Y189" s="483">
        <v>490</v>
      </c>
      <c r="Z189" s="406">
        <v>11.3</v>
      </c>
      <c r="AA189" s="483">
        <v>46497</v>
      </c>
      <c r="AB189" s="483">
        <v>5560</v>
      </c>
      <c r="AC189" s="385">
        <v>24302</v>
      </c>
      <c r="AD189" s="545">
        <v>5.4</v>
      </c>
      <c r="AE189" s="483">
        <v>28444</v>
      </c>
      <c r="AF189" s="483">
        <v>30135</v>
      </c>
      <c r="AG189" s="481">
        <v>47002</v>
      </c>
      <c r="AH189" s="481">
        <v>40141</v>
      </c>
      <c r="AI189">
        <v>32.5</v>
      </c>
      <c r="AJ189" s="385">
        <v>543685151</v>
      </c>
      <c r="AK189" s="385">
        <v>0</v>
      </c>
      <c r="AL189" s="385">
        <v>0</v>
      </c>
      <c r="AM189" s="287">
        <v>0</v>
      </c>
      <c r="AN189" s="542">
        <v>330000</v>
      </c>
      <c r="AO189" s="549">
        <v>0.17</v>
      </c>
      <c r="AP189" s="385">
        <v>18500</v>
      </c>
      <c r="AQ189" s="385">
        <v>19600</v>
      </c>
      <c r="AR189" s="481">
        <v>30571</v>
      </c>
      <c r="AS189" s="481">
        <v>26509</v>
      </c>
      <c r="AT189" s="617"/>
      <c r="AU189" s="618">
        <v>0</v>
      </c>
      <c r="AV189" s="618">
        <v>0</v>
      </c>
      <c r="AW189" s="620"/>
      <c r="AX189" s="620"/>
      <c r="AY189" s="625"/>
      <c r="AZ189" s="626"/>
      <c r="BA189" s="624"/>
      <c r="BB189" s="673">
        <v>0</v>
      </c>
      <c r="BC189" s="781">
        <v>3.7999999999999999E-2</v>
      </c>
      <c r="BD189" s="790">
        <v>84</v>
      </c>
      <c r="BE189" s="673">
        <v>89056.73</v>
      </c>
    </row>
    <row r="190" spans="1:57" x14ac:dyDescent="0.2">
      <c r="A190" s="390">
        <v>7</v>
      </c>
      <c r="B190" s="551" t="s">
        <v>268</v>
      </c>
      <c r="C190" t="s">
        <v>1182</v>
      </c>
      <c r="D190" s="406">
        <v>526.20000000000005</v>
      </c>
      <c r="E190" s="560">
        <v>6591</v>
      </c>
      <c r="F190" s="561">
        <v>537.45000000000005</v>
      </c>
      <c r="G190" s="561">
        <v>52.28</v>
      </c>
      <c r="H190" s="561">
        <v>69.2</v>
      </c>
      <c r="I190" s="561">
        <v>319.72000000000003</v>
      </c>
      <c r="J190" s="561">
        <v>16.559999999999999</v>
      </c>
      <c r="K190" s="561">
        <v>16.95</v>
      </c>
      <c r="L190" s="561">
        <v>26.03</v>
      </c>
      <c r="M190" s="343">
        <v>0</v>
      </c>
      <c r="N190" s="477">
        <v>21.37</v>
      </c>
      <c r="O190" s="477">
        <v>2.097</v>
      </c>
      <c r="P190" s="407">
        <v>0</v>
      </c>
      <c r="Q190" s="477">
        <v>0</v>
      </c>
      <c r="R190" s="483">
        <v>3396342</v>
      </c>
      <c r="S190" s="483">
        <v>276948</v>
      </c>
      <c r="T190" s="483">
        <v>26940</v>
      </c>
      <c r="U190" s="483">
        <v>35659</v>
      </c>
      <c r="V190" s="483">
        <v>164752</v>
      </c>
      <c r="W190" s="483">
        <v>164846</v>
      </c>
      <c r="X190" s="483">
        <v>5856</v>
      </c>
      <c r="Y190" s="483">
        <v>2</v>
      </c>
      <c r="Z190" s="406">
        <v>0</v>
      </c>
      <c r="AA190" s="483">
        <v>20903</v>
      </c>
      <c r="AB190" s="483">
        <v>2402</v>
      </c>
      <c r="AC190" s="385">
        <v>8018</v>
      </c>
      <c r="AD190" s="545">
        <v>5.4</v>
      </c>
      <c r="AE190" s="483">
        <v>84987</v>
      </c>
      <c r="AF190" s="483">
        <v>86573</v>
      </c>
      <c r="AG190" s="481">
        <v>10197</v>
      </c>
      <c r="AH190" s="481">
        <v>10197</v>
      </c>
      <c r="AI190">
        <v>14</v>
      </c>
      <c r="AJ190" s="385">
        <v>276395463</v>
      </c>
      <c r="AK190" s="385">
        <v>3472</v>
      </c>
      <c r="AL190" s="385">
        <v>0</v>
      </c>
      <c r="AM190" s="287">
        <v>0</v>
      </c>
      <c r="AN190" s="542">
        <v>330000</v>
      </c>
      <c r="AO190" s="549">
        <v>0.17</v>
      </c>
      <c r="AP190" s="385">
        <v>40770</v>
      </c>
      <c r="AQ190" s="385">
        <v>41531</v>
      </c>
      <c r="AR190" s="481">
        <v>4892</v>
      </c>
      <c r="AS190" s="481">
        <v>4925</v>
      </c>
      <c r="AT190" s="617"/>
      <c r="AU190" s="618">
        <v>149569</v>
      </c>
      <c r="AV190" s="618">
        <v>30113</v>
      </c>
      <c r="AW190" s="620"/>
      <c r="AX190" s="620"/>
      <c r="AY190" s="625"/>
      <c r="AZ190" s="626"/>
      <c r="BA190" s="624"/>
      <c r="BB190" s="673">
        <v>778976</v>
      </c>
      <c r="BC190" s="781">
        <v>4.9000000000000002E-2</v>
      </c>
      <c r="BD190" s="790">
        <v>79</v>
      </c>
      <c r="BE190" s="673">
        <v>23824.46</v>
      </c>
    </row>
    <row r="191" spans="1:57" x14ac:dyDescent="0.2">
      <c r="A191" s="390">
        <v>10</v>
      </c>
      <c r="B191" s="551" t="s">
        <v>269</v>
      </c>
      <c r="C191" t="s">
        <v>1183</v>
      </c>
      <c r="D191" s="406">
        <v>1025.7</v>
      </c>
      <c r="E191" s="560">
        <v>6591</v>
      </c>
      <c r="F191" s="561">
        <v>574.12</v>
      </c>
      <c r="G191" s="561">
        <v>55.84</v>
      </c>
      <c r="H191" s="561">
        <v>60.4</v>
      </c>
      <c r="I191" s="561">
        <v>319.72000000000003</v>
      </c>
      <c r="J191" s="561">
        <v>59.04</v>
      </c>
      <c r="K191" s="561">
        <v>47.82</v>
      </c>
      <c r="L191" s="561">
        <v>38.36</v>
      </c>
      <c r="M191" s="343">
        <v>0</v>
      </c>
      <c r="N191" s="477">
        <v>12.5</v>
      </c>
      <c r="O191" s="477">
        <v>4.3970000000000002</v>
      </c>
      <c r="P191" s="407">
        <v>2.86</v>
      </c>
      <c r="Q191" s="477">
        <v>0</v>
      </c>
      <c r="R191" s="483">
        <v>6921209</v>
      </c>
      <c r="S191" s="483">
        <v>602883</v>
      </c>
      <c r="T191" s="483">
        <v>58638</v>
      </c>
      <c r="U191" s="483">
        <v>63426</v>
      </c>
      <c r="V191" s="483">
        <v>335738</v>
      </c>
      <c r="W191" s="483">
        <v>345713</v>
      </c>
      <c r="X191" s="483">
        <v>0</v>
      </c>
      <c r="Y191" s="483">
        <v>82</v>
      </c>
      <c r="Z191" s="406">
        <v>1.7</v>
      </c>
      <c r="AA191" s="483">
        <v>32299</v>
      </c>
      <c r="AB191" s="483">
        <v>3759</v>
      </c>
      <c r="AC191" s="385">
        <v>16001</v>
      </c>
      <c r="AD191" s="545">
        <v>5.4</v>
      </c>
      <c r="AE191" s="483">
        <v>41240</v>
      </c>
      <c r="AF191" s="483">
        <v>40878</v>
      </c>
      <c r="AG191" s="481">
        <v>32643</v>
      </c>
      <c r="AH191" s="481">
        <v>28138</v>
      </c>
      <c r="AI191">
        <v>28</v>
      </c>
      <c r="AJ191" s="385">
        <v>345884273</v>
      </c>
      <c r="AK191" s="385">
        <v>18700</v>
      </c>
      <c r="AL191" s="385">
        <v>0</v>
      </c>
      <c r="AM191" s="287">
        <v>0</v>
      </c>
      <c r="AN191" s="542">
        <v>330000</v>
      </c>
      <c r="AO191" s="549">
        <v>0.17</v>
      </c>
      <c r="AP191" s="385">
        <v>29304</v>
      </c>
      <c r="AQ191" s="385">
        <v>29047</v>
      </c>
      <c r="AR191" s="481">
        <v>23195</v>
      </c>
      <c r="AS191" s="481">
        <v>20317</v>
      </c>
      <c r="AT191" s="617"/>
      <c r="AU191" s="618">
        <v>0</v>
      </c>
      <c r="AV191" s="618">
        <v>0</v>
      </c>
      <c r="AW191" s="620"/>
      <c r="AX191" s="620"/>
      <c r="AY191" s="625"/>
      <c r="AZ191" s="626"/>
      <c r="BA191" s="624"/>
      <c r="BB191" s="673">
        <v>396180</v>
      </c>
      <c r="BC191" s="781">
        <v>0.05</v>
      </c>
      <c r="BD191" s="790">
        <v>53</v>
      </c>
      <c r="BE191" s="673">
        <v>85022.28</v>
      </c>
    </row>
    <row r="192" spans="1:57" x14ac:dyDescent="0.2">
      <c r="A192" s="390">
        <v>15</v>
      </c>
      <c r="B192" s="551" t="s">
        <v>270</v>
      </c>
      <c r="C192" t="s">
        <v>1184</v>
      </c>
      <c r="D192" s="406">
        <v>330.4</v>
      </c>
      <c r="E192" s="560">
        <v>6591</v>
      </c>
      <c r="F192" s="561">
        <v>657.91</v>
      </c>
      <c r="G192" s="561">
        <v>73.760000000000005</v>
      </c>
      <c r="H192" s="561">
        <v>82.100000000000009</v>
      </c>
      <c r="I192" s="561">
        <v>319.72000000000003</v>
      </c>
      <c r="J192" s="561">
        <v>11.52</v>
      </c>
      <c r="K192" s="561">
        <v>7.26</v>
      </c>
      <c r="L192" s="561">
        <v>5.48</v>
      </c>
      <c r="M192" s="343">
        <v>0</v>
      </c>
      <c r="N192" s="477">
        <v>16.02</v>
      </c>
      <c r="O192" s="477">
        <v>1.641</v>
      </c>
      <c r="P192" s="407">
        <v>0</v>
      </c>
      <c r="Q192" s="477">
        <v>0</v>
      </c>
      <c r="R192" s="483">
        <v>2237645</v>
      </c>
      <c r="S192" s="483">
        <v>223360</v>
      </c>
      <c r="T192" s="483">
        <v>25042</v>
      </c>
      <c r="U192" s="483">
        <v>27873</v>
      </c>
      <c r="V192" s="483">
        <v>108545</v>
      </c>
      <c r="W192" s="483">
        <v>107869</v>
      </c>
      <c r="X192" s="483">
        <v>720</v>
      </c>
      <c r="Y192" s="483">
        <v>0</v>
      </c>
      <c r="Z192" s="406">
        <v>0</v>
      </c>
      <c r="AA192" s="483">
        <v>10806</v>
      </c>
      <c r="AB192" s="483">
        <v>1172</v>
      </c>
      <c r="AC192" s="385">
        <v>4943</v>
      </c>
      <c r="AD192" s="545">
        <v>5.4</v>
      </c>
      <c r="AE192" s="483">
        <v>8422</v>
      </c>
      <c r="AF192" s="483">
        <v>8478</v>
      </c>
      <c r="AG192" s="481">
        <v>5234</v>
      </c>
      <c r="AH192" s="481">
        <v>5292</v>
      </c>
      <c r="AI192">
        <v>12.5</v>
      </c>
      <c r="AJ192" s="385">
        <v>90313911</v>
      </c>
      <c r="AK192" s="385">
        <v>7129</v>
      </c>
      <c r="AL192" s="385">
        <v>0</v>
      </c>
      <c r="AM192" s="287">
        <v>0</v>
      </c>
      <c r="AN192" s="542">
        <v>330000</v>
      </c>
      <c r="AO192" s="549">
        <v>0.17</v>
      </c>
      <c r="AP192" s="385">
        <v>8113</v>
      </c>
      <c r="AQ192" s="385">
        <v>8167</v>
      </c>
      <c r="AR192" s="481">
        <v>5042</v>
      </c>
      <c r="AS192" s="481">
        <v>5152</v>
      </c>
      <c r="AT192" s="617"/>
      <c r="AU192" s="618">
        <v>32910</v>
      </c>
      <c r="AV192" s="618">
        <v>20833</v>
      </c>
      <c r="AW192" s="620"/>
      <c r="AX192" s="620"/>
      <c r="AY192" s="625"/>
      <c r="AZ192" s="626"/>
      <c r="BA192" s="624"/>
      <c r="BB192" s="673">
        <v>0</v>
      </c>
      <c r="BC192" s="781">
        <v>4.9000000000000002E-2</v>
      </c>
      <c r="BD192" s="790">
        <v>4</v>
      </c>
      <c r="BE192" s="673">
        <v>14324.6</v>
      </c>
    </row>
    <row r="193" spans="1:57" x14ac:dyDescent="0.2">
      <c r="A193" s="390">
        <v>13</v>
      </c>
      <c r="B193" s="551" t="s">
        <v>271</v>
      </c>
      <c r="C193" t="s">
        <v>1185</v>
      </c>
      <c r="D193" s="406">
        <v>258.3</v>
      </c>
      <c r="E193" s="560">
        <v>6665</v>
      </c>
      <c r="F193" s="561">
        <v>584.29999999999995</v>
      </c>
      <c r="G193" s="561">
        <v>53.18</v>
      </c>
      <c r="H193" s="561">
        <v>68.06</v>
      </c>
      <c r="I193" s="561">
        <v>319.72000000000003</v>
      </c>
      <c r="J193" s="561">
        <v>16.559999999999999</v>
      </c>
      <c r="K193" s="561">
        <v>16.940000000000001</v>
      </c>
      <c r="L193" s="561">
        <v>9.59</v>
      </c>
      <c r="M193" s="343">
        <v>0</v>
      </c>
      <c r="N193" s="477">
        <v>0.64</v>
      </c>
      <c r="O193" s="477">
        <v>1.532</v>
      </c>
      <c r="P193" s="407">
        <v>0</v>
      </c>
      <c r="Q193" s="477">
        <v>0</v>
      </c>
      <c r="R193" s="483">
        <v>1776889</v>
      </c>
      <c r="S193" s="483">
        <v>155774</v>
      </c>
      <c r="T193" s="483">
        <v>14178</v>
      </c>
      <c r="U193" s="483">
        <v>18145</v>
      </c>
      <c r="V193" s="483">
        <v>85237</v>
      </c>
      <c r="W193" s="483">
        <v>89463</v>
      </c>
      <c r="X193" s="483">
        <v>0</v>
      </c>
      <c r="Y193" s="483">
        <v>0</v>
      </c>
      <c r="Z193" s="406">
        <v>0</v>
      </c>
      <c r="AA193" s="483">
        <v>9186</v>
      </c>
      <c r="AB193" s="483">
        <v>979</v>
      </c>
      <c r="AC193" s="385">
        <v>4963</v>
      </c>
      <c r="AD193" s="545">
        <v>5.4</v>
      </c>
      <c r="AE193" s="483">
        <v>13410</v>
      </c>
      <c r="AF193" s="483">
        <v>13375</v>
      </c>
      <c r="AG193" s="481">
        <v>2267</v>
      </c>
      <c r="AH193" s="481">
        <v>2266</v>
      </c>
      <c r="AI193">
        <v>6</v>
      </c>
      <c r="AJ193" s="385">
        <v>79788656</v>
      </c>
      <c r="AK193" s="385">
        <v>28963</v>
      </c>
      <c r="AL193" s="385">
        <v>0</v>
      </c>
      <c r="AM193" s="287">
        <v>0</v>
      </c>
      <c r="AN193" s="542">
        <v>330000</v>
      </c>
      <c r="AO193" s="549">
        <v>0.17</v>
      </c>
      <c r="AP193" s="385">
        <v>9935</v>
      </c>
      <c r="AQ193" s="385">
        <v>9909</v>
      </c>
      <c r="AR193" s="481">
        <v>1679</v>
      </c>
      <c r="AS193" s="481">
        <v>1687</v>
      </c>
      <c r="AT193" s="617"/>
      <c r="AU193" s="618">
        <v>46970</v>
      </c>
      <c r="AV193" s="618">
        <v>0</v>
      </c>
      <c r="AW193" s="620"/>
      <c r="AX193" s="620"/>
      <c r="AY193" s="625"/>
      <c r="AZ193" s="626"/>
      <c r="BA193" s="624"/>
      <c r="BB193" s="673">
        <v>317010</v>
      </c>
      <c r="BC193" s="781">
        <v>3.6999999999999998E-2</v>
      </c>
      <c r="BD193" s="790">
        <v>93</v>
      </c>
      <c r="BE193" s="673">
        <v>6351.56</v>
      </c>
    </row>
    <row r="194" spans="1:57" x14ac:dyDescent="0.2">
      <c r="A194" s="390">
        <v>15</v>
      </c>
      <c r="B194" s="551" t="s">
        <v>272</v>
      </c>
      <c r="C194" t="s">
        <v>1186</v>
      </c>
      <c r="D194" s="406">
        <v>213.4</v>
      </c>
      <c r="E194" s="560">
        <v>6591</v>
      </c>
      <c r="F194" s="561">
        <v>585.29</v>
      </c>
      <c r="G194" s="561">
        <v>63.99</v>
      </c>
      <c r="H194" s="561">
        <v>85.56</v>
      </c>
      <c r="I194" s="561">
        <v>319.72000000000003</v>
      </c>
      <c r="J194" s="561">
        <v>13.68</v>
      </c>
      <c r="K194" s="561">
        <v>7.26</v>
      </c>
      <c r="L194" s="561">
        <v>5.48</v>
      </c>
      <c r="M194" s="343">
        <v>0</v>
      </c>
      <c r="N194" s="477">
        <v>22.29</v>
      </c>
      <c r="O194" s="477">
        <v>0.97799999999999998</v>
      </c>
      <c r="P194" s="407">
        <v>0.22</v>
      </c>
      <c r="Q194" s="477">
        <v>0</v>
      </c>
      <c r="R194" s="483">
        <v>1405201</v>
      </c>
      <c r="S194" s="483">
        <v>124784</v>
      </c>
      <c r="T194" s="483">
        <v>13643</v>
      </c>
      <c r="U194" s="483">
        <v>18241</v>
      </c>
      <c r="V194" s="483">
        <v>68164</v>
      </c>
      <c r="W194" s="483">
        <v>69556</v>
      </c>
      <c r="X194" s="483">
        <v>0</v>
      </c>
      <c r="Y194" s="483">
        <v>0</v>
      </c>
      <c r="Z194" s="406">
        <v>0</v>
      </c>
      <c r="AA194" s="483">
        <v>6968</v>
      </c>
      <c r="AB194" s="483">
        <v>756</v>
      </c>
      <c r="AC194" s="385">
        <v>3707</v>
      </c>
      <c r="AD194" s="545">
        <v>5.4</v>
      </c>
      <c r="AE194" s="483">
        <v>8724</v>
      </c>
      <c r="AF194" s="483">
        <v>8734</v>
      </c>
      <c r="AG194" s="481">
        <v>2666</v>
      </c>
      <c r="AH194" s="481">
        <v>2666</v>
      </c>
      <c r="AI194">
        <v>6.5</v>
      </c>
      <c r="AJ194" s="385">
        <v>59148045</v>
      </c>
      <c r="AK194" s="385">
        <v>0</v>
      </c>
      <c r="AL194" s="385">
        <v>0</v>
      </c>
      <c r="AM194" s="287">
        <v>0</v>
      </c>
      <c r="AN194" s="542">
        <v>330000</v>
      </c>
      <c r="AO194" s="549">
        <v>0.17</v>
      </c>
      <c r="AP194" s="385">
        <v>7874</v>
      </c>
      <c r="AQ194" s="385">
        <v>7883</v>
      </c>
      <c r="AR194" s="481">
        <v>2406</v>
      </c>
      <c r="AS194" s="481">
        <v>2426</v>
      </c>
      <c r="AT194" s="617"/>
      <c r="AU194" s="618">
        <v>0</v>
      </c>
      <c r="AV194" s="618">
        <v>40121</v>
      </c>
      <c r="AW194" s="620"/>
      <c r="AX194" s="620"/>
      <c r="AY194" s="625"/>
      <c r="AZ194" s="626"/>
      <c r="BA194" s="624"/>
      <c r="BB194" s="673">
        <v>87537</v>
      </c>
      <c r="BC194" s="781">
        <v>2.5000000000000001E-2</v>
      </c>
      <c r="BD194" s="790">
        <v>58</v>
      </c>
      <c r="BE194" s="673">
        <v>8430.31</v>
      </c>
    </row>
    <row r="195" spans="1:57" x14ac:dyDescent="0.2">
      <c r="A195" s="390">
        <v>15</v>
      </c>
      <c r="B195" s="551" t="s">
        <v>273</v>
      </c>
      <c r="C195" t="s">
        <v>1187</v>
      </c>
      <c r="D195" s="406">
        <v>222.5</v>
      </c>
      <c r="E195" s="560">
        <v>6591</v>
      </c>
      <c r="F195" s="561">
        <v>636.07000000000005</v>
      </c>
      <c r="G195" s="561">
        <v>65.31</v>
      </c>
      <c r="H195" s="561">
        <v>73.42</v>
      </c>
      <c r="I195" s="561">
        <v>319.72000000000003</v>
      </c>
      <c r="J195" s="561">
        <v>14.399999999999999</v>
      </c>
      <c r="K195" s="561">
        <v>4.84</v>
      </c>
      <c r="L195" s="561">
        <v>2.74</v>
      </c>
      <c r="M195" s="343">
        <v>0</v>
      </c>
      <c r="N195" s="477">
        <v>15.28</v>
      </c>
      <c r="O195" s="477">
        <v>1.2929999999999999</v>
      </c>
      <c r="P195" s="407">
        <v>0</v>
      </c>
      <c r="Q195" s="477">
        <v>0</v>
      </c>
      <c r="R195" s="483">
        <v>1469134</v>
      </c>
      <c r="S195" s="483">
        <v>141780</v>
      </c>
      <c r="T195" s="483">
        <v>14558</v>
      </c>
      <c r="U195" s="483">
        <v>16365</v>
      </c>
      <c r="V195" s="483">
        <v>71266</v>
      </c>
      <c r="W195" s="483">
        <v>69866</v>
      </c>
      <c r="X195" s="483">
        <v>107</v>
      </c>
      <c r="Y195" s="483">
        <v>0</v>
      </c>
      <c r="Z195" s="406">
        <v>0</v>
      </c>
      <c r="AA195" s="483">
        <v>6999</v>
      </c>
      <c r="AB195" s="483">
        <v>759</v>
      </c>
      <c r="AC195" s="385">
        <v>4408</v>
      </c>
      <c r="AD195" s="545">
        <v>5.4</v>
      </c>
      <c r="AE195" s="483">
        <v>10913</v>
      </c>
      <c r="AF195" s="483">
        <v>10922</v>
      </c>
      <c r="AG195" s="481">
        <v>860</v>
      </c>
      <c r="AH195" s="481">
        <v>933</v>
      </c>
      <c r="AI195">
        <v>5.5</v>
      </c>
      <c r="AJ195" s="385">
        <v>59160357</v>
      </c>
      <c r="AK195" s="385">
        <v>5648</v>
      </c>
      <c r="AL195" s="385">
        <v>2723</v>
      </c>
      <c r="AM195" s="287">
        <v>0</v>
      </c>
      <c r="AN195" s="542">
        <v>330000</v>
      </c>
      <c r="AO195" s="549">
        <v>0.17</v>
      </c>
      <c r="AP195" s="385">
        <v>7688</v>
      </c>
      <c r="AQ195" s="385">
        <v>7695</v>
      </c>
      <c r="AR195" s="481">
        <v>606</v>
      </c>
      <c r="AS195" s="481">
        <v>659</v>
      </c>
      <c r="AT195" s="617"/>
      <c r="AU195" s="618">
        <v>121908</v>
      </c>
      <c r="AV195" s="618">
        <v>0</v>
      </c>
      <c r="AW195" s="620"/>
      <c r="AX195" s="620"/>
      <c r="AY195" s="625"/>
      <c r="AZ195" s="626"/>
      <c r="BA195" s="624"/>
      <c r="BB195" s="673">
        <v>0</v>
      </c>
      <c r="BC195" s="781">
        <v>4.7E-2</v>
      </c>
      <c r="BD195" s="790">
        <v>4</v>
      </c>
      <c r="BE195" s="673">
        <v>1814.55</v>
      </c>
    </row>
    <row r="196" spans="1:57" x14ac:dyDescent="0.2">
      <c r="A196" s="390">
        <v>13</v>
      </c>
      <c r="B196" s="551" t="s">
        <v>274</v>
      </c>
      <c r="C196" t="s">
        <v>1189</v>
      </c>
      <c r="D196" s="406">
        <v>632.79999999999995</v>
      </c>
      <c r="E196" s="560">
        <v>6594</v>
      </c>
      <c r="F196" s="561">
        <v>647.20000000000005</v>
      </c>
      <c r="G196" s="561">
        <v>80.62</v>
      </c>
      <c r="H196" s="561">
        <v>74.78</v>
      </c>
      <c r="I196" s="561">
        <v>319.72000000000003</v>
      </c>
      <c r="J196" s="561">
        <v>33.119999999999997</v>
      </c>
      <c r="K196" s="561">
        <v>19.97</v>
      </c>
      <c r="L196" s="561">
        <v>24.660000000000004</v>
      </c>
      <c r="M196" s="343">
        <v>0</v>
      </c>
      <c r="N196" s="477">
        <v>17.98</v>
      </c>
      <c r="O196" s="477">
        <v>3.1479999999999997</v>
      </c>
      <c r="P196" s="407">
        <v>1.32</v>
      </c>
      <c r="Q196" s="477">
        <v>0</v>
      </c>
      <c r="R196" s="483">
        <v>4224116</v>
      </c>
      <c r="S196" s="483">
        <v>414596</v>
      </c>
      <c r="T196" s="483">
        <v>51645</v>
      </c>
      <c r="U196" s="483">
        <v>47904</v>
      </c>
      <c r="V196" s="483">
        <v>204813</v>
      </c>
      <c r="W196" s="483">
        <v>212365</v>
      </c>
      <c r="X196" s="483">
        <v>0</v>
      </c>
      <c r="Y196" s="483">
        <v>1</v>
      </c>
      <c r="Z196" s="406">
        <v>0</v>
      </c>
      <c r="AA196" s="483">
        <v>21805</v>
      </c>
      <c r="AB196" s="483">
        <v>2323</v>
      </c>
      <c r="AC196" s="385">
        <v>13308</v>
      </c>
      <c r="AD196" s="545">
        <v>5.4</v>
      </c>
      <c r="AE196" s="483">
        <v>31894</v>
      </c>
      <c r="AF196" s="483">
        <v>32160</v>
      </c>
      <c r="AG196" s="481">
        <v>9604</v>
      </c>
      <c r="AH196" s="481">
        <v>8778</v>
      </c>
      <c r="AI196">
        <v>19</v>
      </c>
      <c r="AJ196" s="385">
        <v>255608163</v>
      </c>
      <c r="AK196" s="385">
        <v>11580</v>
      </c>
      <c r="AL196" s="385">
        <v>0</v>
      </c>
      <c r="AM196" s="287">
        <v>0</v>
      </c>
      <c r="AN196" s="542">
        <v>330000</v>
      </c>
      <c r="AO196" s="549">
        <v>0.17</v>
      </c>
      <c r="AP196" s="385">
        <v>19518</v>
      </c>
      <c r="AQ196" s="385">
        <v>19681</v>
      </c>
      <c r="AR196" s="481">
        <v>5846</v>
      </c>
      <c r="AS196" s="481">
        <v>5547</v>
      </c>
      <c r="AT196" s="617"/>
      <c r="AU196" s="618">
        <v>0</v>
      </c>
      <c r="AV196" s="618">
        <v>0</v>
      </c>
      <c r="AW196" s="620"/>
      <c r="AX196" s="620"/>
      <c r="AY196" s="625"/>
      <c r="AZ196" s="626"/>
      <c r="BA196" s="624"/>
      <c r="BB196" s="673">
        <v>0</v>
      </c>
      <c r="BC196" s="781">
        <v>0.05</v>
      </c>
      <c r="BD196" s="790">
        <v>80</v>
      </c>
      <c r="BE196" s="673">
        <v>25095.079999999998</v>
      </c>
    </row>
    <row r="197" spans="1:57" x14ac:dyDescent="0.2">
      <c r="A197" s="390">
        <v>15</v>
      </c>
      <c r="B197" s="551" t="s">
        <v>275</v>
      </c>
      <c r="C197" t="s">
        <v>1190</v>
      </c>
      <c r="D197" s="406">
        <v>1970.2</v>
      </c>
      <c r="E197" s="560">
        <v>6591</v>
      </c>
      <c r="F197" s="561">
        <v>558.4</v>
      </c>
      <c r="G197" s="561">
        <v>66.739999999999995</v>
      </c>
      <c r="H197" s="561">
        <v>74.52000000000001</v>
      </c>
      <c r="I197" s="561">
        <v>319.72000000000003</v>
      </c>
      <c r="J197" s="561">
        <v>90.72</v>
      </c>
      <c r="K197" s="561">
        <v>86.539999999999992</v>
      </c>
      <c r="L197" s="561">
        <v>64.39</v>
      </c>
      <c r="M197" s="343">
        <v>0</v>
      </c>
      <c r="N197" s="477">
        <v>13.62</v>
      </c>
      <c r="O197" s="477">
        <v>10.558</v>
      </c>
      <c r="P197" s="407">
        <v>19.14</v>
      </c>
      <c r="Q197" s="477">
        <v>0</v>
      </c>
      <c r="R197" s="483">
        <v>13131249</v>
      </c>
      <c r="S197" s="483">
        <v>1112500</v>
      </c>
      <c r="T197" s="483">
        <v>132966</v>
      </c>
      <c r="U197" s="483">
        <v>148466</v>
      </c>
      <c r="V197" s="483">
        <v>636978</v>
      </c>
      <c r="W197" s="483">
        <v>648404</v>
      </c>
      <c r="X197" s="483">
        <v>0</v>
      </c>
      <c r="Y197" s="483">
        <v>4</v>
      </c>
      <c r="Z197" s="406">
        <v>0</v>
      </c>
      <c r="AA197" s="483">
        <v>64953</v>
      </c>
      <c r="AB197" s="483">
        <v>7046</v>
      </c>
      <c r="AC197" s="385">
        <v>31074</v>
      </c>
      <c r="AD197" s="545">
        <v>5.4</v>
      </c>
      <c r="AE197" s="483">
        <v>27613</v>
      </c>
      <c r="AF197" s="483">
        <v>27630</v>
      </c>
      <c r="AG197" s="481">
        <v>83291</v>
      </c>
      <c r="AH197" s="481">
        <v>83291</v>
      </c>
      <c r="AI197">
        <v>48</v>
      </c>
      <c r="AJ197" s="385">
        <v>507823803</v>
      </c>
      <c r="AK197" s="385">
        <v>4472</v>
      </c>
      <c r="AL197" s="385">
        <v>0</v>
      </c>
      <c r="AM197" s="287">
        <v>0</v>
      </c>
      <c r="AN197" s="542">
        <v>330000</v>
      </c>
      <c r="AO197" s="549">
        <v>0.17</v>
      </c>
      <c r="AP197" s="385">
        <v>19572</v>
      </c>
      <c r="AQ197" s="385">
        <v>19584</v>
      </c>
      <c r="AR197" s="481">
        <v>59035</v>
      </c>
      <c r="AS197" s="481">
        <v>60769</v>
      </c>
      <c r="AT197" s="617"/>
      <c r="AU197" s="618">
        <v>0</v>
      </c>
      <c r="AV197" s="618">
        <v>0</v>
      </c>
      <c r="AW197" s="620"/>
      <c r="AX197" s="620"/>
      <c r="AY197" s="625"/>
      <c r="AZ197" s="626"/>
      <c r="BA197" s="624"/>
      <c r="BB197" s="673">
        <v>2645248</v>
      </c>
      <c r="BC197" s="781">
        <v>2.5000000000000001E-2</v>
      </c>
      <c r="BD197" s="790">
        <v>44</v>
      </c>
      <c r="BE197" s="673">
        <v>220987.64</v>
      </c>
    </row>
    <row r="198" spans="1:57" x14ac:dyDescent="0.2">
      <c r="A198" s="390">
        <v>10</v>
      </c>
      <c r="B198" s="551" t="s">
        <v>276</v>
      </c>
      <c r="C198" t="s">
        <v>1191</v>
      </c>
      <c r="D198" s="406">
        <v>1124.2</v>
      </c>
      <c r="E198" s="560">
        <v>6591</v>
      </c>
      <c r="F198" s="561">
        <v>573.84</v>
      </c>
      <c r="G198" s="561">
        <v>64.81</v>
      </c>
      <c r="H198" s="561">
        <v>70.42</v>
      </c>
      <c r="I198" s="561">
        <v>319.72000000000003</v>
      </c>
      <c r="J198" s="561">
        <v>27.36</v>
      </c>
      <c r="K198" s="561">
        <v>21.18</v>
      </c>
      <c r="L198" s="561">
        <v>16.440000000000001</v>
      </c>
      <c r="M198" s="343">
        <v>0</v>
      </c>
      <c r="N198" s="477">
        <v>7.62</v>
      </c>
      <c r="O198" s="477">
        <v>3.145</v>
      </c>
      <c r="P198" s="407">
        <v>0.88</v>
      </c>
      <c r="Q198" s="477">
        <v>0</v>
      </c>
      <c r="R198" s="483">
        <v>7283055</v>
      </c>
      <c r="S198" s="483">
        <v>634093</v>
      </c>
      <c r="T198" s="483">
        <v>71615</v>
      </c>
      <c r="U198" s="483">
        <v>77814</v>
      </c>
      <c r="V198" s="483">
        <v>353291</v>
      </c>
      <c r="W198" s="483">
        <v>339181</v>
      </c>
      <c r="X198" s="483">
        <v>0</v>
      </c>
      <c r="Y198" s="483">
        <v>17</v>
      </c>
      <c r="Z198" s="406">
        <v>0</v>
      </c>
      <c r="AA198" s="483">
        <v>31689</v>
      </c>
      <c r="AB198" s="483">
        <v>3688</v>
      </c>
      <c r="AC198" s="385">
        <v>15321</v>
      </c>
      <c r="AD198" s="545">
        <v>5.4</v>
      </c>
      <c r="AE198" s="483">
        <v>29399</v>
      </c>
      <c r="AF198" s="483">
        <v>29285</v>
      </c>
      <c r="AG198" s="481">
        <v>19156</v>
      </c>
      <c r="AH198" s="481">
        <v>16138</v>
      </c>
      <c r="AI198">
        <v>24.5</v>
      </c>
      <c r="AJ198" s="385">
        <v>279539521</v>
      </c>
      <c r="AK198" s="385">
        <v>8773</v>
      </c>
      <c r="AL198" s="385">
        <v>0</v>
      </c>
      <c r="AM198" s="287">
        <v>0</v>
      </c>
      <c r="AN198" s="542">
        <v>330000</v>
      </c>
      <c r="AO198" s="549">
        <v>0.17</v>
      </c>
      <c r="AP198" s="385">
        <v>26006</v>
      </c>
      <c r="AQ198" s="385">
        <v>25905</v>
      </c>
      <c r="AR198" s="481">
        <v>16946</v>
      </c>
      <c r="AS198" s="481">
        <v>14453</v>
      </c>
      <c r="AT198" s="617"/>
      <c r="AU198" s="618">
        <v>129075</v>
      </c>
      <c r="AV198" s="618">
        <v>0</v>
      </c>
      <c r="AW198" s="620"/>
      <c r="AX198" s="620"/>
      <c r="AY198" s="625">
        <v>-2</v>
      </c>
      <c r="AZ198" s="626">
        <v>-0.18</v>
      </c>
      <c r="BA198" s="624"/>
      <c r="BB198" s="673">
        <v>893586</v>
      </c>
      <c r="BC198" s="781">
        <v>3.7999999999999999E-2</v>
      </c>
      <c r="BD198" s="790">
        <v>57</v>
      </c>
      <c r="BE198" s="673">
        <v>65516.89</v>
      </c>
    </row>
    <row r="199" spans="1:57" x14ac:dyDescent="0.2">
      <c r="A199" s="390">
        <v>13</v>
      </c>
      <c r="B199" s="551" t="s">
        <v>277</v>
      </c>
      <c r="C199" t="s">
        <v>1192</v>
      </c>
      <c r="D199" s="406">
        <v>264.39999999999998</v>
      </c>
      <c r="E199" s="560">
        <v>6591</v>
      </c>
      <c r="F199" s="561">
        <v>673.29</v>
      </c>
      <c r="G199" s="561">
        <v>67.02</v>
      </c>
      <c r="H199" s="561">
        <v>82.25</v>
      </c>
      <c r="I199" s="561">
        <v>319.72000000000003</v>
      </c>
      <c r="J199" s="561">
        <v>16.559999999999999</v>
      </c>
      <c r="K199" s="561">
        <v>6.05</v>
      </c>
      <c r="L199" s="561">
        <v>13.7</v>
      </c>
      <c r="M199" s="343">
        <v>0</v>
      </c>
      <c r="N199" s="477">
        <v>5.46</v>
      </c>
      <c r="O199" s="477">
        <v>1.464</v>
      </c>
      <c r="P199" s="407">
        <v>0</v>
      </c>
      <c r="Q199" s="477">
        <v>0</v>
      </c>
      <c r="R199" s="483">
        <v>1713001</v>
      </c>
      <c r="S199" s="483">
        <v>174988</v>
      </c>
      <c r="T199" s="483">
        <v>17418</v>
      </c>
      <c r="U199" s="483">
        <v>21377</v>
      </c>
      <c r="V199" s="483">
        <v>83095</v>
      </c>
      <c r="W199" s="483">
        <v>84613</v>
      </c>
      <c r="X199" s="483">
        <v>2964</v>
      </c>
      <c r="Y199" s="483">
        <v>0</v>
      </c>
      <c r="Z199" s="406">
        <v>0</v>
      </c>
      <c r="AA199" s="483">
        <v>8688</v>
      </c>
      <c r="AB199" s="483">
        <v>926</v>
      </c>
      <c r="AC199" s="385">
        <v>5085</v>
      </c>
      <c r="AD199" s="545">
        <v>5.4</v>
      </c>
      <c r="AE199" s="483">
        <v>12452</v>
      </c>
      <c r="AF199" s="483">
        <v>12577</v>
      </c>
      <c r="AG199" s="481">
        <v>1315</v>
      </c>
      <c r="AH199" s="481">
        <v>1315</v>
      </c>
      <c r="AI199">
        <v>12.5</v>
      </c>
      <c r="AJ199" s="385">
        <v>63068044</v>
      </c>
      <c r="AK199" s="385">
        <v>59</v>
      </c>
      <c r="AL199" s="385">
        <v>5286</v>
      </c>
      <c r="AM199" s="287">
        <v>0</v>
      </c>
      <c r="AN199" s="542">
        <v>330000</v>
      </c>
      <c r="AO199" s="549">
        <v>0.17</v>
      </c>
      <c r="AP199" s="385">
        <v>10957</v>
      </c>
      <c r="AQ199" s="385">
        <v>11067</v>
      </c>
      <c r="AR199" s="481">
        <v>1158</v>
      </c>
      <c r="AS199" s="481">
        <v>1162</v>
      </c>
      <c r="AT199" s="617"/>
      <c r="AU199" s="618">
        <v>87112</v>
      </c>
      <c r="AV199" s="618">
        <v>0</v>
      </c>
      <c r="AW199" s="620"/>
      <c r="AX199" s="620"/>
      <c r="AY199" s="625"/>
      <c r="AZ199" s="626"/>
      <c r="BA199" s="624"/>
      <c r="BB199" s="673">
        <v>0</v>
      </c>
      <c r="BC199" s="781">
        <v>3.2000000000000001E-2</v>
      </c>
      <c r="BD199" s="790">
        <v>20</v>
      </c>
      <c r="BE199" s="673">
        <v>3448.29</v>
      </c>
    </row>
    <row r="200" spans="1:57" x14ac:dyDescent="0.2">
      <c r="A200" s="390">
        <v>9</v>
      </c>
      <c r="B200" s="551" t="s">
        <v>278</v>
      </c>
      <c r="C200" t="s">
        <v>1193</v>
      </c>
      <c r="D200" s="406">
        <v>5084.2</v>
      </c>
      <c r="E200" s="560">
        <v>6591</v>
      </c>
      <c r="F200" s="561">
        <v>555.57000000000005</v>
      </c>
      <c r="G200" s="561">
        <v>60.68</v>
      </c>
      <c r="H200" s="561">
        <v>74.600000000000009</v>
      </c>
      <c r="I200" s="561">
        <v>319.72000000000003</v>
      </c>
      <c r="J200" s="561">
        <v>225.35999999999999</v>
      </c>
      <c r="K200" s="561">
        <v>231.77</v>
      </c>
      <c r="L200" s="561">
        <v>283.58999999999997</v>
      </c>
      <c r="M200" s="343">
        <v>0</v>
      </c>
      <c r="N200" s="477">
        <v>23.53</v>
      </c>
      <c r="O200" s="477">
        <v>28.030999999999999</v>
      </c>
      <c r="P200" s="407">
        <v>46.86</v>
      </c>
      <c r="Q200" s="477">
        <v>0</v>
      </c>
      <c r="R200" s="483">
        <v>34075470</v>
      </c>
      <c r="S200" s="483">
        <v>2872297</v>
      </c>
      <c r="T200" s="483">
        <v>313716</v>
      </c>
      <c r="U200" s="483">
        <v>385682</v>
      </c>
      <c r="V200" s="483">
        <v>1652952</v>
      </c>
      <c r="W200" s="483">
        <v>1716787</v>
      </c>
      <c r="X200" s="483">
        <v>0</v>
      </c>
      <c r="Y200" s="483">
        <v>159</v>
      </c>
      <c r="Z200" s="406">
        <v>0</v>
      </c>
      <c r="AA200" s="483">
        <v>154907</v>
      </c>
      <c r="AB200" s="483">
        <v>18190</v>
      </c>
      <c r="AC200" s="385">
        <v>84618</v>
      </c>
      <c r="AD200" s="545">
        <v>5.4</v>
      </c>
      <c r="AE200" s="483">
        <v>89593</v>
      </c>
      <c r="AF200" s="483">
        <v>91931</v>
      </c>
      <c r="AG200" s="481">
        <v>258532</v>
      </c>
      <c r="AH200" s="481">
        <v>228218</v>
      </c>
      <c r="AI200">
        <v>134</v>
      </c>
      <c r="AJ200" s="385">
        <v>1236799654</v>
      </c>
      <c r="AK200" s="385">
        <v>74467</v>
      </c>
      <c r="AL200" s="385">
        <v>0</v>
      </c>
      <c r="AM200" s="287">
        <v>0</v>
      </c>
      <c r="AN200" s="542">
        <v>330000</v>
      </c>
      <c r="AO200" s="549">
        <v>0.17</v>
      </c>
      <c r="AP200" s="385">
        <v>85832</v>
      </c>
      <c r="AQ200" s="385">
        <v>88072</v>
      </c>
      <c r="AR200" s="481">
        <v>247679</v>
      </c>
      <c r="AS200" s="481">
        <v>225828</v>
      </c>
      <c r="AT200" s="617"/>
      <c r="AU200" s="618">
        <v>15809</v>
      </c>
      <c r="AV200" s="618">
        <v>614865</v>
      </c>
      <c r="AW200" s="620"/>
      <c r="AX200" s="620"/>
      <c r="AY200" s="625"/>
      <c r="AZ200" s="626"/>
      <c r="BA200" s="624"/>
      <c r="BB200" s="673">
        <v>447026</v>
      </c>
      <c r="BC200" s="781">
        <v>3.3000000000000002E-2</v>
      </c>
      <c r="BD200" s="790">
        <v>70</v>
      </c>
      <c r="BE200" s="673">
        <v>743957.73</v>
      </c>
    </row>
    <row r="201" spans="1:57" x14ac:dyDescent="0.2">
      <c r="A201" s="390">
        <v>7</v>
      </c>
      <c r="B201" s="551" t="s">
        <v>279</v>
      </c>
      <c r="C201" t="s">
        <v>644</v>
      </c>
      <c r="D201" s="406">
        <v>623.29999999999995</v>
      </c>
      <c r="E201" s="560">
        <v>6703</v>
      </c>
      <c r="F201" s="561">
        <v>555.11</v>
      </c>
      <c r="G201" s="561">
        <v>63.06</v>
      </c>
      <c r="H201" s="561">
        <v>55.1</v>
      </c>
      <c r="I201" s="561">
        <v>319.72000000000003</v>
      </c>
      <c r="J201" s="561">
        <v>31.68</v>
      </c>
      <c r="K201" s="561">
        <v>14.52</v>
      </c>
      <c r="L201" s="561">
        <v>13.7</v>
      </c>
      <c r="M201" s="343">
        <v>0</v>
      </c>
      <c r="N201" s="477">
        <v>21.43</v>
      </c>
      <c r="O201" s="477">
        <v>2.7170000000000001</v>
      </c>
      <c r="P201" s="407">
        <v>0.44</v>
      </c>
      <c r="Q201" s="477">
        <v>0</v>
      </c>
      <c r="R201" s="483">
        <v>4223560</v>
      </c>
      <c r="S201" s="483">
        <v>349775</v>
      </c>
      <c r="T201" s="483">
        <v>39734</v>
      </c>
      <c r="U201" s="483">
        <v>34719</v>
      </c>
      <c r="V201" s="483">
        <v>201456</v>
      </c>
      <c r="W201" s="483">
        <v>203832</v>
      </c>
      <c r="X201" s="483">
        <v>0</v>
      </c>
      <c r="Y201" s="483">
        <v>0</v>
      </c>
      <c r="Z201" s="406">
        <v>0</v>
      </c>
      <c r="AA201" s="483">
        <v>25846</v>
      </c>
      <c r="AB201" s="483">
        <v>2970</v>
      </c>
      <c r="AC201" s="385">
        <v>12491</v>
      </c>
      <c r="AD201" s="545">
        <v>5.4</v>
      </c>
      <c r="AE201" s="483">
        <v>35202</v>
      </c>
      <c r="AF201" s="483">
        <v>36026</v>
      </c>
      <c r="AG201" s="481">
        <v>7718</v>
      </c>
      <c r="AH201" s="481">
        <v>7402</v>
      </c>
      <c r="AI201">
        <v>14.5</v>
      </c>
      <c r="AJ201" s="385">
        <v>243646002</v>
      </c>
      <c r="AK201" s="385">
        <v>65040</v>
      </c>
      <c r="AL201" s="385">
        <v>0</v>
      </c>
      <c r="AM201" s="287">
        <v>0</v>
      </c>
      <c r="AN201" s="542">
        <v>330000</v>
      </c>
      <c r="AO201" s="549">
        <v>0.17</v>
      </c>
      <c r="AP201" s="385">
        <v>20360</v>
      </c>
      <c r="AQ201" s="385">
        <v>20837</v>
      </c>
      <c r="AR201" s="481">
        <v>4464</v>
      </c>
      <c r="AS201" s="481">
        <v>4306</v>
      </c>
      <c r="AT201" s="617"/>
      <c r="AU201" s="618">
        <v>134438</v>
      </c>
      <c r="AV201" s="618">
        <v>0</v>
      </c>
      <c r="AW201" s="620"/>
      <c r="AX201" s="620"/>
      <c r="AY201" s="625"/>
      <c r="AZ201" s="626"/>
      <c r="BA201" s="624"/>
      <c r="BB201" s="673">
        <v>261321</v>
      </c>
      <c r="BC201" s="781">
        <v>2.8000000000000001E-2</v>
      </c>
      <c r="BD201" s="790">
        <v>19</v>
      </c>
      <c r="BE201" s="673">
        <v>15724.09</v>
      </c>
    </row>
    <row r="202" spans="1:57" x14ac:dyDescent="0.2">
      <c r="A202" s="390">
        <v>11</v>
      </c>
      <c r="B202" s="551" t="s">
        <v>280</v>
      </c>
      <c r="C202" t="s">
        <v>1194</v>
      </c>
      <c r="D202" s="406">
        <v>1548.1</v>
      </c>
      <c r="E202" s="560">
        <v>6591</v>
      </c>
      <c r="F202" s="561">
        <v>564.82000000000005</v>
      </c>
      <c r="G202" s="561">
        <v>68.58</v>
      </c>
      <c r="H202" s="561">
        <v>77.080000000000013</v>
      </c>
      <c r="I202" s="561">
        <v>319.72000000000003</v>
      </c>
      <c r="J202" s="561">
        <v>70.56</v>
      </c>
      <c r="K202" s="561">
        <v>58.089999999999996</v>
      </c>
      <c r="L202" s="561">
        <v>63.02</v>
      </c>
      <c r="M202" s="343">
        <v>0</v>
      </c>
      <c r="N202" s="477">
        <v>34.67</v>
      </c>
      <c r="O202" s="477">
        <v>7.0440000000000005</v>
      </c>
      <c r="P202" s="407">
        <v>4.62</v>
      </c>
      <c r="Q202" s="477">
        <v>0</v>
      </c>
      <c r="R202" s="483">
        <v>10130367</v>
      </c>
      <c r="S202" s="483">
        <v>868128</v>
      </c>
      <c r="T202" s="483">
        <v>105407</v>
      </c>
      <c r="U202" s="483">
        <v>118472</v>
      </c>
      <c r="V202" s="483">
        <v>491410</v>
      </c>
      <c r="W202" s="483">
        <v>481811</v>
      </c>
      <c r="X202" s="483">
        <v>0</v>
      </c>
      <c r="Y202" s="483">
        <v>11</v>
      </c>
      <c r="Z202" s="406">
        <v>0</v>
      </c>
      <c r="AA202" s="483">
        <v>39700</v>
      </c>
      <c r="AB202" s="483">
        <v>5046</v>
      </c>
      <c r="AC202" s="385">
        <v>23286</v>
      </c>
      <c r="AD202" s="545">
        <v>5.4</v>
      </c>
      <c r="AE202" s="483">
        <v>51456</v>
      </c>
      <c r="AF202" s="483">
        <v>51965</v>
      </c>
      <c r="AG202" s="481">
        <v>73272</v>
      </c>
      <c r="AH202" s="481">
        <v>24358</v>
      </c>
      <c r="AI202">
        <v>45</v>
      </c>
      <c r="AJ202" s="385">
        <v>374620640</v>
      </c>
      <c r="AK202" s="385">
        <v>27555</v>
      </c>
      <c r="AL202" s="385">
        <v>0</v>
      </c>
      <c r="AM202" s="287">
        <v>0</v>
      </c>
      <c r="AN202" s="542">
        <v>330000</v>
      </c>
      <c r="AO202" s="549">
        <v>0.17</v>
      </c>
      <c r="AP202" s="385">
        <v>42677</v>
      </c>
      <c r="AQ202" s="385">
        <v>43099</v>
      </c>
      <c r="AR202" s="481">
        <v>60770</v>
      </c>
      <c r="AS202" s="481">
        <v>20665</v>
      </c>
      <c r="AT202" s="617"/>
      <c r="AU202" s="618">
        <v>0</v>
      </c>
      <c r="AV202" s="618">
        <v>107983</v>
      </c>
      <c r="AW202" s="620"/>
      <c r="AX202" s="620"/>
      <c r="AY202" s="625"/>
      <c r="AZ202" s="626">
        <v>-1.1000000000000001</v>
      </c>
      <c r="BA202" s="624"/>
      <c r="BB202" s="673">
        <v>1798355</v>
      </c>
      <c r="BC202" s="781">
        <v>0.05</v>
      </c>
      <c r="BD202" s="790">
        <v>85</v>
      </c>
      <c r="BE202" s="673">
        <v>228093.15</v>
      </c>
    </row>
    <row r="203" spans="1:57" x14ac:dyDescent="0.2">
      <c r="A203" s="390">
        <v>1</v>
      </c>
      <c r="B203" s="551" t="s">
        <v>282</v>
      </c>
      <c r="C203" t="s">
        <v>1195</v>
      </c>
      <c r="D203" s="406">
        <v>962.8</v>
      </c>
      <c r="E203" s="560">
        <v>6591</v>
      </c>
      <c r="F203" s="561">
        <v>573</v>
      </c>
      <c r="G203" s="561">
        <v>63.510000000000005</v>
      </c>
      <c r="H203" s="561">
        <v>51.6</v>
      </c>
      <c r="I203" s="561">
        <v>319.72000000000003</v>
      </c>
      <c r="J203" s="561">
        <v>62.64</v>
      </c>
      <c r="K203" s="561">
        <v>36.92</v>
      </c>
      <c r="L203" s="561">
        <v>30.14</v>
      </c>
      <c r="M203" s="343">
        <v>0</v>
      </c>
      <c r="N203" s="477">
        <v>31.89</v>
      </c>
      <c r="O203" s="477">
        <v>4.1520000000000001</v>
      </c>
      <c r="P203" s="407">
        <v>3.96</v>
      </c>
      <c r="Q203" s="477">
        <v>0</v>
      </c>
      <c r="R203" s="483">
        <v>6471703</v>
      </c>
      <c r="S203" s="483">
        <v>562629</v>
      </c>
      <c r="T203" s="483">
        <v>62360</v>
      </c>
      <c r="U203" s="483">
        <v>50666</v>
      </c>
      <c r="V203" s="483">
        <v>313933</v>
      </c>
      <c r="W203" s="483">
        <v>334668</v>
      </c>
      <c r="X203" s="483">
        <v>0</v>
      </c>
      <c r="Y203" s="483">
        <v>138</v>
      </c>
      <c r="Z203" s="406">
        <v>2.8</v>
      </c>
      <c r="AA203" s="483">
        <v>32956</v>
      </c>
      <c r="AB203" s="483">
        <v>3535</v>
      </c>
      <c r="AC203" s="385">
        <v>19712</v>
      </c>
      <c r="AD203" s="545">
        <v>5.4</v>
      </c>
      <c r="AE203" s="483">
        <v>106050</v>
      </c>
      <c r="AF203" s="483">
        <v>104153</v>
      </c>
      <c r="AG203" s="481">
        <v>40081</v>
      </c>
      <c r="AH203" s="481">
        <v>36306</v>
      </c>
      <c r="AI203">
        <v>34</v>
      </c>
      <c r="AJ203" s="385">
        <v>448778903</v>
      </c>
      <c r="AK203" s="385">
        <v>32047</v>
      </c>
      <c r="AL203" s="385">
        <v>0</v>
      </c>
      <c r="AM203" s="287">
        <v>0</v>
      </c>
      <c r="AN203" s="542">
        <v>330000</v>
      </c>
      <c r="AO203" s="549">
        <v>0.17</v>
      </c>
      <c r="AP203" s="385">
        <v>58171</v>
      </c>
      <c r="AQ203" s="385">
        <v>57130</v>
      </c>
      <c r="AR203" s="481">
        <v>21985</v>
      </c>
      <c r="AS203" s="481">
        <v>20244</v>
      </c>
      <c r="AT203" s="617"/>
      <c r="AU203" s="618">
        <v>60015</v>
      </c>
      <c r="AV203" s="618">
        <v>0</v>
      </c>
      <c r="AW203" s="620"/>
      <c r="AX203" s="620"/>
      <c r="AY203" s="625"/>
      <c r="AZ203" s="626"/>
      <c r="BA203" s="624"/>
      <c r="BB203" s="673">
        <v>1300608</v>
      </c>
      <c r="BC203" s="781">
        <v>0.05</v>
      </c>
      <c r="BD203" s="790">
        <v>19</v>
      </c>
      <c r="BE203" s="673">
        <v>78593.919999999998</v>
      </c>
    </row>
    <row r="204" spans="1:57" x14ac:dyDescent="0.2">
      <c r="A204" s="390">
        <v>15</v>
      </c>
      <c r="B204" s="551" t="s">
        <v>283</v>
      </c>
      <c r="C204" t="s">
        <v>1196</v>
      </c>
      <c r="D204" s="406">
        <v>492.3</v>
      </c>
      <c r="E204" s="560">
        <v>6591</v>
      </c>
      <c r="F204" s="561">
        <v>589.07000000000005</v>
      </c>
      <c r="G204" s="561">
        <v>61.92</v>
      </c>
      <c r="H204" s="561">
        <v>70.150000000000006</v>
      </c>
      <c r="I204" s="561">
        <v>319.72000000000003</v>
      </c>
      <c r="J204" s="561">
        <v>13.68</v>
      </c>
      <c r="K204" s="561">
        <v>17.560000000000002</v>
      </c>
      <c r="L204" s="561">
        <v>27.4</v>
      </c>
      <c r="M204" s="343">
        <v>0</v>
      </c>
      <c r="N204" s="477">
        <v>9.3099999999999987</v>
      </c>
      <c r="O204" s="477">
        <v>2.262</v>
      </c>
      <c r="P204" s="407">
        <v>0.22</v>
      </c>
      <c r="Q204" s="477">
        <v>0</v>
      </c>
      <c r="R204" s="483">
        <v>3286273</v>
      </c>
      <c r="S204" s="483">
        <v>293710</v>
      </c>
      <c r="T204" s="483">
        <v>30873</v>
      </c>
      <c r="U204" s="483">
        <v>34977</v>
      </c>
      <c r="V204" s="483">
        <v>159412</v>
      </c>
      <c r="W204" s="483">
        <v>160012</v>
      </c>
      <c r="X204" s="483">
        <v>7361</v>
      </c>
      <c r="Y204" s="483">
        <v>2</v>
      </c>
      <c r="Z204" s="406">
        <v>0</v>
      </c>
      <c r="AA204" s="483">
        <v>16029</v>
      </c>
      <c r="AB204" s="483">
        <v>1739</v>
      </c>
      <c r="AC204" s="385">
        <v>8239</v>
      </c>
      <c r="AD204" s="545">
        <v>5.4</v>
      </c>
      <c r="AE204" s="483">
        <v>3716</v>
      </c>
      <c r="AF204" s="483">
        <v>3772</v>
      </c>
      <c r="AG204" s="481">
        <v>4572</v>
      </c>
      <c r="AH204" s="481">
        <v>4569</v>
      </c>
      <c r="AI204">
        <v>5</v>
      </c>
      <c r="AJ204" s="385">
        <v>110388545</v>
      </c>
      <c r="AK204" s="385">
        <v>0</v>
      </c>
      <c r="AL204" s="385">
        <v>6252</v>
      </c>
      <c r="AM204" s="287">
        <v>0</v>
      </c>
      <c r="AN204" s="542">
        <v>330000</v>
      </c>
      <c r="AO204" s="549">
        <v>0.17</v>
      </c>
      <c r="AP204" s="385">
        <v>3292</v>
      </c>
      <c r="AQ204" s="385">
        <v>3341</v>
      </c>
      <c r="AR204" s="481">
        <v>4050</v>
      </c>
      <c r="AS204" s="481">
        <v>4076</v>
      </c>
      <c r="AT204" s="617"/>
      <c r="AU204" s="618">
        <v>215731</v>
      </c>
      <c r="AV204" s="618">
        <v>0</v>
      </c>
      <c r="AW204" s="620"/>
      <c r="AX204" s="620"/>
      <c r="AY204" s="625"/>
      <c r="AZ204" s="626">
        <v>-0.27</v>
      </c>
      <c r="BA204" s="624"/>
      <c r="BB204" s="673">
        <v>478744</v>
      </c>
      <c r="BC204" s="781">
        <v>3.5000000000000003E-2</v>
      </c>
      <c r="BD204" s="790">
        <v>44</v>
      </c>
      <c r="BE204" s="673">
        <v>15035.81</v>
      </c>
    </row>
    <row r="205" spans="1:57" x14ac:dyDescent="0.2">
      <c r="A205" s="390">
        <v>5</v>
      </c>
      <c r="B205" s="551" t="s">
        <v>281</v>
      </c>
      <c r="C205" t="s">
        <v>645</v>
      </c>
      <c r="D205" s="406">
        <v>470.8</v>
      </c>
      <c r="E205" s="560">
        <v>6680</v>
      </c>
      <c r="F205" s="561">
        <v>578.16999999999996</v>
      </c>
      <c r="G205" s="561">
        <v>61.7</v>
      </c>
      <c r="H205" s="561">
        <v>74.400000000000006</v>
      </c>
      <c r="I205" s="561">
        <v>319.72000000000003</v>
      </c>
      <c r="J205" s="561">
        <v>25.2</v>
      </c>
      <c r="K205" s="561">
        <v>6.05</v>
      </c>
      <c r="L205" s="561">
        <v>16.440000000000001</v>
      </c>
      <c r="M205" s="343">
        <v>1.52</v>
      </c>
      <c r="N205" s="477">
        <v>25.37</v>
      </c>
      <c r="O205" s="477">
        <v>2.492</v>
      </c>
      <c r="P205" s="407">
        <v>5.72</v>
      </c>
      <c r="Q205" s="477">
        <v>0</v>
      </c>
      <c r="R205" s="483">
        <v>3121564</v>
      </c>
      <c r="S205" s="483">
        <v>270179</v>
      </c>
      <c r="T205" s="483">
        <v>28832</v>
      </c>
      <c r="U205" s="483">
        <v>34767</v>
      </c>
      <c r="V205" s="483">
        <v>149405</v>
      </c>
      <c r="W205" s="483">
        <v>153879</v>
      </c>
      <c r="X205" s="483">
        <v>0</v>
      </c>
      <c r="Y205" s="483">
        <v>8</v>
      </c>
      <c r="Z205" s="406">
        <v>0</v>
      </c>
      <c r="AA205" s="483">
        <v>16374</v>
      </c>
      <c r="AB205" s="483">
        <v>1951</v>
      </c>
      <c r="AC205" s="385">
        <v>7711</v>
      </c>
      <c r="AD205" s="545">
        <v>5.4</v>
      </c>
      <c r="AE205" s="483">
        <v>28147</v>
      </c>
      <c r="AF205" s="483">
        <v>28992</v>
      </c>
      <c r="AG205" s="481">
        <v>38200</v>
      </c>
      <c r="AH205" s="481">
        <v>38200</v>
      </c>
      <c r="AI205">
        <v>12.5</v>
      </c>
      <c r="AJ205" s="385">
        <v>238525347</v>
      </c>
      <c r="AK205" s="385">
        <v>30907</v>
      </c>
      <c r="AL205" s="385">
        <v>0</v>
      </c>
      <c r="AM205" s="287">
        <v>0</v>
      </c>
      <c r="AN205" s="542">
        <v>330000</v>
      </c>
      <c r="AO205" s="549">
        <v>0.17</v>
      </c>
      <c r="AP205" s="385">
        <v>12229</v>
      </c>
      <c r="AQ205" s="385">
        <v>12596</v>
      </c>
      <c r="AR205" s="481">
        <v>16596</v>
      </c>
      <c r="AS205" s="481">
        <v>17056</v>
      </c>
      <c r="AT205" s="617"/>
      <c r="AU205" s="618">
        <v>103015</v>
      </c>
      <c r="AV205" s="618">
        <v>0</v>
      </c>
      <c r="AW205" s="620"/>
      <c r="AX205" s="620"/>
      <c r="AY205" s="625"/>
      <c r="AZ205" s="626"/>
      <c r="BA205" s="624"/>
      <c r="BB205" s="673">
        <v>228054</v>
      </c>
      <c r="BC205" s="781">
        <v>2.5000000000000001E-2</v>
      </c>
      <c r="BD205" s="790">
        <v>11</v>
      </c>
      <c r="BE205" s="673">
        <v>87794.63</v>
      </c>
    </row>
    <row r="206" spans="1:57" x14ac:dyDescent="0.2">
      <c r="A206" s="390">
        <v>11</v>
      </c>
      <c r="B206" s="551" t="s">
        <v>284</v>
      </c>
      <c r="C206" t="s">
        <v>1197</v>
      </c>
      <c r="D206" s="406">
        <v>2965.2</v>
      </c>
      <c r="E206" s="560">
        <v>6591</v>
      </c>
      <c r="F206" s="561">
        <v>557.16999999999996</v>
      </c>
      <c r="G206" s="561">
        <v>61.97</v>
      </c>
      <c r="H206" s="561">
        <v>72.650000000000006</v>
      </c>
      <c r="I206" s="561">
        <v>319.72000000000003</v>
      </c>
      <c r="J206" s="561">
        <v>164.16</v>
      </c>
      <c r="K206" s="561">
        <v>74.45</v>
      </c>
      <c r="L206" s="561">
        <v>126.03999999999999</v>
      </c>
      <c r="M206" s="343">
        <v>0</v>
      </c>
      <c r="N206" s="477">
        <v>32.04</v>
      </c>
      <c r="O206" s="477">
        <v>16.824000000000002</v>
      </c>
      <c r="P206" s="407">
        <v>1.76</v>
      </c>
      <c r="Q206" s="477">
        <v>0</v>
      </c>
      <c r="R206" s="483">
        <v>19484314</v>
      </c>
      <c r="S206" s="483">
        <v>1647106</v>
      </c>
      <c r="T206" s="483">
        <v>183196</v>
      </c>
      <c r="U206" s="483">
        <v>214768</v>
      </c>
      <c r="V206" s="483">
        <v>945156</v>
      </c>
      <c r="W206" s="483">
        <v>939158</v>
      </c>
      <c r="X206" s="483">
        <v>0</v>
      </c>
      <c r="Y206" s="483">
        <v>108</v>
      </c>
      <c r="Z206" s="406">
        <v>0</v>
      </c>
      <c r="AA206" s="483">
        <v>77385</v>
      </c>
      <c r="AB206" s="483">
        <v>9836</v>
      </c>
      <c r="AC206" s="385">
        <v>51813</v>
      </c>
      <c r="AD206" s="545">
        <v>5.4</v>
      </c>
      <c r="AE206" s="483">
        <v>96329</v>
      </c>
      <c r="AF206" s="483">
        <v>96403</v>
      </c>
      <c r="AG206" s="481">
        <v>94763</v>
      </c>
      <c r="AH206" s="481">
        <v>67545</v>
      </c>
      <c r="AI206">
        <v>47.5</v>
      </c>
      <c r="AJ206" s="385">
        <v>698214791</v>
      </c>
      <c r="AK206" s="385">
        <v>41434</v>
      </c>
      <c r="AL206" s="385">
        <v>0</v>
      </c>
      <c r="AM206" s="287">
        <v>0</v>
      </c>
      <c r="AN206" s="542">
        <v>330000</v>
      </c>
      <c r="AO206" s="549">
        <v>0.17</v>
      </c>
      <c r="AP206" s="385">
        <v>83032</v>
      </c>
      <c r="AQ206" s="385">
        <v>83096</v>
      </c>
      <c r="AR206" s="481">
        <v>81682</v>
      </c>
      <c r="AS206" s="481">
        <v>59534</v>
      </c>
      <c r="AT206" s="617"/>
      <c r="AU206" s="618">
        <v>264211</v>
      </c>
      <c r="AV206" s="618">
        <v>0</v>
      </c>
      <c r="AW206" s="620"/>
      <c r="AX206" s="620"/>
      <c r="AY206" s="625">
        <v>-4</v>
      </c>
      <c r="AZ206" s="626">
        <v>-0.40600000000000003</v>
      </c>
      <c r="BA206" s="624"/>
      <c r="BB206" s="673">
        <v>5075745</v>
      </c>
      <c r="BC206" s="781">
        <v>0.05</v>
      </c>
      <c r="BD206" s="790">
        <v>50</v>
      </c>
      <c r="BE206" s="673">
        <v>277450.51</v>
      </c>
    </row>
    <row r="207" spans="1:57" x14ac:dyDescent="0.2">
      <c r="A207" s="390">
        <v>13</v>
      </c>
      <c r="B207" s="551" t="s">
        <v>200</v>
      </c>
      <c r="C207" t="s">
        <v>657</v>
      </c>
      <c r="D207" s="406">
        <v>663.5</v>
      </c>
      <c r="E207" s="560">
        <v>6628</v>
      </c>
      <c r="F207" s="561">
        <v>606.34</v>
      </c>
      <c r="G207" s="561">
        <v>69.460000000000008</v>
      </c>
      <c r="H207" s="561">
        <v>68.180000000000007</v>
      </c>
      <c r="I207" s="561">
        <v>319.72000000000003</v>
      </c>
      <c r="J207" s="561">
        <v>43.199999999999996</v>
      </c>
      <c r="K207" s="561">
        <v>32.07</v>
      </c>
      <c r="L207" s="561">
        <v>16.439999999999998</v>
      </c>
      <c r="M207" s="343">
        <v>0</v>
      </c>
      <c r="N207" s="477">
        <v>20.63</v>
      </c>
      <c r="O207" s="477">
        <v>3.4159999999999999</v>
      </c>
      <c r="P207" s="407">
        <v>0</v>
      </c>
      <c r="Q207" s="477">
        <v>0</v>
      </c>
      <c r="R207" s="483">
        <v>4376468</v>
      </c>
      <c r="S207" s="483">
        <v>400366</v>
      </c>
      <c r="T207" s="483">
        <v>45864</v>
      </c>
      <c r="U207" s="483">
        <v>45019</v>
      </c>
      <c r="V207" s="483">
        <v>211111</v>
      </c>
      <c r="W207" s="483">
        <v>211617</v>
      </c>
      <c r="X207" s="483">
        <v>462</v>
      </c>
      <c r="Y207" s="483">
        <v>5</v>
      </c>
      <c r="Z207" s="406">
        <v>0</v>
      </c>
      <c r="AA207" s="483">
        <v>21729</v>
      </c>
      <c r="AB207" s="483">
        <v>2315</v>
      </c>
      <c r="AC207" s="385">
        <v>13380</v>
      </c>
      <c r="AD207" s="545">
        <v>5.4</v>
      </c>
      <c r="AE207" s="483">
        <v>26809</v>
      </c>
      <c r="AF207" s="483">
        <v>27570</v>
      </c>
      <c r="AG207" s="481">
        <v>24483</v>
      </c>
      <c r="AH207" s="481">
        <v>12859</v>
      </c>
      <c r="AI207">
        <v>12.5</v>
      </c>
      <c r="AJ207" s="385">
        <v>244778473</v>
      </c>
      <c r="AK207" s="385">
        <v>32224</v>
      </c>
      <c r="AL207" s="385">
        <v>0</v>
      </c>
      <c r="AM207" s="287">
        <v>0</v>
      </c>
      <c r="AN207" s="542">
        <v>330000</v>
      </c>
      <c r="AO207" s="549">
        <v>0.17</v>
      </c>
      <c r="AP207" s="385">
        <v>15129</v>
      </c>
      <c r="AQ207" s="385">
        <v>15558</v>
      </c>
      <c r="AR207" s="481">
        <v>13462</v>
      </c>
      <c r="AS207" s="481">
        <v>7388</v>
      </c>
      <c r="AT207" s="617"/>
      <c r="AU207" s="618">
        <v>45586</v>
      </c>
      <c r="AV207" s="618">
        <v>1411</v>
      </c>
      <c r="AW207" s="620"/>
      <c r="AX207" s="620"/>
      <c r="AY207" s="625"/>
      <c r="AZ207" s="626"/>
      <c r="BA207" s="624"/>
      <c r="BB207" s="673">
        <v>0</v>
      </c>
      <c r="BC207" s="781">
        <v>3.7999999999999999E-2</v>
      </c>
      <c r="BD207" s="790">
        <v>1</v>
      </c>
      <c r="BE207" s="673">
        <v>62753.84</v>
      </c>
    </row>
    <row r="208" spans="1:57" x14ac:dyDescent="0.2">
      <c r="A208" s="390">
        <v>7</v>
      </c>
      <c r="B208" s="409" t="s">
        <v>86</v>
      </c>
      <c r="C208" t="s">
        <v>1482</v>
      </c>
      <c r="D208" s="406">
        <v>592</v>
      </c>
      <c r="E208" s="560">
        <v>6678</v>
      </c>
      <c r="F208" s="561">
        <v>649.53</v>
      </c>
      <c r="G208" s="561">
        <v>72.680000000000007</v>
      </c>
      <c r="H208" s="561">
        <v>60.75</v>
      </c>
      <c r="I208" s="561">
        <v>319.72000000000003</v>
      </c>
      <c r="J208" s="561">
        <v>24.48</v>
      </c>
      <c r="K208" s="561">
        <v>26.02</v>
      </c>
      <c r="L208" s="561">
        <v>23.290000000000003</v>
      </c>
      <c r="M208" s="343">
        <v>0</v>
      </c>
      <c r="N208" s="477">
        <v>13.24</v>
      </c>
      <c r="O208" s="477">
        <v>2.7509999999999999</v>
      </c>
      <c r="P208" s="407">
        <v>0</v>
      </c>
      <c r="Q208" s="477">
        <v>0</v>
      </c>
      <c r="R208" s="483">
        <v>4020156</v>
      </c>
      <c r="S208" s="483">
        <v>391017</v>
      </c>
      <c r="T208" s="483">
        <v>43753</v>
      </c>
      <c r="U208" s="483">
        <v>36572</v>
      </c>
      <c r="V208" s="483">
        <v>192471</v>
      </c>
      <c r="W208" s="483">
        <v>196626</v>
      </c>
      <c r="X208" s="483">
        <v>11250</v>
      </c>
      <c r="Y208" s="483">
        <v>0</v>
      </c>
      <c r="Z208" s="406">
        <v>0</v>
      </c>
      <c r="AA208" s="483">
        <v>24932</v>
      </c>
      <c r="AB208" s="483">
        <v>2865</v>
      </c>
      <c r="AC208" s="385">
        <v>11098</v>
      </c>
      <c r="AD208" s="545">
        <v>5.4</v>
      </c>
      <c r="AE208" s="483">
        <v>22461</v>
      </c>
      <c r="AF208" s="483">
        <v>22843</v>
      </c>
      <c r="AG208" s="481">
        <v>11018</v>
      </c>
      <c r="AH208" s="481">
        <v>10315</v>
      </c>
      <c r="AI208">
        <v>21</v>
      </c>
      <c r="AJ208" s="385">
        <v>245863365</v>
      </c>
      <c r="AK208" s="385">
        <v>58368</v>
      </c>
      <c r="AL208" s="385">
        <v>0</v>
      </c>
      <c r="AM208" s="287">
        <v>0</v>
      </c>
      <c r="AN208" s="542">
        <v>330000</v>
      </c>
      <c r="AO208" s="549">
        <v>0.17</v>
      </c>
      <c r="AP208" s="385">
        <v>15469</v>
      </c>
      <c r="AQ208" s="385">
        <v>15732</v>
      </c>
      <c r="AR208" s="481">
        <v>8476</v>
      </c>
      <c r="AS208" s="481">
        <v>7171</v>
      </c>
      <c r="AT208" s="617"/>
      <c r="AU208" s="618">
        <v>0</v>
      </c>
      <c r="AV208" s="618">
        <v>210033</v>
      </c>
      <c r="AW208" s="620"/>
      <c r="AX208" s="620"/>
      <c r="AY208" s="625"/>
      <c r="AZ208" s="626"/>
      <c r="BA208" s="624"/>
      <c r="BB208" s="673">
        <v>700591</v>
      </c>
      <c r="BC208" s="781">
        <v>3.6999999999999998E-2</v>
      </c>
      <c r="BD208" s="790">
        <v>12</v>
      </c>
      <c r="BE208" s="673">
        <v>27231.870000000003</v>
      </c>
    </row>
    <row r="209" spans="1:57" x14ac:dyDescent="0.2">
      <c r="A209" s="390">
        <v>10</v>
      </c>
      <c r="B209" s="551" t="s">
        <v>242</v>
      </c>
      <c r="C209" t="s">
        <v>1161</v>
      </c>
      <c r="D209" s="406">
        <v>823.5</v>
      </c>
      <c r="E209" s="560">
        <v>6632</v>
      </c>
      <c r="F209" s="561">
        <v>566.19000000000005</v>
      </c>
      <c r="G209" s="561">
        <v>60.57</v>
      </c>
      <c r="H209" s="561">
        <v>58.94</v>
      </c>
      <c r="I209" s="561">
        <v>319.72000000000003</v>
      </c>
      <c r="J209" s="561">
        <v>63.36</v>
      </c>
      <c r="K209" s="561">
        <v>32.68</v>
      </c>
      <c r="L209" s="561">
        <v>35.619999999999997</v>
      </c>
      <c r="M209" s="343">
        <v>0</v>
      </c>
      <c r="N209" s="477">
        <v>15.370000000000001</v>
      </c>
      <c r="O209" s="477">
        <v>3.8629999999999995</v>
      </c>
      <c r="P209" s="407">
        <v>0</v>
      </c>
      <c r="Q209" s="477">
        <v>0</v>
      </c>
      <c r="R209" s="483">
        <v>5470737</v>
      </c>
      <c r="S209" s="483">
        <v>467050</v>
      </c>
      <c r="T209" s="483">
        <v>49964</v>
      </c>
      <c r="U209" s="483">
        <v>48620</v>
      </c>
      <c r="V209" s="483">
        <v>263737</v>
      </c>
      <c r="W209" s="483">
        <v>274379</v>
      </c>
      <c r="X209" s="483">
        <v>6645</v>
      </c>
      <c r="Y209" s="483">
        <v>2</v>
      </c>
      <c r="Z209" s="406">
        <v>0</v>
      </c>
      <c r="AA209" s="483">
        <v>25635</v>
      </c>
      <c r="AB209" s="483">
        <v>2983</v>
      </c>
      <c r="AC209" s="385">
        <v>14731</v>
      </c>
      <c r="AD209" s="545">
        <v>5.4</v>
      </c>
      <c r="AE209" s="483">
        <v>23278</v>
      </c>
      <c r="AF209" s="483">
        <v>23328</v>
      </c>
      <c r="AG209" s="481">
        <v>14025</v>
      </c>
      <c r="AH209" s="481">
        <v>13314</v>
      </c>
      <c r="AI209">
        <v>16</v>
      </c>
      <c r="AJ209" s="385">
        <v>322717968</v>
      </c>
      <c r="AK209" s="385">
        <v>26801</v>
      </c>
      <c r="AL209" s="385">
        <v>0</v>
      </c>
      <c r="AM209" s="287">
        <v>0</v>
      </c>
      <c r="AN209" s="542">
        <v>330000</v>
      </c>
      <c r="AO209" s="549">
        <v>0.17</v>
      </c>
      <c r="AP209" s="385">
        <v>14817</v>
      </c>
      <c r="AQ209" s="385">
        <v>14849</v>
      </c>
      <c r="AR209" s="481">
        <v>8927</v>
      </c>
      <c r="AS209" s="481">
        <v>8541</v>
      </c>
      <c r="AT209" s="617"/>
      <c r="AU209" s="618">
        <v>0</v>
      </c>
      <c r="AV209" s="618">
        <v>189423</v>
      </c>
      <c r="AW209" s="620"/>
      <c r="AX209" s="620"/>
      <c r="AY209" s="625"/>
      <c r="AZ209" s="626"/>
      <c r="BA209" s="624"/>
      <c r="BB209" s="673">
        <v>1338318</v>
      </c>
      <c r="BC209" s="781">
        <v>4.3999999999999997E-2</v>
      </c>
      <c r="BD209" s="790">
        <v>16</v>
      </c>
      <c r="BE209" s="673">
        <v>38440.15</v>
      </c>
    </row>
    <row r="210" spans="1:57" x14ac:dyDescent="0.2">
      <c r="A210" s="390">
        <v>1</v>
      </c>
      <c r="B210" s="551" t="s">
        <v>287</v>
      </c>
      <c r="C210" t="s">
        <v>1199</v>
      </c>
      <c r="D210" s="406">
        <v>753.7</v>
      </c>
      <c r="E210" s="560">
        <v>6713</v>
      </c>
      <c r="F210" s="561">
        <v>576.58000000000004</v>
      </c>
      <c r="G210" s="561">
        <v>63.15</v>
      </c>
      <c r="H210" s="561">
        <v>61.24</v>
      </c>
      <c r="I210" s="561">
        <v>319.72000000000003</v>
      </c>
      <c r="J210" s="561">
        <v>36.72</v>
      </c>
      <c r="K210" s="561">
        <v>30.25</v>
      </c>
      <c r="L210" s="561">
        <v>35.619999999999997</v>
      </c>
      <c r="M210" s="343">
        <v>0</v>
      </c>
      <c r="N210" s="477">
        <v>27.25</v>
      </c>
      <c r="O210" s="477">
        <v>3.633</v>
      </c>
      <c r="P210" s="407">
        <v>0.88</v>
      </c>
      <c r="Q210" s="477">
        <v>0</v>
      </c>
      <c r="R210" s="483">
        <v>5341534</v>
      </c>
      <c r="S210" s="483">
        <v>458785</v>
      </c>
      <c r="T210" s="483">
        <v>50248</v>
      </c>
      <c r="U210" s="483">
        <v>48729</v>
      </c>
      <c r="V210" s="483">
        <v>254401</v>
      </c>
      <c r="W210" s="483">
        <v>275221</v>
      </c>
      <c r="X210" s="483">
        <v>9734</v>
      </c>
      <c r="Y210" s="483">
        <v>2</v>
      </c>
      <c r="Z210" s="406">
        <v>0</v>
      </c>
      <c r="AA210" s="483">
        <v>27102</v>
      </c>
      <c r="AB210" s="483">
        <v>2907</v>
      </c>
      <c r="AC210" s="385">
        <v>17981</v>
      </c>
      <c r="AD210" s="545">
        <v>5.4</v>
      </c>
      <c r="AE210" s="483">
        <v>28680</v>
      </c>
      <c r="AF210" s="483">
        <v>28572</v>
      </c>
      <c r="AG210" s="481">
        <v>23038</v>
      </c>
      <c r="AH210" s="481">
        <v>21753</v>
      </c>
      <c r="AI210">
        <v>22</v>
      </c>
      <c r="AJ210" s="385">
        <v>276611633</v>
      </c>
      <c r="AK210" s="385">
        <v>97749</v>
      </c>
      <c r="AL210" s="385">
        <v>0</v>
      </c>
      <c r="AM210" s="287">
        <v>0</v>
      </c>
      <c r="AN210" s="542">
        <v>330000</v>
      </c>
      <c r="AO210" s="549">
        <v>0.17</v>
      </c>
      <c r="AP210" s="385">
        <v>22579</v>
      </c>
      <c r="AQ210" s="385">
        <v>22494</v>
      </c>
      <c r="AR210" s="481">
        <v>18137</v>
      </c>
      <c r="AS210" s="481">
        <v>17386</v>
      </c>
      <c r="AT210" s="617"/>
      <c r="AU210" s="618">
        <v>112197</v>
      </c>
      <c r="AV210" s="618">
        <v>58282</v>
      </c>
      <c r="AW210" s="620"/>
      <c r="AX210" s="620"/>
      <c r="AY210" s="625"/>
      <c r="AZ210" s="626"/>
      <c r="BA210" s="624"/>
      <c r="BB210" s="673">
        <v>674780</v>
      </c>
      <c r="BC210" s="781">
        <v>4.8000000000000001E-2</v>
      </c>
      <c r="BD210" s="790">
        <v>33</v>
      </c>
      <c r="BE210" s="673">
        <v>58004.75</v>
      </c>
    </row>
    <row r="211" spans="1:57" x14ac:dyDescent="0.2">
      <c r="A211" s="390">
        <v>7</v>
      </c>
      <c r="B211" s="551" t="s">
        <v>115</v>
      </c>
      <c r="C211" t="s">
        <v>1040</v>
      </c>
      <c r="D211" s="406">
        <v>476.5</v>
      </c>
      <c r="E211" s="560">
        <v>6700</v>
      </c>
      <c r="F211" s="561">
        <v>605.4</v>
      </c>
      <c r="G211" s="561">
        <v>65.92</v>
      </c>
      <c r="H211" s="561">
        <v>62.24</v>
      </c>
      <c r="I211" s="561">
        <v>319.72000000000003</v>
      </c>
      <c r="J211" s="561">
        <v>28.799999999999997</v>
      </c>
      <c r="K211" s="561">
        <v>24.2</v>
      </c>
      <c r="L211" s="561">
        <v>10.96</v>
      </c>
      <c r="M211" s="343">
        <v>0</v>
      </c>
      <c r="N211" s="477">
        <v>21.92</v>
      </c>
      <c r="O211" s="477">
        <v>2.391</v>
      </c>
      <c r="P211" s="407">
        <v>3.08</v>
      </c>
      <c r="Q211" s="477">
        <v>0</v>
      </c>
      <c r="R211" s="483">
        <v>3222030</v>
      </c>
      <c r="S211" s="483">
        <v>291137</v>
      </c>
      <c r="T211" s="483">
        <v>31701</v>
      </c>
      <c r="U211" s="483">
        <v>29931</v>
      </c>
      <c r="V211" s="483">
        <v>153753</v>
      </c>
      <c r="W211" s="483">
        <v>158018</v>
      </c>
      <c r="X211" s="483">
        <v>0</v>
      </c>
      <c r="Y211" s="483">
        <v>1</v>
      </c>
      <c r="Z211" s="406">
        <v>0</v>
      </c>
      <c r="AA211" s="483">
        <v>20037</v>
      </c>
      <c r="AB211" s="483">
        <v>2302</v>
      </c>
      <c r="AC211" s="385">
        <v>9725</v>
      </c>
      <c r="AD211" s="545">
        <v>5.4</v>
      </c>
      <c r="AE211" s="483">
        <v>18105</v>
      </c>
      <c r="AF211" s="483">
        <v>18105</v>
      </c>
      <c r="AG211" s="481">
        <v>25475</v>
      </c>
      <c r="AH211" s="481">
        <v>20165</v>
      </c>
      <c r="AI211">
        <v>14</v>
      </c>
      <c r="AJ211" s="385">
        <v>312012271</v>
      </c>
      <c r="AK211" s="385">
        <v>72953</v>
      </c>
      <c r="AL211" s="385">
        <v>0</v>
      </c>
      <c r="AM211" s="287">
        <v>0</v>
      </c>
      <c r="AN211" s="542">
        <v>330000</v>
      </c>
      <c r="AO211" s="549">
        <v>0.17</v>
      </c>
      <c r="AP211" s="385">
        <v>6555</v>
      </c>
      <c r="AQ211" s="385">
        <v>6555</v>
      </c>
      <c r="AR211" s="481">
        <v>9224</v>
      </c>
      <c r="AS211" s="481">
        <v>7415</v>
      </c>
      <c r="AT211" s="617"/>
      <c r="AU211" s="618">
        <v>0</v>
      </c>
      <c r="AV211" s="618">
        <v>0</v>
      </c>
      <c r="AW211" s="620"/>
      <c r="AX211" s="620"/>
      <c r="AY211" s="625"/>
      <c r="AZ211" s="626"/>
      <c r="BA211" s="624"/>
      <c r="BB211" s="673">
        <v>975756</v>
      </c>
      <c r="BC211" s="781">
        <v>0.04</v>
      </c>
      <c r="BD211" s="790">
        <v>95</v>
      </c>
      <c r="BE211" s="673">
        <v>51867.29</v>
      </c>
    </row>
    <row r="212" spans="1:57" x14ac:dyDescent="0.2">
      <c r="A212" s="390">
        <v>5</v>
      </c>
      <c r="B212" s="551" t="s">
        <v>291</v>
      </c>
      <c r="C212" t="s">
        <v>1238</v>
      </c>
      <c r="D212" s="406">
        <v>261.60000000000002</v>
      </c>
      <c r="E212" s="560">
        <v>6628</v>
      </c>
      <c r="F212" s="561">
        <v>585.97</v>
      </c>
      <c r="G212" s="561">
        <v>65.540000000000006</v>
      </c>
      <c r="H212" s="561">
        <v>58.24</v>
      </c>
      <c r="I212" s="561">
        <v>319.72000000000003</v>
      </c>
      <c r="J212" s="561">
        <v>17.28</v>
      </c>
      <c r="K212" s="561">
        <v>12.1</v>
      </c>
      <c r="L212" s="561">
        <v>27.4</v>
      </c>
      <c r="M212" s="343">
        <v>0.93</v>
      </c>
      <c r="N212" s="477">
        <v>24.11</v>
      </c>
      <c r="O212" s="477">
        <v>1.5369999999999999</v>
      </c>
      <c r="P212" s="407">
        <v>0.44</v>
      </c>
      <c r="Q212" s="477">
        <v>0</v>
      </c>
      <c r="R212" s="483">
        <v>1767025</v>
      </c>
      <c r="S212" s="483">
        <v>156220</v>
      </c>
      <c r="T212" s="483">
        <v>17473</v>
      </c>
      <c r="U212" s="483">
        <v>15527</v>
      </c>
      <c r="V212" s="483">
        <v>85237</v>
      </c>
      <c r="W212" s="483">
        <v>95370</v>
      </c>
      <c r="X212" s="483">
        <v>13651</v>
      </c>
      <c r="Y212" s="483">
        <v>11</v>
      </c>
      <c r="Z212" s="406">
        <v>0</v>
      </c>
      <c r="AA212" s="483">
        <v>10148</v>
      </c>
      <c r="AB212" s="483">
        <v>1209</v>
      </c>
      <c r="AC212" s="385">
        <v>7103</v>
      </c>
      <c r="AD212" s="545">
        <v>5.4</v>
      </c>
      <c r="AE212" s="483">
        <v>57024</v>
      </c>
      <c r="AF212" s="483">
        <v>58765</v>
      </c>
      <c r="AG212" s="481">
        <v>17029</v>
      </c>
      <c r="AH212" s="481">
        <v>17029</v>
      </c>
      <c r="AI212">
        <v>6.5</v>
      </c>
      <c r="AJ212" s="385">
        <v>237091196</v>
      </c>
      <c r="AK212" s="385">
        <v>0</v>
      </c>
      <c r="AL212" s="385">
        <v>0</v>
      </c>
      <c r="AM212" s="287">
        <v>0</v>
      </c>
      <c r="AN212" s="542">
        <v>330000</v>
      </c>
      <c r="AO212" s="549">
        <v>0.17</v>
      </c>
      <c r="AP212" s="385">
        <v>18724</v>
      </c>
      <c r="AQ212" s="385">
        <v>19296</v>
      </c>
      <c r="AR212" s="481">
        <v>5592</v>
      </c>
      <c r="AS212" s="481">
        <v>5665</v>
      </c>
      <c r="AT212" s="617"/>
      <c r="AU212" s="618">
        <v>109504</v>
      </c>
      <c r="AV212" s="618">
        <v>2199</v>
      </c>
      <c r="AW212" s="620"/>
      <c r="AX212" s="620"/>
      <c r="AY212" s="625"/>
      <c r="AZ212" s="626"/>
      <c r="BA212" s="624"/>
      <c r="BB212" s="673">
        <v>0</v>
      </c>
      <c r="BC212" s="781">
        <v>0.05</v>
      </c>
      <c r="BD212" s="790">
        <v>55</v>
      </c>
      <c r="BE212" s="673">
        <v>26917.87</v>
      </c>
    </row>
    <row r="213" spans="1:57" x14ac:dyDescent="0.2">
      <c r="A213" s="390">
        <v>10</v>
      </c>
      <c r="B213" s="551" t="s">
        <v>290</v>
      </c>
      <c r="C213" t="s">
        <v>1237</v>
      </c>
      <c r="D213" s="406">
        <v>641.20000000000005</v>
      </c>
      <c r="E213" s="560">
        <v>6640</v>
      </c>
      <c r="F213" s="561">
        <v>558.92999999999995</v>
      </c>
      <c r="G213" s="561">
        <v>58.21</v>
      </c>
      <c r="H213" s="561">
        <v>57.87</v>
      </c>
      <c r="I213" s="561">
        <v>319.72000000000003</v>
      </c>
      <c r="J213" s="561">
        <v>32.4</v>
      </c>
      <c r="K213" s="561">
        <v>9.08</v>
      </c>
      <c r="L213" s="561">
        <v>9.59</v>
      </c>
      <c r="M213" s="343">
        <v>0</v>
      </c>
      <c r="N213" s="477">
        <v>21.53</v>
      </c>
      <c r="O213" s="477">
        <v>2.2589999999999999</v>
      </c>
      <c r="P213" s="407">
        <v>0</v>
      </c>
      <c r="Q213" s="477">
        <v>0</v>
      </c>
      <c r="R213" s="483">
        <v>4375760</v>
      </c>
      <c r="S213" s="483">
        <v>368335</v>
      </c>
      <c r="T213" s="483">
        <v>38360</v>
      </c>
      <c r="U213" s="483">
        <v>38136</v>
      </c>
      <c r="V213" s="483">
        <v>210695</v>
      </c>
      <c r="W213" s="483">
        <v>206896</v>
      </c>
      <c r="X213" s="483">
        <v>8873</v>
      </c>
      <c r="Y213" s="483">
        <v>2</v>
      </c>
      <c r="Z213" s="406">
        <v>0</v>
      </c>
      <c r="AA213" s="483">
        <v>19330</v>
      </c>
      <c r="AB213" s="483">
        <v>2250</v>
      </c>
      <c r="AC213" s="385">
        <v>11584</v>
      </c>
      <c r="AD213" s="545">
        <v>5.4</v>
      </c>
      <c r="AE213" s="483">
        <v>54234</v>
      </c>
      <c r="AF213" s="483">
        <v>54809</v>
      </c>
      <c r="AG213" s="481">
        <v>3904</v>
      </c>
      <c r="AH213" s="481">
        <v>3802</v>
      </c>
      <c r="AI213">
        <v>13.5</v>
      </c>
      <c r="AJ213" s="385">
        <v>218688517</v>
      </c>
      <c r="AK213" s="385">
        <v>13997</v>
      </c>
      <c r="AL213" s="385">
        <v>0</v>
      </c>
      <c r="AM213" s="287">
        <v>0</v>
      </c>
      <c r="AN213" s="542">
        <v>330000</v>
      </c>
      <c r="AO213" s="549">
        <v>0.17</v>
      </c>
      <c r="AP213" s="385">
        <v>41152</v>
      </c>
      <c r="AQ213" s="385">
        <v>41588</v>
      </c>
      <c r="AR213" s="481">
        <v>2963</v>
      </c>
      <c r="AS213" s="481">
        <v>2893</v>
      </c>
      <c r="AT213" s="617"/>
      <c r="AU213" s="618">
        <v>116236</v>
      </c>
      <c r="AV213" s="618">
        <v>75822</v>
      </c>
      <c r="AW213" s="620"/>
      <c r="AX213" s="620"/>
      <c r="AY213" s="625"/>
      <c r="AZ213" s="626">
        <v>-0.09</v>
      </c>
      <c r="BA213" s="624"/>
      <c r="BB213" s="673">
        <v>0</v>
      </c>
      <c r="BC213" s="781">
        <v>2.5000000000000001E-2</v>
      </c>
      <c r="BD213" s="790">
        <v>57</v>
      </c>
      <c r="BE213" s="673">
        <v>11923.12</v>
      </c>
    </row>
    <row r="214" spans="1:57" x14ac:dyDescent="0.2">
      <c r="A214" s="390">
        <v>15</v>
      </c>
      <c r="B214" s="551" t="s">
        <v>289</v>
      </c>
      <c r="C214" t="s">
        <v>1201</v>
      </c>
      <c r="D214" s="406">
        <v>509.5</v>
      </c>
      <c r="E214" s="560">
        <v>6758</v>
      </c>
      <c r="F214" s="561">
        <v>597.38</v>
      </c>
      <c r="G214" s="561">
        <v>64.09</v>
      </c>
      <c r="H214" s="561">
        <v>75.14</v>
      </c>
      <c r="I214" s="561">
        <v>319.72000000000003</v>
      </c>
      <c r="J214" s="561">
        <v>23.04</v>
      </c>
      <c r="K214" s="561">
        <v>15.73</v>
      </c>
      <c r="L214" s="561">
        <v>35.619999999999997</v>
      </c>
      <c r="M214" s="343">
        <v>0</v>
      </c>
      <c r="N214" s="477">
        <v>23.759999999999998</v>
      </c>
      <c r="O214" s="477">
        <v>2.21</v>
      </c>
      <c r="P214" s="407">
        <v>0</v>
      </c>
      <c r="Q214" s="477">
        <v>0</v>
      </c>
      <c r="R214" s="483">
        <v>3289794</v>
      </c>
      <c r="S214" s="483">
        <v>290805</v>
      </c>
      <c r="T214" s="483">
        <v>31199</v>
      </c>
      <c r="U214" s="483">
        <v>36578</v>
      </c>
      <c r="V214" s="483">
        <v>155640</v>
      </c>
      <c r="W214" s="483">
        <v>159742</v>
      </c>
      <c r="X214" s="483">
        <v>1181</v>
      </c>
      <c r="Y214" s="483">
        <v>34</v>
      </c>
      <c r="Z214" s="406">
        <v>0</v>
      </c>
      <c r="AA214" s="483">
        <v>16002</v>
      </c>
      <c r="AB214" s="483">
        <v>1736</v>
      </c>
      <c r="AC214" s="385">
        <v>8492</v>
      </c>
      <c r="AD214" s="545">
        <v>5.4</v>
      </c>
      <c r="AE214" s="483">
        <v>105045</v>
      </c>
      <c r="AF214" s="483">
        <v>107064</v>
      </c>
      <c r="AG214" s="481">
        <v>7280</v>
      </c>
      <c r="AH214" s="481">
        <v>7280</v>
      </c>
      <c r="AI214">
        <v>14.5</v>
      </c>
      <c r="AJ214" s="385">
        <v>221725029</v>
      </c>
      <c r="AK214" s="385">
        <v>14854</v>
      </c>
      <c r="AL214" s="385">
        <v>0</v>
      </c>
      <c r="AM214" s="287">
        <v>0</v>
      </c>
      <c r="AN214" s="542">
        <v>330000</v>
      </c>
      <c r="AO214" s="549">
        <v>0.17</v>
      </c>
      <c r="AP214" s="385">
        <v>63369</v>
      </c>
      <c r="AQ214" s="385">
        <v>64587</v>
      </c>
      <c r="AR214" s="481">
        <v>4392</v>
      </c>
      <c r="AS214" s="481">
        <v>4418</v>
      </c>
      <c r="AT214" s="617"/>
      <c r="AU214" s="618">
        <v>76098</v>
      </c>
      <c r="AV214" s="618">
        <v>0</v>
      </c>
      <c r="AW214" s="620"/>
      <c r="AX214" s="620"/>
      <c r="AY214" s="625"/>
      <c r="AZ214" s="626"/>
      <c r="BA214" s="624"/>
      <c r="BB214" s="673">
        <v>243229</v>
      </c>
      <c r="BC214" s="781">
        <v>3.7999999999999999E-2</v>
      </c>
      <c r="BD214" s="790">
        <v>62</v>
      </c>
      <c r="BE214" s="673">
        <v>15662.77</v>
      </c>
    </row>
    <row r="215" spans="1:57" x14ac:dyDescent="0.2">
      <c r="A215" s="390">
        <v>11</v>
      </c>
      <c r="B215" s="551" t="s">
        <v>292</v>
      </c>
      <c r="C215" t="s">
        <v>1239</v>
      </c>
      <c r="D215" s="406">
        <v>1565.3</v>
      </c>
      <c r="E215" s="560">
        <v>6591</v>
      </c>
      <c r="F215" s="561">
        <v>527.84</v>
      </c>
      <c r="G215" s="561">
        <v>54.77</v>
      </c>
      <c r="H215" s="561">
        <v>53.82</v>
      </c>
      <c r="I215" s="561">
        <v>319.72000000000003</v>
      </c>
      <c r="J215" s="561">
        <v>38.879999999999995</v>
      </c>
      <c r="K215" s="561">
        <v>32.700000000000003</v>
      </c>
      <c r="L215" s="561">
        <v>10.96</v>
      </c>
      <c r="M215" s="343">
        <v>0</v>
      </c>
      <c r="N215" s="477">
        <v>8.89</v>
      </c>
      <c r="O215" s="477">
        <v>4.3789999999999996</v>
      </c>
      <c r="P215" s="407">
        <v>1.76</v>
      </c>
      <c r="Q215" s="477">
        <v>0</v>
      </c>
      <c r="R215" s="483">
        <v>9999865</v>
      </c>
      <c r="S215" s="483">
        <v>800839</v>
      </c>
      <c r="T215" s="483">
        <v>83097</v>
      </c>
      <c r="U215" s="483">
        <v>81656</v>
      </c>
      <c r="V215" s="483">
        <v>485079</v>
      </c>
      <c r="W215" s="483">
        <v>449477</v>
      </c>
      <c r="X215" s="483">
        <v>0</v>
      </c>
      <c r="Y215" s="483">
        <v>34</v>
      </c>
      <c r="Z215" s="406">
        <v>0</v>
      </c>
      <c r="AA215" s="483">
        <v>37036</v>
      </c>
      <c r="AB215" s="483">
        <v>4707</v>
      </c>
      <c r="AC215" s="385">
        <v>12987</v>
      </c>
      <c r="AD215" s="545">
        <v>5.4</v>
      </c>
      <c r="AE215" s="483">
        <v>60010</v>
      </c>
      <c r="AF215" s="483">
        <v>61398</v>
      </c>
      <c r="AG215" s="481">
        <v>16264</v>
      </c>
      <c r="AH215" s="481">
        <v>13116</v>
      </c>
      <c r="AI215">
        <v>48</v>
      </c>
      <c r="AJ215" s="385">
        <v>353300233</v>
      </c>
      <c r="AK215" s="385">
        <v>7365</v>
      </c>
      <c r="AL215" s="385">
        <v>0</v>
      </c>
      <c r="AM215" s="287">
        <v>0</v>
      </c>
      <c r="AN215" s="542">
        <v>330000</v>
      </c>
      <c r="AO215" s="549">
        <v>0.17</v>
      </c>
      <c r="AP215" s="385">
        <v>50911</v>
      </c>
      <c r="AQ215" s="385">
        <v>52089</v>
      </c>
      <c r="AR215" s="481">
        <v>13799</v>
      </c>
      <c r="AS215" s="481">
        <v>11220</v>
      </c>
      <c r="AT215" s="617"/>
      <c r="AU215" s="618">
        <v>0</v>
      </c>
      <c r="AV215" s="618">
        <v>0</v>
      </c>
      <c r="AW215" s="620"/>
      <c r="AX215" s="620"/>
      <c r="AY215" s="625"/>
      <c r="AZ215" s="626"/>
      <c r="BA215" s="624"/>
      <c r="BB215" s="673">
        <v>0</v>
      </c>
      <c r="BC215" s="781">
        <v>0.05</v>
      </c>
      <c r="BD215" s="790">
        <v>77</v>
      </c>
      <c r="BE215" s="673">
        <v>58153.05</v>
      </c>
    </row>
    <row r="216" spans="1:57" x14ac:dyDescent="0.2">
      <c r="A216" s="390">
        <v>9</v>
      </c>
      <c r="B216" s="551" t="s">
        <v>293</v>
      </c>
      <c r="C216" t="s">
        <v>1243</v>
      </c>
      <c r="D216" s="406">
        <v>3062.1</v>
      </c>
      <c r="E216" s="560">
        <v>6591</v>
      </c>
      <c r="F216" s="561">
        <v>558.66999999999996</v>
      </c>
      <c r="G216" s="561">
        <v>62.63</v>
      </c>
      <c r="H216" s="561">
        <v>60.199999999999996</v>
      </c>
      <c r="I216" s="561">
        <v>319.72000000000003</v>
      </c>
      <c r="J216" s="561">
        <v>113.03999999999999</v>
      </c>
      <c r="K216" s="561">
        <v>105.3</v>
      </c>
      <c r="L216" s="561">
        <v>104.11999999999999</v>
      </c>
      <c r="M216" s="343">
        <v>0</v>
      </c>
      <c r="N216" s="477">
        <v>40.04</v>
      </c>
      <c r="O216" s="477">
        <v>11.044</v>
      </c>
      <c r="P216" s="407">
        <v>1.76</v>
      </c>
      <c r="Q216" s="477">
        <v>0</v>
      </c>
      <c r="R216" s="483">
        <v>20288416</v>
      </c>
      <c r="S216" s="483">
        <v>1719698</v>
      </c>
      <c r="T216" s="483">
        <v>192788</v>
      </c>
      <c r="U216" s="483">
        <v>185308</v>
      </c>
      <c r="V216" s="483">
        <v>984162</v>
      </c>
      <c r="W216" s="483">
        <v>984618</v>
      </c>
      <c r="X216" s="483">
        <v>0</v>
      </c>
      <c r="Y216" s="483">
        <v>50</v>
      </c>
      <c r="Z216" s="406">
        <v>0</v>
      </c>
      <c r="AA216" s="483">
        <v>88843</v>
      </c>
      <c r="AB216" s="483">
        <v>10432</v>
      </c>
      <c r="AC216" s="385">
        <v>43563</v>
      </c>
      <c r="AD216" s="545">
        <v>5.4</v>
      </c>
      <c r="AE216" s="483">
        <v>77531</v>
      </c>
      <c r="AF216" s="483">
        <v>78903</v>
      </c>
      <c r="AG216" s="481">
        <v>160406</v>
      </c>
      <c r="AH216" s="481">
        <v>117295</v>
      </c>
      <c r="AI216">
        <v>79</v>
      </c>
      <c r="AJ216" s="385">
        <v>949442217</v>
      </c>
      <c r="AK216" s="385">
        <v>0</v>
      </c>
      <c r="AL216" s="385">
        <v>0</v>
      </c>
      <c r="AM216" s="287">
        <v>0</v>
      </c>
      <c r="AN216" s="542">
        <v>330000</v>
      </c>
      <c r="AO216" s="549">
        <v>0.17</v>
      </c>
      <c r="AP216" s="385">
        <v>60841</v>
      </c>
      <c r="AQ216" s="385">
        <v>61918</v>
      </c>
      <c r="AR216" s="481">
        <v>125877</v>
      </c>
      <c r="AS216" s="481">
        <v>94486</v>
      </c>
      <c r="AT216" s="617"/>
      <c r="AU216" s="618">
        <v>0</v>
      </c>
      <c r="AV216" s="618">
        <v>0</v>
      </c>
      <c r="AW216" s="620"/>
      <c r="AX216" s="620"/>
      <c r="AY216" s="625"/>
      <c r="AZ216" s="626"/>
      <c r="BA216" s="624"/>
      <c r="BB216" s="673">
        <v>1765069</v>
      </c>
      <c r="BC216" s="781">
        <v>0.05</v>
      </c>
      <c r="BD216" s="790">
        <v>82</v>
      </c>
      <c r="BE216" s="673">
        <v>411584.66</v>
      </c>
    </row>
    <row r="217" spans="1:57" x14ac:dyDescent="0.2">
      <c r="A217" s="390">
        <v>7</v>
      </c>
      <c r="B217" s="551" t="s">
        <v>294</v>
      </c>
      <c r="C217" t="s">
        <v>1244</v>
      </c>
      <c r="D217" s="406">
        <v>441.3</v>
      </c>
      <c r="E217" s="560">
        <v>6591</v>
      </c>
      <c r="F217" s="561">
        <v>630.46</v>
      </c>
      <c r="G217" s="561">
        <v>67.34</v>
      </c>
      <c r="H217" s="561">
        <v>63.49</v>
      </c>
      <c r="I217" s="561">
        <v>319.72000000000003</v>
      </c>
      <c r="J217" s="561">
        <v>30.959999999999997</v>
      </c>
      <c r="K217" s="561">
        <v>23.029999999999998</v>
      </c>
      <c r="L217" s="561">
        <v>6.8500000000000005</v>
      </c>
      <c r="M217" s="343">
        <v>0</v>
      </c>
      <c r="N217" s="477">
        <v>16.440000000000001</v>
      </c>
      <c r="O217" s="477">
        <v>2.0329999999999999</v>
      </c>
      <c r="P217" s="407">
        <v>0</v>
      </c>
      <c r="Q217" s="477">
        <v>0</v>
      </c>
      <c r="R217" s="483">
        <v>2987700</v>
      </c>
      <c r="S217" s="483">
        <v>285788</v>
      </c>
      <c r="T217" s="483">
        <v>30525</v>
      </c>
      <c r="U217" s="483">
        <v>28780</v>
      </c>
      <c r="V217" s="483">
        <v>144929</v>
      </c>
      <c r="W217" s="483">
        <v>151544</v>
      </c>
      <c r="X217" s="483">
        <v>8135</v>
      </c>
      <c r="Y217" s="483">
        <v>0</v>
      </c>
      <c r="Z217" s="406">
        <v>0</v>
      </c>
      <c r="AA217" s="483">
        <v>19216</v>
      </c>
      <c r="AB217" s="483">
        <v>2208</v>
      </c>
      <c r="AC217" s="385">
        <v>7930</v>
      </c>
      <c r="AD217" s="545">
        <v>5.4</v>
      </c>
      <c r="AE217" s="483">
        <v>15914</v>
      </c>
      <c r="AF217" s="483">
        <v>15936</v>
      </c>
      <c r="AG217" s="481">
        <v>8144</v>
      </c>
      <c r="AH217" s="481">
        <v>8144</v>
      </c>
      <c r="AI217">
        <v>0</v>
      </c>
      <c r="AJ217" s="385">
        <v>197715104</v>
      </c>
      <c r="AK217" s="385">
        <v>7416</v>
      </c>
      <c r="AL217" s="385">
        <v>0</v>
      </c>
      <c r="AM217" s="287">
        <v>0</v>
      </c>
      <c r="AN217" s="542">
        <v>330000</v>
      </c>
      <c r="AO217" s="549">
        <v>0.17</v>
      </c>
      <c r="AP217" s="385">
        <v>10585</v>
      </c>
      <c r="AQ217" s="385">
        <v>10600</v>
      </c>
      <c r="AR217" s="481">
        <v>5417</v>
      </c>
      <c r="AS217" s="481">
        <v>5458</v>
      </c>
      <c r="AT217" s="617"/>
      <c r="AU217" s="618">
        <v>45463</v>
      </c>
      <c r="AV217" s="618">
        <v>160759</v>
      </c>
      <c r="AW217" s="620"/>
      <c r="AX217" s="620"/>
      <c r="AY217" s="625"/>
      <c r="AZ217" s="626"/>
      <c r="BA217" s="624"/>
      <c r="BB217" s="673">
        <v>138615</v>
      </c>
      <c r="BC217" s="781">
        <v>0.05</v>
      </c>
      <c r="BD217" s="790">
        <v>86</v>
      </c>
      <c r="BE217" s="673">
        <v>14694.97</v>
      </c>
    </row>
    <row r="218" spans="1:57" x14ac:dyDescent="0.2">
      <c r="A218" s="390">
        <v>5</v>
      </c>
      <c r="B218" s="551" t="s">
        <v>93</v>
      </c>
      <c r="C218" t="s">
        <v>1635</v>
      </c>
      <c r="D218" s="406">
        <v>421.1</v>
      </c>
      <c r="E218" s="560">
        <v>6661</v>
      </c>
      <c r="F218" s="561">
        <v>665.62</v>
      </c>
      <c r="G218" s="561">
        <v>74.88</v>
      </c>
      <c r="H218" s="561">
        <v>80.660000000000011</v>
      </c>
      <c r="I218" s="561">
        <v>319.72000000000003</v>
      </c>
      <c r="J218" s="561">
        <v>14.399999999999999</v>
      </c>
      <c r="K218" s="561">
        <v>30.25</v>
      </c>
      <c r="L218" s="561">
        <v>15.07</v>
      </c>
      <c r="M218" s="343">
        <v>1.41</v>
      </c>
      <c r="N218" s="477">
        <v>32.299999999999997</v>
      </c>
      <c r="O218" s="477">
        <v>2.1619999999999999</v>
      </c>
      <c r="P218" s="407">
        <v>0.22</v>
      </c>
      <c r="Q218" s="477">
        <v>26</v>
      </c>
      <c r="R218" s="483">
        <v>2797620</v>
      </c>
      <c r="S218" s="483">
        <v>279560</v>
      </c>
      <c r="T218" s="483">
        <v>31450</v>
      </c>
      <c r="U218" s="483">
        <v>33877</v>
      </c>
      <c r="V218" s="483">
        <v>134282</v>
      </c>
      <c r="W218" s="483">
        <v>143770</v>
      </c>
      <c r="X218" s="483">
        <v>26465</v>
      </c>
      <c r="Y218" s="483">
        <v>5</v>
      </c>
      <c r="Z218" s="406">
        <v>0</v>
      </c>
      <c r="AA218" s="483">
        <v>15299</v>
      </c>
      <c r="AB218" s="483">
        <v>1823</v>
      </c>
      <c r="AC218" s="385">
        <v>10756</v>
      </c>
      <c r="AD218" s="545">
        <v>5.4</v>
      </c>
      <c r="AE218" s="483">
        <v>34355</v>
      </c>
      <c r="AF218" s="483">
        <v>34511</v>
      </c>
      <c r="AG218" s="481">
        <v>13907</v>
      </c>
      <c r="AH218" s="481">
        <v>10617</v>
      </c>
      <c r="AI218">
        <v>10.5</v>
      </c>
      <c r="AJ218" s="385">
        <v>323171199</v>
      </c>
      <c r="AK218" s="385">
        <v>22036</v>
      </c>
      <c r="AL218" s="385">
        <v>0</v>
      </c>
      <c r="AM218" s="287">
        <v>0</v>
      </c>
      <c r="AN218" s="542">
        <v>330000</v>
      </c>
      <c r="AO218" s="549">
        <v>0.17</v>
      </c>
      <c r="AP218" s="385">
        <v>13330</v>
      </c>
      <c r="AQ218" s="385">
        <v>13391</v>
      </c>
      <c r="AR218" s="481">
        <v>7530</v>
      </c>
      <c r="AS218" s="481">
        <v>4159</v>
      </c>
      <c r="AT218" s="617"/>
      <c r="AU218" s="618">
        <v>84421</v>
      </c>
      <c r="AV218" s="618">
        <v>0</v>
      </c>
      <c r="AW218" s="620"/>
      <c r="AX218" s="620"/>
      <c r="AY218" s="625"/>
      <c r="AZ218" s="626"/>
      <c r="BA218" s="624"/>
      <c r="BB218" s="673">
        <v>0</v>
      </c>
      <c r="BC218" s="781">
        <v>0.05</v>
      </c>
      <c r="BD218" s="790">
        <v>32</v>
      </c>
      <c r="BE218" s="673">
        <v>25961.850000000002</v>
      </c>
    </row>
    <row r="219" spans="1:57" x14ac:dyDescent="0.2">
      <c r="A219" s="390">
        <v>1</v>
      </c>
      <c r="B219" s="551" t="s">
        <v>295</v>
      </c>
      <c r="C219" t="s">
        <v>1245</v>
      </c>
      <c r="D219" s="406">
        <v>283.3</v>
      </c>
      <c r="E219" s="560">
        <v>6698</v>
      </c>
      <c r="F219" s="561">
        <v>533.28</v>
      </c>
      <c r="G219" s="561">
        <v>48.56</v>
      </c>
      <c r="H219" s="561">
        <v>68.990000000000009</v>
      </c>
      <c r="I219" s="561">
        <v>319.72000000000003</v>
      </c>
      <c r="J219" s="561">
        <v>10.08</v>
      </c>
      <c r="K219" s="561">
        <v>3.63</v>
      </c>
      <c r="L219" s="561">
        <v>13.7</v>
      </c>
      <c r="M219" s="343">
        <v>0</v>
      </c>
      <c r="N219" s="477">
        <v>18.62</v>
      </c>
      <c r="O219" s="477">
        <v>1.62</v>
      </c>
      <c r="P219" s="407">
        <v>0.22</v>
      </c>
      <c r="Q219" s="477">
        <v>0</v>
      </c>
      <c r="R219" s="483">
        <v>1991985</v>
      </c>
      <c r="S219" s="483">
        <v>158597</v>
      </c>
      <c r="T219" s="483">
        <v>14442</v>
      </c>
      <c r="U219" s="483">
        <v>20518</v>
      </c>
      <c r="V219" s="483">
        <v>95085</v>
      </c>
      <c r="W219" s="483">
        <v>97714</v>
      </c>
      <c r="X219" s="483">
        <v>65</v>
      </c>
      <c r="Y219" s="483">
        <v>10</v>
      </c>
      <c r="Z219" s="406">
        <v>0</v>
      </c>
      <c r="AA219" s="483">
        <v>9622</v>
      </c>
      <c r="AB219" s="483">
        <v>1032</v>
      </c>
      <c r="AC219" s="385">
        <v>6146</v>
      </c>
      <c r="AD219" s="545">
        <v>5.4</v>
      </c>
      <c r="AE219" s="483">
        <v>4645</v>
      </c>
      <c r="AF219" s="483">
        <v>4560</v>
      </c>
      <c r="AG219" s="481">
        <v>2042</v>
      </c>
      <c r="AH219" s="481">
        <v>2042</v>
      </c>
      <c r="AI219">
        <v>4.5</v>
      </c>
      <c r="AJ219" s="385">
        <v>148502398</v>
      </c>
      <c r="AK219" s="385">
        <v>22207</v>
      </c>
      <c r="AL219" s="385">
        <v>0</v>
      </c>
      <c r="AM219" s="287">
        <v>0</v>
      </c>
      <c r="AN219" s="542">
        <v>330000</v>
      </c>
      <c r="AO219" s="549">
        <v>0.17</v>
      </c>
      <c r="AP219" s="385">
        <v>2339</v>
      </c>
      <c r="AQ219" s="385">
        <v>2296</v>
      </c>
      <c r="AR219" s="481">
        <v>1028</v>
      </c>
      <c r="AS219" s="481">
        <v>1031</v>
      </c>
      <c r="AT219" s="617"/>
      <c r="AU219" s="618">
        <v>56475</v>
      </c>
      <c r="AV219" s="618">
        <v>0</v>
      </c>
      <c r="AW219" s="620"/>
      <c r="AX219" s="620"/>
      <c r="AY219" s="625"/>
      <c r="AZ219" s="626"/>
      <c r="BA219" s="624"/>
      <c r="BB219" s="673">
        <v>61213</v>
      </c>
      <c r="BC219" s="781">
        <v>0.05</v>
      </c>
      <c r="BD219" s="790">
        <v>96</v>
      </c>
      <c r="BE219" s="673">
        <v>4867</v>
      </c>
    </row>
    <row r="220" spans="1:57" x14ac:dyDescent="0.2">
      <c r="A220" s="390">
        <v>9</v>
      </c>
      <c r="B220" s="551" t="s">
        <v>286</v>
      </c>
      <c r="C220" t="s">
        <v>1198</v>
      </c>
      <c r="D220" s="406">
        <v>524.70000000000005</v>
      </c>
      <c r="E220" s="560">
        <v>6711</v>
      </c>
      <c r="F220" s="561">
        <v>616.62</v>
      </c>
      <c r="G220" s="561">
        <v>69.52</v>
      </c>
      <c r="H220" s="561">
        <v>74.490000000000009</v>
      </c>
      <c r="I220" s="561">
        <v>319.72000000000003</v>
      </c>
      <c r="J220" s="561">
        <v>23.04</v>
      </c>
      <c r="K220" s="561">
        <v>8.4700000000000006</v>
      </c>
      <c r="L220" s="561">
        <v>24.66</v>
      </c>
      <c r="M220" s="343">
        <v>0</v>
      </c>
      <c r="N220" s="477">
        <v>4.53</v>
      </c>
      <c r="O220" s="477">
        <v>2.0030000000000001</v>
      </c>
      <c r="P220" s="407">
        <v>0.44</v>
      </c>
      <c r="Q220" s="477">
        <v>0</v>
      </c>
      <c r="R220" s="483">
        <v>3705143</v>
      </c>
      <c r="S220" s="483">
        <v>340436</v>
      </c>
      <c r="T220" s="483">
        <v>38382</v>
      </c>
      <c r="U220" s="483">
        <v>41126</v>
      </c>
      <c r="V220" s="483">
        <v>176517</v>
      </c>
      <c r="W220" s="483">
        <v>175205</v>
      </c>
      <c r="X220" s="483">
        <v>0</v>
      </c>
      <c r="Y220" s="483">
        <v>5</v>
      </c>
      <c r="Z220" s="406">
        <v>0</v>
      </c>
      <c r="AA220" s="483">
        <v>15809</v>
      </c>
      <c r="AB220" s="483">
        <v>1856</v>
      </c>
      <c r="AC220" s="385">
        <v>10313</v>
      </c>
      <c r="AD220" s="545">
        <v>5.4</v>
      </c>
      <c r="AE220" s="483">
        <v>14823</v>
      </c>
      <c r="AF220" s="483">
        <v>14858</v>
      </c>
      <c r="AG220" s="481">
        <v>2969</v>
      </c>
      <c r="AH220" s="481">
        <v>2969</v>
      </c>
      <c r="AI220">
        <v>17.5</v>
      </c>
      <c r="AJ220" s="385">
        <v>207127399</v>
      </c>
      <c r="AK220" s="385">
        <v>46798</v>
      </c>
      <c r="AL220" s="385">
        <v>0</v>
      </c>
      <c r="AM220" s="287">
        <v>0</v>
      </c>
      <c r="AN220" s="542">
        <v>330000</v>
      </c>
      <c r="AO220" s="549">
        <v>0.17</v>
      </c>
      <c r="AP220" s="385">
        <v>9799</v>
      </c>
      <c r="AQ220" s="385">
        <v>9822</v>
      </c>
      <c r="AR220" s="481">
        <v>1963</v>
      </c>
      <c r="AS220" s="481">
        <v>1968</v>
      </c>
      <c r="AT220" s="617"/>
      <c r="AU220" s="618">
        <v>0</v>
      </c>
      <c r="AV220" s="618">
        <v>0</v>
      </c>
      <c r="AW220" s="620"/>
      <c r="AX220" s="620"/>
      <c r="AY220" s="625"/>
      <c r="AZ220" s="626"/>
      <c r="BA220" s="624"/>
      <c r="BB220" s="673">
        <v>957235</v>
      </c>
      <c r="BC220" s="781">
        <v>4.2999999999999997E-2</v>
      </c>
      <c r="BD220" s="790">
        <v>23</v>
      </c>
      <c r="BE220" s="673">
        <v>8233.0300000000007</v>
      </c>
    </row>
    <row r="221" spans="1:57" x14ac:dyDescent="0.2">
      <c r="A221" s="390">
        <v>5</v>
      </c>
      <c r="B221" s="551" t="s">
        <v>288</v>
      </c>
      <c r="C221" t="s">
        <v>1200</v>
      </c>
      <c r="D221" s="406">
        <v>195.3</v>
      </c>
      <c r="E221" s="560">
        <v>6761</v>
      </c>
      <c r="F221" s="561">
        <v>654.09</v>
      </c>
      <c r="G221" s="561">
        <v>70.070000000000007</v>
      </c>
      <c r="H221" s="561">
        <v>65.460000000000008</v>
      </c>
      <c r="I221" s="561">
        <v>319.72000000000003</v>
      </c>
      <c r="J221" s="561">
        <v>8.64</v>
      </c>
      <c r="K221" s="561">
        <v>3.63</v>
      </c>
      <c r="L221" s="561">
        <v>10.96</v>
      </c>
      <c r="M221" s="343">
        <v>0.64</v>
      </c>
      <c r="N221" s="477">
        <v>20.79</v>
      </c>
      <c r="O221" s="477">
        <v>0.871</v>
      </c>
      <c r="P221" s="407">
        <v>0.88</v>
      </c>
      <c r="Q221" s="477">
        <v>0</v>
      </c>
      <c r="R221" s="483">
        <v>1304873</v>
      </c>
      <c r="S221" s="483">
        <v>126239</v>
      </c>
      <c r="T221" s="483">
        <v>13524</v>
      </c>
      <c r="U221" s="483">
        <v>12634</v>
      </c>
      <c r="V221" s="483">
        <v>61706</v>
      </c>
      <c r="W221" s="483">
        <v>65743</v>
      </c>
      <c r="X221" s="483">
        <v>17015</v>
      </c>
      <c r="Y221" s="483">
        <v>2</v>
      </c>
      <c r="Z221" s="406">
        <v>0</v>
      </c>
      <c r="AA221" s="483">
        <v>6996</v>
      </c>
      <c r="AB221" s="483">
        <v>834</v>
      </c>
      <c r="AC221" s="385">
        <v>4875</v>
      </c>
      <c r="AD221" s="545">
        <v>5.4</v>
      </c>
      <c r="AE221" s="483">
        <v>14941</v>
      </c>
      <c r="AF221" s="483">
        <v>15081</v>
      </c>
      <c r="AG221" s="481">
        <v>42279</v>
      </c>
      <c r="AH221" s="481">
        <v>35585</v>
      </c>
      <c r="AI221">
        <v>5</v>
      </c>
      <c r="AJ221" s="385">
        <v>188058637</v>
      </c>
      <c r="AK221" s="385">
        <v>12543</v>
      </c>
      <c r="AL221" s="385">
        <v>0</v>
      </c>
      <c r="AM221" s="287">
        <v>0</v>
      </c>
      <c r="AN221" s="542">
        <v>330000</v>
      </c>
      <c r="AO221" s="549">
        <v>0.17</v>
      </c>
      <c r="AP221" s="385">
        <v>6091</v>
      </c>
      <c r="AQ221" s="385">
        <v>6148</v>
      </c>
      <c r="AR221" s="481">
        <v>17235</v>
      </c>
      <c r="AS221" s="481">
        <v>15011</v>
      </c>
      <c r="AT221" s="617"/>
      <c r="AU221" s="618">
        <v>0</v>
      </c>
      <c r="AV221" s="618">
        <v>111745</v>
      </c>
      <c r="AW221" s="620"/>
      <c r="AX221" s="620"/>
      <c r="AY221" s="625"/>
      <c r="AZ221" s="626"/>
      <c r="BA221" s="624"/>
      <c r="BB221" s="673">
        <v>0</v>
      </c>
      <c r="BC221" s="781">
        <v>4.3999999999999997E-2</v>
      </c>
      <c r="BD221" s="790">
        <v>40</v>
      </c>
      <c r="BE221" s="673">
        <v>84065.73</v>
      </c>
    </row>
    <row r="222" spans="1:57" x14ac:dyDescent="0.2">
      <c r="A222" s="390">
        <v>7</v>
      </c>
      <c r="B222" s="551" t="s">
        <v>296</v>
      </c>
      <c r="C222" t="s">
        <v>1246</v>
      </c>
      <c r="D222" s="406">
        <v>500</v>
      </c>
      <c r="E222" s="560">
        <v>6717</v>
      </c>
      <c r="F222" s="561">
        <v>562.83000000000004</v>
      </c>
      <c r="G222" s="561">
        <v>64.5</v>
      </c>
      <c r="H222" s="561">
        <v>55.28</v>
      </c>
      <c r="I222" s="561">
        <v>319.72000000000003</v>
      </c>
      <c r="J222" s="561">
        <v>28.08</v>
      </c>
      <c r="K222" s="561">
        <v>8.4700000000000006</v>
      </c>
      <c r="L222" s="561">
        <v>10.96</v>
      </c>
      <c r="M222" s="343">
        <v>0</v>
      </c>
      <c r="N222" s="477">
        <v>0.95</v>
      </c>
      <c r="O222" s="477">
        <v>2.3330000000000002</v>
      </c>
      <c r="P222" s="407">
        <v>0.66</v>
      </c>
      <c r="Q222" s="477">
        <v>0</v>
      </c>
      <c r="R222" s="483">
        <v>3378651</v>
      </c>
      <c r="S222" s="483">
        <v>283103</v>
      </c>
      <c r="T222" s="483">
        <v>32444</v>
      </c>
      <c r="U222" s="483">
        <v>27806</v>
      </c>
      <c r="V222" s="483">
        <v>160819</v>
      </c>
      <c r="W222" s="483">
        <v>160767</v>
      </c>
      <c r="X222" s="483">
        <v>2991</v>
      </c>
      <c r="Y222" s="483">
        <v>0</v>
      </c>
      <c r="Z222" s="406">
        <v>0</v>
      </c>
      <c r="AA222" s="483">
        <v>20385</v>
      </c>
      <c r="AB222" s="483">
        <v>2342</v>
      </c>
      <c r="AC222" s="385">
        <v>8512</v>
      </c>
      <c r="AD222" s="545">
        <v>5.4</v>
      </c>
      <c r="AE222" s="483">
        <v>31419</v>
      </c>
      <c r="AF222" s="483">
        <v>31111</v>
      </c>
      <c r="AG222" s="481">
        <v>43046</v>
      </c>
      <c r="AH222" s="481">
        <v>27767</v>
      </c>
      <c r="AI222">
        <v>15.5</v>
      </c>
      <c r="AJ222" s="385">
        <v>223374404</v>
      </c>
      <c r="AK222" s="385">
        <v>16748</v>
      </c>
      <c r="AL222" s="385">
        <v>0</v>
      </c>
      <c r="AM222" s="287">
        <v>0</v>
      </c>
      <c r="AN222" s="542">
        <v>330000</v>
      </c>
      <c r="AO222" s="549">
        <v>0.17</v>
      </c>
      <c r="AP222" s="385">
        <v>17043</v>
      </c>
      <c r="AQ222" s="385">
        <v>16876</v>
      </c>
      <c r="AR222" s="481">
        <v>23349</v>
      </c>
      <c r="AS222" s="481">
        <v>15580</v>
      </c>
      <c r="AT222" s="617"/>
      <c r="AU222" s="618">
        <v>40145</v>
      </c>
      <c r="AV222" s="618">
        <v>19862</v>
      </c>
      <c r="AW222" s="620"/>
      <c r="AX222" s="620"/>
      <c r="AY222" s="625"/>
      <c r="AZ222" s="626"/>
      <c r="BA222" s="624"/>
      <c r="BB222" s="673">
        <v>532282</v>
      </c>
      <c r="BC222" s="781">
        <v>3.6999999999999998E-2</v>
      </c>
      <c r="BD222" s="790">
        <v>98</v>
      </c>
      <c r="BE222" s="673">
        <v>95943.58</v>
      </c>
    </row>
    <row r="223" spans="1:57" x14ac:dyDescent="0.2">
      <c r="A223" s="390">
        <v>11</v>
      </c>
      <c r="B223" s="551" t="s">
        <v>297</v>
      </c>
      <c r="C223" t="s">
        <v>1247</v>
      </c>
      <c r="D223" s="406">
        <v>2714.5</v>
      </c>
      <c r="E223" s="560">
        <v>6591</v>
      </c>
      <c r="F223" s="561">
        <v>573.59</v>
      </c>
      <c r="G223" s="561">
        <v>59.97</v>
      </c>
      <c r="H223" s="561">
        <v>59.69</v>
      </c>
      <c r="I223" s="561">
        <v>319.72000000000003</v>
      </c>
      <c r="J223" s="561">
        <v>165.6</v>
      </c>
      <c r="K223" s="561">
        <v>67.789999999999992</v>
      </c>
      <c r="L223" s="561">
        <v>67.13000000000001</v>
      </c>
      <c r="M223" s="343">
        <v>0</v>
      </c>
      <c r="N223" s="477">
        <v>15.08</v>
      </c>
      <c r="O223" s="477">
        <v>8.7970000000000006</v>
      </c>
      <c r="P223" s="407">
        <v>5.0599999999999996</v>
      </c>
      <c r="Q223" s="477">
        <v>0</v>
      </c>
      <c r="R223" s="483">
        <v>17444400</v>
      </c>
      <c r="S223" s="483">
        <v>1518121</v>
      </c>
      <c r="T223" s="483">
        <v>158723</v>
      </c>
      <c r="U223" s="483">
        <v>157982</v>
      </c>
      <c r="V223" s="483">
        <v>846203</v>
      </c>
      <c r="W223" s="483">
        <v>826049</v>
      </c>
      <c r="X223" s="483">
        <v>0</v>
      </c>
      <c r="Y223" s="483">
        <v>56</v>
      </c>
      <c r="Z223" s="406">
        <v>0</v>
      </c>
      <c r="AA223" s="483">
        <v>68065</v>
      </c>
      <c r="AB223" s="483">
        <v>8651</v>
      </c>
      <c r="AC223" s="385">
        <v>31146</v>
      </c>
      <c r="AD223" s="545">
        <v>5.4</v>
      </c>
      <c r="AE223" s="483">
        <v>133926</v>
      </c>
      <c r="AF223" s="483">
        <v>137679</v>
      </c>
      <c r="AG223" s="481">
        <v>22521</v>
      </c>
      <c r="AH223" s="481">
        <v>10464</v>
      </c>
      <c r="AI223">
        <v>60.5</v>
      </c>
      <c r="AJ223" s="385">
        <v>486364695</v>
      </c>
      <c r="AK223" s="385">
        <v>4004</v>
      </c>
      <c r="AL223" s="385">
        <v>0</v>
      </c>
      <c r="AM223" s="287">
        <v>0</v>
      </c>
      <c r="AN223" s="542">
        <v>330000</v>
      </c>
      <c r="AO223" s="549">
        <v>0.17</v>
      </c>
      <c r="AP223" s="385">
        <v>132993</v>
      </c>
      <c r="AQ223" s="385">
        <v>136720</v>
      </c>
      <c r="AR223" s="481">
        <v>22364</v>
      </c>
      <c r="AS223" s="481">
        <v>10472</v>
      </c>
      <c r="AT223" s="617"/>
      <c r="AU223" s="618">
        <v>0</v>
      </c>
      <c r="AV223" s="618">
        <v>0</v>
      </c>
      <c r="AW223" s="620"/>
      <c r="AX223" s="620"/>
      <c r="AY223" s="625"/>
      <c r="AZ223" s="626"/>
      <c r="BA223" s="624"/>
      <c r="BB223" s="673">
        <v>81353</v>
      </c>
      <c r="BC223" s="781">
        <v>3.5000000000000003E-2</v>
      </c>
      <c r="BD223" s="790">
        <v>91</v>
      </c>
      <c r="BE223" s="673">
        <v>85425.72</v>
      </c>
    </row>
    <row r="224" spans="1:57" x14ac:dyDescent="0.2">
      <c r="A224" s="390">
        <v>5</v>
      </c>
      <c r="B224" s="551" t="s">
        <v>299</v>
      </c>
      <c r="C224" t="s">
        <v>1249</v>
      </c>
      <c r="D224" s="406">
        <v>334.4</v>
      </c>
      <c r="E224" s="560">
        <v>6591</v>
      </c>
      <c r="F224" s="561">
        <v>602.45000000000005</v>
      </c>
      <c r="G224" s="561">
        <v>73.27</v>
      </c>
      <c r="H224" s="561">
        <v>55.67</v>
      </c>
      <c r="I224" s="561">
        <v>319.72000000000003</v>
      </c>
      <c r="J224" s="561">
        <v>12.24</v>
      </c>
      <c r="K224" s="561">
        <v>4.84</v>
      </c>
      <c r="L224" s="561">
        <v>2.74</v>
      </c>
      <c r="M224" s="343">
        <v>1.04</v>
      </c>
      <c r="N224" s="477">
        <v>21.6</v>
      </c>
      <c r="O224" s="477">
        <v>1.476</v>
      </c>
      <c r="P224" s="407">
        <v>0</v>
      </c>
      <c r="Q224" s="477">
        <v>0</v>
      </c>
      <c r="R224" s="483">
        <v>2235008</v>
      </c>
      <c r="S224" s="483">
        <v>204291</v>
      </c>
      <c r="T224" s="483">
        <v>24846</v>
      </c>
      <c r="U224" s="483">
        <v>18878</v>
      </c>
      <c r="V224" s="483">
        <v>108417</v>
      </c>
      <c r="W224" s="483">
        <v>108290</v>
      </c>
      <c r="X224" s="483">
        <v>0</v>
      </c>
      <c r="Y224" s="483">
        <v>1</v>
      </c>
      <c r="Z224" s="406">
        <v>0</v>
      </c>
      <c r="AA224" s="483">
        <v>11523</v>
      </c>
      <c r="AB224" s="483">
        <v>1373</v>
      </c>
      <c r="AC224" s="385">
        <v>6807</v>
      </c>
      <c r="AD224" s="545">
        <v>5.4</v>
      </c>
      <c r="AE224" s="483">
        <v>22350</v>
      </c>
      <c r="AF224" s="483">
        <v>22918</v>
      </c>
      <c r="AG224" s="481">
        <v>7288</v>
      </c>
      <c r="AH224" s="481">
        <v>5496</v>
      </c>
      <c r="AI224">
        <v>7.5</v>
      </c>
      <c r="AJ224" s="385">
        <v>152207959</v>
      </c>
      <c r="AK224" s="385">
        <v>11250</v>
      </c>
      <c r="AL224" s="385">
        <v>430</v>
      </c>
      <c r="AM224" s="287">
        <v>0</v>
      </c>
      <c r="AN224" s="542">
        <v>330000</v>
      </c>
      <c r="AO224" s="549">
        <v>0.17</v>
      </c>
      <c r="AP224" s="385">
        <v>10594</v>
      </c>
      <c r="AQ224" s="385">
        <v>10863</v>
      </c>
      <c r="AR224" s="481">
        <v>3454</v>
      </c>
      <c r="AS224" s="481">
        <v>2626</v>
      </c>
      <c r="AT224" s="617"/>
      <c r="AU224" s="618">
        <v>9377</v>
      </c>
      <c r="AV224" s="618">
        <v>0</v>
      </c>
      <c r="AW224" s="620"/>
      <c r="AX224" s="620"/>
      <c r="AY224" s="625"/>
      <c r="AZ224" s="626"/>
      <c r="BA224" s="624"/>
      <c r="BB224" s="673">
        <v>0</v>
      </c>
      <c r="BC224" s="781">
        <v>3.6999999999999998E-2</v>
      </c>
      <c r="BD224" s="790">
        <v>81</v>
      </c>
      <c r="BE224" s="673">
        <v>16617.490000000002</v>
      </c>
    </row>
    <row r="225" spans="1:57" x14ac:dyDescent="0.2">
      <c r="A225" s="390">
        <v>1</v>
      </c>
      <c r="B225" s="551" t="s">
        <v>300</v>
      </c>
      <c r="C225" t="s">
        <v>1250</v>
      </c>
      <c r="D225" s="406">
        <v>1282.2</v>
      </c>
      <c r="E225" s="560">
        <v>6632</v>
      </c>
      <c r="F225" s="561">
        <v>576.41</v>
      </c>
      <c r="G225" s="561">
        <v>66.22</v>
      </c>
      <c r="H225" s="561">
        <v>67.180000000000007</v>
      </c>
      <c r="I225" s="561">
        <v>319.72000000000003</v>
      </c>
      <c r="J225" s="561">
        <v>95.759999999999991</v>
      </c>
      <c r="K225" s="561">
        <v>44.19</v>
      </c>
      <c r="L225" s="561">
        <v>75.350000000000009</v>
      </c>
      <c r="M225" s="343">
        <v>0</v>
      </c>
      <c r="N225" s="477">
        <v>20.97</v>
      </c>
      <c r="O225" s="477">
        <v>8.1479999999999997</v>
      </c>
      <c r="P225" s="407">
        <v>1.1000000000000001</v>
      </c>
      <c r="Q225" s="477">
        <v>0</v>
      </c>
      <c r="R225" s="483">
        <v>8707816</v>
      </c>
      <c r="S225" s="483">
        <v>756826</v>
      </c>
      <c r="T225" s="483">
        <v>86947</v>
      </c>
      <c r="U225" s="483">
        <v>88207</v>
      </c>
      <c r="V225" s="483">
        <v>419792</v>
      </c>
      <c r="W225" s="483">
        <v>464387</v>
      </c>
      <c r="X225" s="483">
        <v>0</v>
      </c>
      <c r="Y225" s="483">
        <v>72</v>
      </c>
      <c r="Z225" s="406">
        <v>3.1</v>
      </c>
      <c r="AA225" s="483">
        <v>45730</v>
      </c>
      <c r="AB225" s="483">
        <v>4905</v>
      </c>
      <c r="AC225" s="385">
        <v>26436</v>
      </c>
      <c r="AD225" s="545">
        <v>5.4</v>
      </c>
      <c r="AE225" s="483">
        <v>60361</v>
      </c>
      <c r="AF225" s="483">
        <v>59979</v>
      </c>
      <c r="AG225" s="481">
        <v>30229</v>
      </c>
      <c r="AH225" s="481">
        <v>25722</v>
      </c>
      <c r="AI225">
        <v>29.5</v>
      </c>
      <c r="AJ225" s="385">
        <v>297371737</v>
      </c>
      <c r="AK225" s="385">
        <v>84405</v>
      </c>
      <c r="AL225" s="385">
        <v>0</v>
      </c>
      <c r="AM225" s="287">
        <v>0</v>
      </c>
      <c r="AN225" s="542">
        <v>330000</v>
      </c>
      <c r="AO225" s="549">
        <v>0.17</v>
      </c>
      <c r="AP225" s="385">
        <v>54715</v>
      </c>
      <c r="AQ225" s="385">
        <v>54369</v>
      </c>
      <c r="AR225" s="481">
        <v>27402</v>
      </c>
      <c r="AS225" s="481">
        <v>23683</v>
      </c>
      <c r="AT225" s="617"/>
      <c r="AU225" s="618">
        <v>0</v>
      </c>
      <c r="AV225" s="618">
        <v>0</v>
      </c>
      <c r="AW225" s="620"/>
      <c r="AX225" s="620"/>
      <c r="AY225" s="625"/>
      <c r="AZ225" s="626"/>
      <c r="BA225" s="624"/>
      <c r="BB225" s="673">
        <v>0</v>
      </c>
      <c r="BC225" s="781">
        <v>3.7999999999999999E-2</v>
      </c>
      <c r="BD225" s="790">
        <v>33</v>
      </c>
      <c r="BE225" s="673">
        <v>74920.69</v>
      </c>
    </row>
    <row r="226" spans="1:57" x14ac:dyDescent="0.2">
      <c r="A226" s="390">
        <v>11</v>
      </c>
      <c r="B226" s="551" t="s">
        <v>301</v>
      </c>
      <c r="C226" t="s">
        <v>1251</v>
      </c>
      <c r="D226" s="406">
        <v>630.5</v>
      </c>
      <c r="E226" s="560">
        <v>6591</v>
      </c>
      <c r="F226" s="561">
        <v>591.09</v>
      </c>
      <c r="G226" s="561">
        <v>64.19</v>
      </c>
      <c r="H226" s="561">
        <v>63.05</v>
      </c>
      <c r="I226" s="561">
        <v>319.72000000000003</v>
      </c>
      <c r="J226" s="561">
        <v>32.4</v>
      </c>
      <c r="K226" s="561">
        <v>16.350000000000001</v>
      </c>
      <c r="L226" s="561">
        <v>19.18</v>
      </c>
      <c r="M226" s="343">
        <v>0</v>
      </c>
      <c r="N226" s="477">
        <v>7.53</v>
      </c>
      <c r="O226" s="477">
        <v>2.3260000000000001</v>
      </c>
      <c r="P226" s="407">
        <v>1.32</v>
      </c>
      <c r="Q226" s="477">
        <v>0</v>
      </c>
      <c r="R226" s="483">
        <v>4208354</v>
      </c>
      <c r="S226" s="483">
        <v>377411</v>
      </c>
      <c r="T226" s="483">
        <v>40985</v>
      </c>
      <c r="U226" s="483">
        <v>40257</v>
      </c>
      <c r="V226" s="483">
        <v>204141</v>
      </c>
      <c r="W226" s="483">
        <v>198537</v>
      </c>
      <c r="X226" s="483">
        <v>0</v>
      </c>
      <c r="Y226" s="483">
        <v>7</v>
      </c>
      <c r="Z226" s="406">
        <v>0</v>
      </c>
      <c r="AA226" s="483">
        <v>16359</v>
      </c>
      <c r="AB226" s="483">
        <v>2079</v>
      </c>
      <c r="AC226" s="385">
        <v>10298</v>
      </c>
      <c r="AD226" s="545">
        <v>5.4</v>
      </c>
      <c r="AE226" s="483">
        <v>19490</v>
      </c>
      <c r="AF226" s="483">
        <v>19852</v>
      </c>
      <c r="AG226" s="481">
        <v>7964</v>
      </c>
      <c r="AH226" s="481">
        <v>7964</v>
      </c>
      <c r="AI226">
        <v>18.5</v>
      </c>
      <c r="AJ226" s="385">
        <v>242151036</v>
      </c>
      <c r="AK226" s="385">
        <v>5492</v>
      </c>
      <c r="AL226" s="385">
        <v>0</v>
      </c>
      <c r="AM226" s="287">
        <v>0</v>
      </c>
      <c r="AN226" s="542">
        <v>330000</v>
      </c>
      <c r="AO226" s="549">
        <v>0.17</v>
      </c>
      <c r="AP226" s="385">
        <v>10749</v>
      </c>
      <c r="AQ226" s="385">
        <v>10949</v>
      </c>
      <c r="AR226" s="481">
        <v>4392</v>
      </c>
      <c r="AS226" s="481">
        <v>4418</v>
      </c>
      <c r="AT226" s="617"/>
      <c r="AU226" s="618">
        <v>0</v>
      </c>
      <c r="AV226" s="618">
        <v>0</v>
      </c>
      <c r="AW226" s="620"/>
      <c r="AX226" s="620"/>
      <c r="AY226" s="625"/>
      <c r="AZ226" s="626"/>
      <c r="BA226" s="624"/>
      <c r="BB226" s="673">
        <v>0</v>
      </c>
      <c r="BC226" s="781">
        <v>0.05</v>
      </c>
      <c r="BD226" s="790">
        <v>8</v>
      </c>
      <c r="BE226" s="673">
        <v>20782.02</v>
      </c>
    </row>
    <row r="227" spans="1:57" x14ac:dyDescent="0.2">
      <c r="A227" s="390">
        <v>5</v>
      </c>
      <c r="B227" s="551" t="s">
        <v>302</v>
      </c>
      <c r="C227" t="s">
        <v>1252</v>
      </c>
      <c r="D227" s="406">
        <v>973.9</v>
      </c>
      <c r="E227" s="560">
        <v>6605</v>
      </c>
      <c r="F227" s="561">
        <v>578.95000000000005</v>
      </c>
      <c r="G227" s="561">
        <v>65.930000000000007</v>
      </c>
      <c r="H227" s="561">
        <v>63.92</v>
      </c>
      <c r="I227" s="561">
        <v>319.72000000000003</v>
      </c>
      <c r="J227" s="561">
        <v>32.4</v>
      </c>
      <c r="K227" s="561">
        <v>48.4</v>
      </c>
      <c r="L227" s="561">
        <v>41.1</v>
      </c>
      <c r="M227" s="343">
        <v>3.21</v>
      </c>
      <c r="N227" s="477">
        <v>3.64</v>
      </c>
      <c r="O227" s="477">
        <v>4.2320000000000002</v>
      </c>
      <c r="P227" s="407">
        <v>1.1000000000000001</v>
      </c>
      <c r="Q227" s="477">
        <v>0</v>
      </c>
      <c r="R227" s="483">
        <v>6335516</v>
      </c>
      <c r="S227" s="483">
        <v>555329</v>
      </c>
      <c r="T227" s="483">
        <v>63240</v>
      </c>
      <c r="U227" s="483">
        <v>61312</v>
      </c>
      <c r="V227" s="483">
        <v>306675</v>
      </c>
      <c r="W227" s="483">
        <v>321630</v>
      </c>
      <c r="X227" s="483">
        <v>0</v>
      </c>
      <c r="Y227" s="483">
        <v>3</v>
      </c>
      <c r="Z227" s="406">
        <v>0</v>
      </c>
      <c r="AA227" s="483">
        <v>34225</v>
      </c>
      <c r="AB227" s="483">
        <v>4078</v>
      </c>
      <c r="AC227" s="385">
        <v>15512</v>
      </c>
      <c r="AD227" s="545">
        <v>5.4</v>
      </c>
      <c r="AE227" s="483">
        <v>37720</v>
      </c>
      <c r="AF227" s="483">
        <v>38019</v>
      </c>
      <c r="AG227" s="481">
        <v>132669</v>
      </c>
      <c r="AH227" s="481">
        <v>110988</v>
      </c>
      <c r="AI227">
        <v>33</v>
      </c>
      <c r="AJ227" s="385">
        <v>1208981073</v>
      </c>
      <c r="AK227" s="385">
        <v>1850</v>
      </c>
      <c r="AL227" s="385">
        <v>0</v>
      </c>
      <c r="AM227" s="287">
        <v>0</v>
      </c>
      <c r="AN227" s="542">
        <v>330000</v>
      </c>
      <c r="AO227" s="549">
        <v>0.17</v>
      </c>
      <c r="AP227" s="385">
        <v>7464</v>
      </c>
      <c r="AQ227" s="385">
        <v>7523</v>
      </c>
      <c r="AR227" s="481">
        <v>26253</v>
      </c>
      <c r="AS227" s="481">
        <v>22394</v>
      </c>
      <c r="AT227" s="617"/>
      <c r="AU227" s="618">
        <v>0</v>
      </c>
      <c r="AV227" s="618">
        <v>0</v>
      </c>
      <c r="AW227" s="620"/>
      <c r="AX227" s="620"/>
      <c r="AY227" s="625"/>
      <c r="AZ227" s="626"/>
      <c r="BA227" s="624"/>
      <c r="BB227" s="673">
        <v>1348305</v>
      </c>
      <c r="BC227" s="781">
        <v>4.9000000000000002E-2</v>
      </c>
      <c r="BD227" s="790">
        <v>30</v>
      </c>
      <c r="BE227" s="673">
        <v>187093.93</v>
      </c>
    </row>
    <row r="228" spans="1:57" x14ac:dyDescent="0.2">
      <c r="A228" s="390">
        <v>10</v>
      </c>
      <c r="B228" s="551" t="s">
        <v>303</v>
      </c>
      <c r="C228" t="s">
        <v>1253</v>
      </c>
      <c r="D228" s="406">
        <v>218</v>
      </c>
      <c r="E228" s="560">
        <v>6603</v>
      </c>
      <c r="F228" s="561">
        <v>703.01</v>
      </c>
      <c r="G228" s="561">
        <v>72.22</v>
      </c>
      <c r="H228" s="561">
        <v>70.23</v>
      </c>
      <c r="I228" s="561">
        <v>319.72000000000003</v>
      </c>
      <c r="J228" s="561">
        <v>13.68</v>
      </c>
      <c r="K228" s="561">
        <v>10.89</v>
      </c>
      <c r="L228" s="561">
        <v>5.48</v>
      </c>
      <c r="M228" s="343">
        <v>0</v>
      </c>
      <c r="N228" s="477">
        <v>22.12</v>
      </c>
      <c r="O228" s="477">
        <v>1.3340000000000001</v>
      </c>
      <c r="P228" s="407">
        <v>0</v>
      </c>
      <c r="Q228" s="477">
        <v>0</v>
      </c>
      <c r="R228" s="483">
        <v>1607170</v>
      </c>
      <c r="S228" s="483">
        <v>171113</v>
      </c>
      <c r="T228" s="483">
        <v>17578</v>
      </c>
      <c r="U228" s="483">
        <v>17094</v>
      </c>
      <c r="V228" s="483">
        <v>77820</v>
      </c>
      <c r="W228" s="483">
        <v>77994</v>
      </c>
      <c r="X228" s="483">
        <v>508</v>
      </c>
      <c r="Y228" s="483">
        <v>9</v>
      </c>
      <c r="Z228" s="406">
        <v>0</v>
      </c>
      <c r="AA228" s="483">
        <v>7287</v>
      </c>
      <c r="AB228" s="483">
        <v>848</v>
      </c>
      <c r="AC228" s="385">
        <v>4922</v>
      </c>
      <c r="AD228" s="545">
        <v>5.4</v>
      </c>
      <c r="AE228" s="483">
        <v>9202</v>
      </c>
      <c r="AF228" s="483">
        <v>9168</v>
      </c>
      <c r="AG228" s="481">
        <v>2896</v>
      </c>
      <c r="AH228" s="481">
        <v>2896</v>
      </c>
      <c r="AI228">
        <v>3.5</v>
      </c>
      <c r="AJ228" s="385">
        <v>99325334</v>
      </c>
      <c r="AK228" s="385">
        <v>8371</v>
      </c>
      <c r="AL228" s="385">
        <v>0</v>
      </c>
      <c r="AM228" s="287">
        <v>0</v>
      </c>
      <c r="AN228" s="542">
        <v>330000</v>
      </c>
      <c r="AO228" s="549">
        <v>0.17</v>
      </c>
      <c r="AP228" s="385">
        <v>5423</v>
      </c>
      <c r="AQ228" s="385">
        <v>5403</v>
      </c>
      <c r="AR228" s="481">
        <v>1707</v>
      </c>
      <c r="AS228" s="481">
        <v>1716</v>
      </c>
      <c r="AT228" s="617"/>
      <c r="AU228" s="618">
        <v>0</v>
      </c>
      <c r="AV228" s="618">
        <v>0</v>
      </c>
      <c r="AW228" s="620"/>
      <c r="AX228" s="620"/>
      <c r="AY228" s="625"/>
      <c r="AZ228" s="626"/>
      <c r="BA228" s="624"/>
      <c r="BB228" s="673">
        <v>591135</v>
      </c>
      <c r="BC228" s="781">
        <v>0.05</v>
      </c>
      <c r="BD228" s="790">
        <v>53</v>
      </c>
      <c r="BE228" s="673">
        <v>9040</v>
      </c>
    </row>
    <row r="229" spans="1:57" x14ac:dyDescent="0.2">
      <c r="A229" s="390">
        <v>13</v>
      </c>
      <c r="B229" s="551" t="s">
        <v>304</v>
      </c>
      <c r="C229" t="s">
        <v>1254</v>
      </c>
      <c r="D229" s="406">
        <v>192</v>
      </c>
      <c r="E229" s="560">
        <v>6591</v>
      </c>
      <c r="F229" s="561">
        <v>715.87</v>
      </c>
      <c r="G229" s="561">
        <v>79.600000000000009</v>
      </c>
      <c r="H229" s="561">
        <v>53.89</v>
      </c>
      <c r="I229" s="561">
        <v>319.72000000000003</v>
      </c>
      <c r="J229" s="561">
        <v>9.36</v>
      </c>
      <c r="K229" s="561">
        <v>7.26</v>
      </c>
      <c r="L229" s="561">
        <v>2.74</v>
      </c>
      <c r="M229" s="343">
        <v>0</v>
      </c>
      <c r="N229" s="477">
        <v>11.33</v>
      </c>
      <c r="O229" s="477">
        <v>1.111</v>
      </c>
      <c r="P229" s="407">
        <v>0</v>
      </c>
      <c r="Q229" s="477">
        <v>0</v>
      </c>
      <c r="R229" s="483">
        <v>1278654</v>
      </c>
      <c r="S229" s="483">
        <v>138879</v>
      </c>
      <c r="T229" s="483">
        <v>15442</v>
      </c>
      <c r="U229" s="483">
        <v>10455</v>
      </c>
      <c r="V229" s="483">
        <v>62026</v>
      </c>
      <c r="W229" s="483">
        <v>63123</v>
      </c>
      <c r="X229" s="483">
        <v>9643</v>
      </c>
      <c r="Y229" s="483">
        <v>8</v>
      </c>
      <c r="Z229" s="406">
        <v>0</v>
      </c>
      <c r="AA229" s="483">
        <v>6481</v>
      </c>
      <c r="AB229" s="483">
        <v>691</v>
      </c>
      <c r="AC229" s="385">
        <v>4788</v>
      </c>
      <c r="AD229" s="545">
        <v>5.4</v>
      </c>
      <c r="AE229" s="483">
        <v>51234</v>
      </c>
      <c r="AF229" s="483">
        <v>52323</v>
      </c>
      <c r="AG229" s="481">
        <v>1989</v>
      </c>
      <c r="AH229" s="481">
        <v>1989</v>
      </c>
      <c r="AI229">
        <v>5</v>
      </c>
      <c r="AJ229" s="385">
        <v>124632045</v>
      </c>
      <c r="AK229" s="385">
        <v>0</v>
      </c>
      <c r="AL229" s="385">
        <v>0</v>
      </c>
      <c r="AM229" s="287">
        <v>0</v>
      </c>
      <c r="AN229" s="542">
        <v>330000</v>
      </c>
      <c r="AO229" s="549">
        <v>0.17</v>
      </c>
      <c r="AP229" s="385">
        <v>21573</v>
      </c>
      <c r="AQ229" s="385">
        <v>22031</v>
      </c>
      <c r="AR229" s="481">
        <v>837</v>
      </c>
      <c r="AS229" s="481">
        <v>840</v>
      </c>
      <c r="AT229" s="617"/>
      <c r="AU229" s="618">
        <v>0</v>
      </c>
      <c r="AV229" s="618">
        <v>29948</v>
      </c>
      <c r="AW229" s="620"/>
      <c r="AX229" s="620"/>
      <c r="AY229" s="625"/>
      <c r="AZ229" s="626"/>
      <c r="BA229" s="624"/>
      <c r="BB229" s="673">
        <v>349793</v>
      </c>
      <c r="BC229" s="781">
        <v>0.05</v>
      </c>
      <c r="BD229" s="790">
        <v>1</v>
      </c>
      <c r="BE229" s="673">
        <v>4555.96</v>
      </c>
    </row>
    <row r="230" spans="1:57" x14ac:dyDescent="0.2">
      <c r="A230" s="390">
        <v>7</v>
      </c>
      <c r="B230" s="551" t="s">
        <v>305</v>
      </c>
      <c r="C230" t="s">
        <v>1255</v>
      </c>
      <c r="D230" s="406">
        <v>920.5</v>
      </c>
      <c r="E230" s="560">
        <v>6648</v>
      </c>
      <c r="F230" s="561">
        <v>568.34</v>
      </c>
      <c r="G230" s="561">
        <v>64.61</v>
      </c>
      <c r="H230" s="561">
        <v>60.42</v>
      </c>
      <c r="I230" s="561">
        <v>319.72000000000003</v>
      </c>
      <c r="J230" s="561">
        <v>38.879999999999995</v>
      </c>
      <c r="K230" s="561">
        <v>26.62</v>
      </c>
      <c r="L230" s="561">
        <v>16.439999999999998</v>
      </c>
      <c r="M230" s="343">
        <v>0</v>
      </c>
      <c r="N230" s="477">
        <v>2.35</v>
      </c>
      <c r="O230" s="477">
        <v>3.7690000000000001</v>
      </c>
      <c r="P230" s="407">
        <v>1.1000000000000001</v>
      </c>
      <c r="Q230" s="477">
        <v>0</v>
      </c>
      <c r="R230" s="483">
        <v>6348840</v>
      </c>
      <c r="S230" s="483">
        <v>542765</v>
      </c>
      <c r="T230" s="483">
        <v>61703</v>
      </c>
      <c r="U230" s="483">
        <v>57701</v>
      </c>
      <c r="V230" s="483">
        <v>305333</v>
      </c>
      <c r="W230" s="483">
        <v>307417</v>
      </c>
      <c r="X230" s="483">
        <v>0</v>
      </c>
      <c r="Y230" s="483">
        <v>0</v>
      </c>
      <c r="Z230" s="406">
        <v>0</v>
      </c>
      <c r="AA230" s="483">
        <v>38980</v>
      </c>
      <c r="AB230" s="483">
        <v>4479</v>
      </c>
      <c r="AC230" s="385">
        <v>16020</v>
      </c>
      <c r="AD230" s="545">
        <v>5.4</v>
      </c>
      <c r="AE230" s="483">
        <v>11726</v>
      </c>
      <c r="AF230" s="483">
        <v>11594</v>
      </c>
      <c r="AG230" s="481">
        <v>32320</v>
      </c>
      <c r="AH230" s="481">
        <v>14285</v>
      </c>
      <c r="AI230">
        <v>30</v>
      </c>
      <c r="AJ230" s="385">
        <v>316337670</v>
      </c>
      <c r="AK230" s="385">
        <v>54682</v>
      </c>
      <c r="AL230" s="385">
        <v>0</v>
      </c>
      <c r="AM230" s="287">
        <v>0</v>
      </c>
      <c r="AN230" s="542">
        <v>330000</v>
      </c>
      <c r="AO230" s="549">
        <v>0.17</v>
      </c>
      <c r="AP230" s="385">
        <v>7557</v>
      </c>
      <c r="AQ230" s="385">
        <v>7472</v>
      </c>
      <c r="AR230" s="481">
        <v>20831</v>
      </c>
      <c r="AS230" s="481">
        <v>9358</v>
      </c>
      <c r="AT230" s="617"/>
      <c r="AU230" s="618">
        <v>41131</v>
      </c>
      <c r="AV230" s="618">
        <v>0</v>
      </c>
      <c r="AW230" s="620"/>
      <c r="AX230" s="620"/>
      <c r="AY230" s="625"/>
      <c r="AZ230" s="626"/>
      <c r="BA230" s="624"/>
      <c r="BB230" s="673">
        <v>426325</v>
      </c>
      <c r="BC230" s="781">
        <v>2.5000000000000001E-2</v>
      </c>
      <c r="BD230" s="790">
        <v>66</v>
      </c>
      <c r="BE230" s="673">
        <v>76854.84</v>
      </c>
    </row>
    <row r="231" spans="1:57" x14ac:dyDescent="0.2">
      <c r="A231" s="390">
        <v>15</v>
      </c>
      <c r="B231" s="551" t="s">
        <v>306</v>
      </c>
      <c r="C231" t="s">
        <v>1256</v>
      </c>
      <c r="D231" s="406">
        <v>2365.1999999999998</v>
      </c>
      <c r="E231" s="560">
        <v>6591</v>
      </c>
      <c r="F231" s="561">
        <v>555.1</v>
      </c>
      <c r="G231" s="561">
        <v>65.23</v>
      </c>
      <c r="H231" s="561">
        <v>72.62</v>
      </c>
      <c r="I231" s="561">
        <v>319.72000000000003</v>
      </c>
      <c r="J231" s="561">
        <v>131.76</v>
      </c>
      <c r="K231" s="561">
        <v>66.569999999999993</v>
      </c>
      <c r="L231" s="561">
        <v>89.050000000000011</v>
      </c>
      <c r="M231" s="343">
        <v>0</v>
      </c>
      <c r="N231" s="477">
        <v>41.57</v>
      </c>
      <c r="O231" s="477">
        <v>13.404</v>
      </c>
      <c r="P231" s="407">
        <v>3.52</v>
      </c>
      <c r="Q231" s="477">
        <v>0</v>
      </c>
      <c r="R231" s="483">
        <v>15630557</v>
      </c>
      <c r="S231" s="483">
        <v>1316420</v>
      </c>
      <c r="T231" s="483">
        <v>154693</v>
      </c>
      <c r="U231" s="483">
        <v>172218</v>
      </c>
      <c r="V231" s="483">
        <v>758216</v>
      </c>
      <c r="W231" s="483">
        <v>759135</v>
      </c>
      <c r="X231" s="483">
        <v>14672</v>
      </c>
      <c r="Y231" s="483">
        <v>163</v>
      </c>
      <c r="Z231" s="406">
        <v>0</v>
      </c>
      <c r="AA231" s="483">
        <v>76046</v>
      </c>
      <c r="AB231" s="483">
        <v>8250</v>
      </c>
      <c r="AC231" s="385">
        <v>38626</v>
      </c>
      <c r="AD231" s="545">
        <v>5.4</v>
      </c>
      <c r="AE231" s="483">
        <v>134152</v>
      </c>
      <c r="AF231" s="483">
        <v>137797</v>
      </c>
      <c r="AG231" s="481">
        <v>64110</v>
      </c>
      <c r="AH231" s="481">
        <v>64549</v>
      </c>
      <c r="AI231">
        <v>78.5</v>
      </c>
      <c r="AJ231" s="385">
        <v>596640895</v>
      </c>
      <c r="AK231" s="385">
        <v>39404</v>
      </c>
      <c r="AL231" s="385">
        <v>0</v>
      </c>
      <c r="AM231" s="287">
        <v>0</v>
      </c>
      <c r="AN231" s="542">
        <v>330000</v>
      </c>
      <c r="AO231" s="549">
        <v>0.17</v>
      </c>
      <c r="AP231" s="385">
        <v>126635</v>
      </c>
      <c r="AQ231" s="385">
        <v>130075</v>
      </c>
      <c r="AR231" s="481">
        <v>60517</v>
      </c>
      <c r="AS231" s="481">
        <v>61973</v>
      </c>
      <c r="AT231" s="617"/>
      <c r="AU231" s="618">
        <v>0</v>
      </c>
      <c r="AV231" s="618">
        <v>389081</v>
      </c>
      <c r="AW231" s="620"/>
      <c r="AX231" s="620"/>
      <c r="AY231" s="625"/>
      <c r="AZ231" s="626"/>
      <c r="BA231" s="624"/>
      <c r="BB231" s="673">
        <v>2802672</v>
      </c>
      <c r="BC231" s="781">
        <v>0.05</v>
      </c>
      <c r="BD231" s="790">
        <v>62</v>
      </c>
      <c r="BE231" s="673">
        <v>177710.78</v>
      </c>
    </row>
    <row r="232" spans="1:57" x14ac:dyDescent="0.2">
      <c r="A232" s="390">
        <v>15</v>
      </c>
      <c r="B232" s="551" t="s">
        <v>307</v>
      </c>
      <c r="C232" t="s">
        <v>1257</v>
      </c>
      <c r="D232" s="406">
        <v>4643.2</v>
      </c>
      <c r="E232" s="560">
        <v>6591</v>
      </c>
      <c r="F232" s="561">
        <v>547.85</v>
      </c>
      <c r="G232" s="561">
        <v>62.120000000000005</v>
      </c>
      <c r="H232" s="561">
        <v>79.14</v>
      </c>
      <c r="I232" s="561">
        <v>319.72000000000003</v>
      </c>
      <c r="J232" s="561">
        <v>213.84</v>
      </c>
      <c r="K232" s="561">
        <v>154.35</v>
      </c>
      <c r="L232" s="561">
        <v>164.4</v>
      </c>
      <c r="M232" s="343">
        <v>0</v>
      </c>
      <c r="N232" s="477">
        <v>37.159999999999997</v>
      </c>
      <c r="O232" s="477">
        <v>23.690999999999999</v>
      </c>
      <c r="P232" s="407">
        <v>105.16</v>
      </c>
      <c r="Q232" s="477">
        <v>0</v>
      </c>
      <c r="R232" s="483">
        <v>30469534</v>
      </c>
      <c r="S232" s="483">
        <v>2532656</v>
      </c>
      <c r="T232" s="483">
        <v>287175</v>
      </c>
      <c r="U232" s="483">
        <v>365856</v>
      </c>
      <c r="V232" s="483">
        <v>1478034</v>
      </c>
      <c r="W232" s="483">
        <v>1476983</v>
      </c>
      <c r="X232" s="483">
        <v>0</v>
      </c>
      <c r="Y232" s="483">
        <v>69</v>
      </c>
      <c r="Z232" s="406">
        <v>0</v>
      </c>
      <c r="AA232" s="483">
        <v>147956</v>
      </c>
      <c r="AB232" s="483">
        <v>16051</v>
      </c>
      <c r="AC232" s="385">
        <v>72129</v>
      </c>
      <c r="AD232" s="545">
        <v>5.4</v>
      </c>
      <c r="AE232" s="483">
        <v>125831</v>
      </c>
      <c r="AF232" s="483">
        <v>126216</v>
      </c>
      <c r="AG232" s="481">
        <v>156017</v>
      </c>
      <c r="AH232" s="481">
        <v>154646</v>
      </c>
      <c r="AI232">
        <v>102.5</v>
      </c>
      <c r="AJ232" s="385">
        <v>814098352</v>
      </c>
      <c r="AK232" s="385">
        <v>53035</v>
      </c>
      <c r="AL232" s="385">
        <v>0</v>
      </c>
      <c r="AM232" s="287">
        <v>0</v>
      </c>
      <c r="AN232" s="542">
        <v>330000</v>
      </c>
      <c r="AO232" s="549">
        <v>0.17</v>
      </c>
      <c r="AP232" s="385">
        <v>94945</v>
      </c>
      <c r="AQ232" s="385">
        <v>95236</v>
      </c>
      <c r="AR232" s="481">
        <v>117723</v>
      </c>
      <c r="AS232" s="481">
        <v>120146</v>
      </c>
      <c r="AT232" s="617"/>
      <c r="AU232" s="618">
        <v>0</v>
      </c>
      <c r="AV232" s="618">
        <v>0</v>
      </c>
      <c r="AW232" s="620"/>
      <c r="AX232" s="620"/>
      <c r="AY232" s="625">
        <v>1</v>
      </c>
      <c r="AZ232" s="626">
        <v>-0.22</v>
      </c>
      <c r="BA232" s="624"/>
      <c r="BB232" s="673">
        <v>2567806</v>
      </c>
      <c r="BC232" s="781">
        <v>2.5000000000000001E-2</v>
      </c>
      <c r="BD232" s="790">
        <v>90</v>
      </c>
      <c r="BE232" s="673">
        <v>423823</v>
      </c>
    </row>
    <row r="233" spans="1:57" x14ac:dyDescent="0.2">
      <c r="A233" s="390">
        <v>11</v>
      </c>
      <c r="B233" s="551" t="s">
        <v>308</v>
      </c>
      <c r="C233" t="s">
        <v>1258</v>
      </c>
      <c r="D233" s="406">
        <v>722.9</v>
      </c>
      <c r="E233" s="560">
        <v>6591</v>
      </c>
      <c r="F233" s="561">
        <v>554.75</v>
      </c>
      <c r="G233" s="561">
        <v>54.67</v>
      </c>
      <c r="H233" s="561">
        <v>57.769999999999996</v>
      </c>
      <c r="I233" s="561">
        <v>319.72000000000003</v>
      </c>
      <c r="J233" s="561">
        <v>40.32</v>
      </c>
      <c r="K233" s="561">
        <v>26.02</v>
      </c>
      <c r="L233" s="561">
        <v>9.59</v>
      </c>
      <c r="M233" s="343">
        <v>0</v>
      </c>
      <c r="N233" s="477">
        <v>6.09</v>
      </c>
      <c r="O233" s="477">
        <v>3.1459999999999999</v>
      </c>
      <c r="P233" s="407">
        <v>0.88</v>
      </c>
      <c r="Q233" s="477">
        <v>0</v>
      </c>
      <c r="R233" s="483">
        <v>4804839</v>
      </c>
      <c r="S233" s="483">
        <v>404413</v>
      </c>
      <c r="T233" s="483">
        <v>39854</v>
      </c>
      <c r="U233" s="483">
        <v>42114</v>
      </c>
      <c r="V233" s="483">
        <v>233076</v>
      </c>
      <c r="W233" s="483">
        <v>226313</v>
      </c>
      <c r="X233" s="483">
        <v>0</v>
      </c>
      <c r="Y233" s="483">
        <v>4</v>
      </c>
      <c r="Z233" s="406">
        <v>0</v>
      </c>
      <c r="AA233" s="483">
        <v>18648</v>
      </c>
      <c r="AB233" s="483">
        <v>2370</v>
      </c>
      <c r="AC233" s="385">
        <v>10896</v>
      </c>
      <c r="AD233" s="545">
        <v>5.4</v>
      </c>
      <c r="AE233" s="483">
        <v>23674</v>
      </c>
      <c r="AF233" s="483">
        <v>23927</v>
      </c>
      <c r="AG233" s="481">
        <v>17765</v>
      </c>
      <c r="AH233" s="481">
        <v>14754</v>
      </c>
      <c r="AI233">
        <v>14</v>
      </c>
      <c r="AJ233" s="385">
        <v>338760539</v>
      </c>
      <c r="AK233" s="385">
        <v>0</v>
      </c>
      <c r="AL233" s="385">
        <v>0</v>
      </c>
      <c r="AM233" s="287">
        <v>0</v>
      </c>
      <c r="AN233" s="542">
        <v>330000</v>
      </c>
      <c r="AO233" s="549">
        <v>0.17</v>
      </c>
      <c r="AP233" s="385">
        <v>12454</v>
      </c>
      <c r="AQ233" s="385">
        <v>12587</v>
      </c>
      <c r="AR233" s="481">
        <v>9346</v>
      </c>
      <c r="AS233" s="481">
        <v>7831</v>
      </c>
      <c r="AT233" s="617"/>
      <c r="AU233" s="618">
        <v>66761</v>
      </c>
      <c r="AV233" s="618">
        <v>0</v>
      </c>
      <c r="AW233" s="620"/>
      <c r="AX233" s="620"/>
      <c r="AY233" s="625"/>
      <c r="AZ233" s="626"/>
      <c r="BA233" s="624"/>
      <c r="BB233" s="673">
        <v>465074</v>
      </c>
      <c r="BC233" s="781">
        <v>0.05</v>
      </c>
      <c r="BD233" s="790">
        <v>39</v>
      </c>
      <c r="BE233" s="673">
        <v>42378.05</v>
      </c>
    </row>
    <row r="234" spans="1:57" x14ac:dyDescent="0.2">
      <c r="A234" s="390">
        <v>5</v>
      </c>
      <c r="B234" s="551" t="s">
        <v>309</v>
      </c>
      <c r="C234" t="s">
        <v>1259</v>
      </c>
      <c r="D234" s="406">
        <v>194.3</v>
      </c>
      <c r="E234" s="560">
        <v>6758</v>
      </c>
      <c r="F234" s="561">
        <v>586.17999999999995</v>
      </c>
      <c r="G234" s="561">
        <v>51.84</v>
      </c>
      <c r="H234" s="561">
        <v>70.400000000000006</v>
      </c>
      <c r="I234" s="561">
        <v>319.72000000000003</v>
      </c>
      <c r="J234" s="561">
        <v>5.76</v>
      </c>
      <c r="K234" s="561">
        <v>2.42</v>
      </c>
      <c r="L234" s="561">
        <v>5.48</v>
      </c>
      <c r="M234" s="343">
        <v>0.61</v>
      </c>
      <c r="N234" s="477">
        <v>30.6</v>
      </c>
      <c r="O234" s="477">
        <v>0.99399999999999999</v>
      </c>
      <c r="P234" s="407">
        <v>0</v>
      </c>
      <c r="Q234" s="477">
        <v>0</v>
      </c>
      <c r="R234" s="483">
        <v>1338084</v>
      </c>
      <c r="S234" s="483">
        <v>116064</v>
      </c>
      <c r="T234" s="483">
        <v>10264</v>
      </c>
      <c r="U234" s="483">
        <v>13939</v>
      </c>
      <c r="V234" s="483">
        <v>63305</v>
      </c>
      <c r="W234" s="483">
        <v>63795</v>
      </c>
      <c r="X234" s="483">
        <v>1806</v>
      </c>
      <c r="Y234" s="483">
        <v>0</v>
      </c>
      <c r="Z234" s="406">
        <v>0</v>
      </c>
      <c r="AA234" s="483">
        <v>6788</v>
      </c>
      <c r="AB234" s="483">
        <v>809</v>
      </c>
      <c r="AC234" s="385">
        <v>3463</v>
      </c>
      <c r="AD234" s="545">
        <v>5.4</v>
      </c>
      <c r="AE234" s="483">
        <v>8170</v>
      </c>
      <c r="AF234" s="483">
        <v>8222</v>
      </c>
      <c r="AG234" s="481">
        <v>9275</v>
      </c>
      <c r="AH234" s="481">
        <v>9275</v>
      </c>
      <c r="AI234">
        <v>4.5</v>
      </c>
      <c r="AJ234" s="385">
        <v>114107628</v>
      </c>
      <c r="AK234" s="385">
        <v>10503</v>
      </c>
      <c r="AL234" s="385">
        <v>0</v>
      </c>
      <c r="AM234" s="287">
        <v>0</v>
      </c>
      <c r="AN234" s="542">
        <v>330000</v>
      </c>
      <c r="AO234" s="549">
        <v>0.17</v>
      </c>
      <c r="AP234" s="385">
        <v>4414</v>
      </c>
      <c r="AQ234" s="385">
        <v>4442</v>
      </c>
      <c r="AR234" s="481">
        <v>5011</v>
      </c>
      <c r="AS234" s="481">
        <v>5084</v>
      </c>
      <c r="AT234" s="617"/>
      <c r="AU234" s="618">
        <v>0</v>
      </c>
      <c r="AV234" s="618">
        <v>25795</v>
      </c>
      <c r="AW234" s="620"/>
      <c r="AX234" s="620"/>
      <c r="AY234" s="625"/>
      <c r="AZ234" s="626"/>
      <c r="BA234" s="624"/>
      <c r="BB234" s="673">
        <v>15042</v>
      </c>
      <c r="BC234" s="781">
        <v>0.05</v>
      </c>
      <c r="BD234" s="790">
        <v>37</v>
      </c>
      <c r="BE234" s="673">
        <v>18284.080000000002</v>
      </c>
    </row>
    <row r="235" spans="1:57" x14ac:dyDescent="0.2">
      <c r="A235" s="390">
        <v>11</v>
      </c>
      <c r="B235" s="551" t="s">
        <v>318</v>
      </c>
      <c r="C235" t="s">
        <v>648</v>
      </c>
      <c r="D235" s="406">
        <v>1046.8</v>
      </c>
      <c r="E235" s="560">
        <v>6591</v>
      </c>
      <c r="F235" s="561">
        <v>553.58000000000004</v>
      </c>
      <c r="G235" s="561">
        <v>59.49</v>
      </c>
      <c r="H235" s="561">
        <v>60.87</v>
      </c>
      <c r="I235" s="561">
        <v>319.72000000000003</v>
      </c>
      <c r="J235" s="561">
        <v>34.56</v>
      </c>
      <c r="K235" s="561">
        <v>32.67</v>
      </c>
      <c r="L235" s="561">
        <v>16.439999999999998</v>
      </c>
      <c r="M235" s="343">
        <v>0</v>
      </c>
      <c r="N235" s="477">
        <v>4.8600000000000003</v>
      </c>
      <c r="O235" s="477">
        <v>4.0909999999999993</v>
      </c>
      <c r="P235" s="407">
        <v>0.22</v>
      </c>
      <c r="Q235" s="477">
        <v>0</v>
      </c>
      <c r="R235" s="483">
        <v>7045120</v>
      </c>
      <c r="S235" s="483">
        <v>591722</v>
      </c>
      <c r="T235" s="483">
        <v>63589</v>
      </c>
      <c r="U235" s="483">
        <v>65064</v>
      </c>
      <c r="V235" s="483">
        <v>341749</v>
      </c>
      <c r="W235" s="483">
        <v>326259</v>
      </c>
      <c r="X235" s="483">
        <v>0</v>
      </c>
      <c r="Y235" s="483">
        <v>17</v>
      </c>
      <c r="Z235" s="406">
        <v>0</v>
      </c>
      <c r="AA235" s="483">
        <v>26883</v>
      </c>
      <c r="AB235" s="483">
        <v>3417</v>
      </c>
      <c r="AC235" s="385">
        <v>15042</v>
      </c>
      <c r="AD235" s="545">
        <v>5.4</v>
      </c>
      <c r="AE235" s="483">
        <v>65338</v>
      </c>
      <c r="AF235" s="483">
        <v>67005</v>
      </c>
      <c r="AG235" s="481">
        <v>12550</v>
      </c>
      <c r="AH235" s="481">
        <v>11262</v>
      </c>
      <c r="AI235">
        <v>28.5</v>
      </c>
      <c r="AJ235" s="385">
        <v>260055964</v>
      </c>
      <c r="AK235" s="385">
        <v>0</v>
      </c>
      <c r="AL235" s="385">
        <v>0</v>
      </c>
      <c r="AM235" s="287">
        <v>0</v>
      </c>
      <c r="AN235" s="542">
        <v>330000</v>
      </c>
      <c r="AO235" s="549">
        <v>0.17</v>
      </c>
      <c r="AP235" s="385">
        <v>50227</v>
      </c>
      <c r="AQ235" s="385">
        <v>51509</v>
      </c>
      <c r="AR235" s="481">
        <v>9648</v>
      </c>
      <c r="AS235" s="481">
        <v>8727</v>
      </c>
      <c r="AT235" s="617"/>
      <c r="AU235" s="618">
        <v>93400</v>
      </c>
      <c r="AV235" s="618">
        <v>0</v>
      </c>
      <c r="AW235" s="620"/>
      <c r="AX235" s="620"/>
      <c r="AY235" s="625">
        <v>-0.1</v>
      </c>
      <c r="AZ235" s="626"/>
      <c r="BA235" s="624"/>
      <c r="BB235" s="673">
        <v>622152</v>
      </c>
      <c r="BC235" s="781">
        <v>3.4000000000000002E-2</v>
      </c>
      <c r="BD235" s="790">
        <v>50</v>
      </c>
      <c r="BE235" s="673">
        <v>34878.269999999997</v>
      </c>
    </row>
    <row r="236" spans="1:57" x14ac:dyDescent="0.2">
      <c r="A236" s="390">
        <v>15</v>
      </c>
      <c r="B236" s="551" t="s">
        <v>311</v>
      </c>
      <c r="C236" t="s">
        <v>1260</v>
      </c>
      <c r="D236" s="406">
        <v>615.5</v>
      </c>
      <c r="E236" s="560">
        <v>6591</v>
      </c>
      <c r="F236" s="561">
        <v>565.83000000000004</v>
      </c>
      <c r="G236" s="561">
        <v>63.59</v>
      </c>
      <c r="H236" s="561">
        <v>65.490000000000009</v>
      </c>
      <c r="I236" s="561">
        <v>319.72000000000003</v>
      </c>
      <c r="J236" s="561">
        <v>40.32</v>
      </c>
      <c r="K236" s="561">
        <v>17.55</v>
      </c>
      <c r="L236" s="561">
        <v>10.96</v>
      </c>
      <c r="M236" s="343">
        <v>0</v>
      </c>
      <c r="N236" s="477">
        <v>25.71</v>
      </c>
      <c r="O236" s="477">
        <v>1.631</v>
      </c>
      <c r="P236" s="407">
        <v>0</v>
      </c>
      <c r="Q236" s="477">
        <v>0</v>
      </c>
      <c r="R236" s="483">
        <v>4206376</v>
      </c>
      <c r="S236" s="483">
        <v>361113</v>
      </c>
      <c r="T236" s="483">
        <v>40583</v>
      </c>
      <c r="U236" s="483">
        <v>41796</v>
      </c>
      <c r="V236" s="483">
        <v>204045</v>
      </c>
      <c r="W236" s="483">
        <v>202606</v>
      </c>
      <c r="X236" s="483">
        <v>0</v>
      </c>
      <c r="Y236" s="483">
        <v>0</v>
      </c>
      <c r="Z236" s="406">
        <v>0</v>
      </c>
      <c r="AA236" s="483">
        <v>20296</v>
      </c>
      <c r="AB236" s="483">
        <v>2202</v>
      </c>
      <c r="AC236" s="385">
        <v>11098</v>
      </c>
      <c r="AD236" s="545">
        <v>5.4</v>
      </c>
      <c r="AE236" s="483">
        <v>31257</v>
      </c>
      <c r="AF236" s="483">
        <v>31043</v>
      </c>
      <c r="AG236" s="481">
        <v>12475</v>
      </c>
      <c r="AH236" s="481">
        <v>12475</v>
      </c>
      <c r="AI236">
        <v>23</v>
      </c>
      <c r="AJ236" s="385">
        <v>247751996</v>
      </c>
      <c r="AK236" s="385">
        <v>29529</v>
      </c>
      <c r="AL236" s="385">
        <v>0</v>
      </c>
      <c r="AM236" s="287">
        <v>0</v>
      </c>
      <c r="AN236" s="542">
        <v>330000</v>
      </c>
      <c r="AO236" s="549">
        <v>0.17</v>
      </c>
      <c r="AP236" s="385">
        <v>16414</v>
      </c>
      <c r="AQ236" s="385">
        <v>16302</v>
      </c>
      <c r="AR236" s="481">
        <v>6551</v>
      </c>
      <c r="AS236" s="481">
        <v>6608</v>
      </c>
      <c r="AT236" s="617"/>
      <c r="AU236" s="618">
        <v>0</v>
      </c>
      <c r="AV236" s="618">
        <v>0</v>
      </c>
      <c r="AW236" s="620"/>
      <c r="AX236" s="620"/>
      <c r="AY236" s="625"/>
      <c r="AZ236" s="626"/>
      <c r="BA236" s="624"/>
      <c r="BB236" s="673">
        <v>162104</v>
      </c>
      <c r="BC236" s="781">
        <v>0.05</v>
      </c>
      <c r="BD236" s="790">
        <v>54</v>
      </c>
      <c r="BE236" s="673">
        <v>26267.43</v>
      </c>
    </row>
    <row r="237" spans="1:57" x14ac:dyDescent="0.2">
      <c r="A237" s="390">
        <v>11</v>
      </c>
      <c r="B237" s="551" t="s">
        <v>312</v>
      </c>
      <c r="C237" t="s">
        <v>1261</v>
      </c>
      <c r="D237" s="406">
        <v>2157.6</v>
      </c>
      <c r="E237" s="560">
        <v>6591</v>
      </c>
      <c r="F237" s="561">
        <v>539.45000000000005</v>
      </c>
      <c r="G237" s="561">
        <v>57.910000000000004</v>
      </c>
      <c r="H237" s="561">
        <v>62.31</v>
      </c>
      <c r="I237" s="561">
        <v>319.72000000000003</v>
      </c>
      <c r="J237" s="561">
        <v>87.11999999999999</v>
      </c>
      <c r="K237" s="561">
        <v>59.34</v>
      </c>
      <c r="L237" s="561">
        <v>56.169999999999995</v>
      </c>
      <c r="M237" s="343">
        <v>0</v>
      </c>
      <c r="N237" s="477">
        <v>61.99</v>
      </c>
      <c r="O237" s="477">
        <v>7.2829999999999995</v>
      </c>
      <c r="P237" s="407">
        <v>3.08</v>
      </c>
      <c r="Q237" s="477">
        <v>0</v>
      </c>
      <c r="R237" s="483">
        <v>14108036</v>
      </c>
      <c r="S237" s="483">
        <v>1154693</v>
      </c>
      <c r="T237" s="483">
        <v>123956</v>
      </c>
      <c r="U237" s="483">
        <v>133375</v>
      </c>
      <c r="V237" s="483">
        <v>684361</v>
      </c>
      <c r="W237" s="483">
        <v>663278</v>
      </c>
      <c r="X237" s="483">
        <v>0</v>
      </c>
      <c r="Y237" s="483">
        <v>608</v>
      </c>
      <c r="Z237" s="406">
        <v>2.6</v>
      </c>
      <c r="AA237" s="483">
        <v>54653</v>
      </c>
      <c r="AB237" s="483">
        <v>6946</v>
      </c>
      <c r="AC237" s="385">
        <v>31479</v>
      </c>
      <c r="AD237" s="545">
        <v>5.4</v>
      </c>
      <c r="AE237" s="483">
        <v>34479</v>
      </c>
      <c r="AF237" s="483">
        <v>35406</v>
      </c>
      <c r="AG237" s="481">
        <v>108427</v>
      </c>
      <c r="AH237" s="481">
        <v>88634</v>
      </c>
      <c r="AI237">
        <v>55.5</v>
      </c>
      <c r="AJ237" s="385">
        <v>785881761</v>
      </c>
      <c r="AK237" s="385">
        <v>23247</v>
      </c>
      <c r="AL237" s="385">
        <v>0</v>
      </c>
      <c r="AM237" s="287">
        <v>0</v>
      </c>
      <c r="AN237" s="542">
        <v>330000</v>
      </c>
      <c r="AO237" s="549">
        <v>0.17</v>
      </c>
      <c r="AP237" s="385">
        <v>20139</v>
      </c>
      <c r="AQ237" s="385">
        <v>20681</v>
      </c>
      <c r="AR237" s="481">
        <v>63334</v>
      </c>
      <c r="AS237" s="481">
        <v>53028</v>
      </c>
      <c r="AT237" s="617"/>
      <c r="AU237" s="618">
        <v>90862</v>
      </c>
      <c r="AV237" s="618">
        <v>0</v>
      </c>
      <c r="AW237" s="620"/>
      <c r="AX237" s="620"/>
      <c r="AY237" s="625"/>
      <c r="AZ237" s="626"/>
      <c r="BA237" s="624"/>
      <c r="BB237" s="673">
        <v>2810597</v>
      </c>
      <c r="BC237" s="781">
        <v>2.5000000000000001E-2</v>
      </c>
      <c r="BD237" s="790">
        <v>63</v>
      </c>
      <c r="BE237" s="673">
        <v>304933.76000000001</v>
      </c>
    </row>
    <row r="238" spans="1:57" x14ac:dyDescent="0.2">
      <c r="A238" s="390">
        <v>11</v>
      </c>
      <c r="B238" s="551" t="s">
        <v>313</v>
      </c>
      <c r="C238" t="s">
        <v>1262</v>
      </c>
      <c r="D238" s="406">
        <v>1834.8</v>
      </c>
      <c r="E238" s="560">
        <v>6592</v>
      </c>
      <c r="F238" s="561">
        <v>579.91</v>
      </c>
      <c r="G238" s="561">
        <v>63.04</v>
      </c>
      <c r="H238" s="561">
        <v>86.240000000000009</v>
      </c>
      <c r="I238" s="561">
        <v>319.72000000000003</v>
      </c>
      <c r="J238" s="561">
        <v>91.44</v>
      </c>
      <c r="K238" s="561">
        <v>64.16</v>
      </c>
      <c r="L238" s="561">
        <v>64.39</v>
      </c>
      <c r="M238" s="343">
        <v>0</v>
      </c>
      <c r="N238" s="477">
        <v>23.18</v>
      </c>
      <c r="O238" s="477">
        <v>12.472</v>
      </c>
      <c r="P238" s="407">
        <v>69.08</v>
      </c>
      <c r="Q238" s="477">
        <v>0</v>
      </c>
      <c r="R238" s="483">
        <v>11710688</v>
      </c>
      <c r="S238" s="483">
        <v>1030210</v>
      </c>
      <c r="T238" s="483">
        <v>111991</v>
      </c>
      <c r="U238" s="483">
        <v>153205</v>
      </c>
      <c r="V238" s="483">
        <v>567983</v>
      </c>
      <c r="W238" s="483">
        <v>564946</v>
      </c>
      <c r="X238" s="483">
        <v>6003</v>
      </c>
      <c r="Y238" s="483">
        <v>127</v>
      </c>
      <c r="Z238" s="406">
        <v>6.7</v>
      </c>
      <c r="AA238" s="483">
        <v>46551</v>
      </c>
      <c r="AB238" s="483">
        <v>5917</v>
      </c>
      <c r="AC238" s="385">
        <v>26491</v>
      </c>
      <c r="AD238" s="545">
        <v>5.4</v>
      </c>
      <c r="AE238" s="483">
        <v>47959</v>
      </c>
      <c r="AF238" s="483">
        <v>47954</v>
      </c>
      <c r="AG238" s="481">
        <v>34372</v>
      </c>
      <c r="AH238" s="481">
        <v>30409</v>
      </c>
      <c r="AI238">
        <v>46</v>
      </c>
      <c r="AJ238" s="385">
        <v>322195443</v>
      </c>
      <c r="AK238" s="385">
        <v>0</v>
      </c>
      <c r="AL238" s="385">
        <v>0</v>
      </c>
      <c r="AM238" s="287">
        <v>0</v>
      </c>
      <c r="AN238" s="542">
        <v>330000</v>
      </c>
      <c r="AO238" s="549">
        <v>0.17</v>
      </c>
      <c r="AP238" s="385">
        <v>58650</v>
      </c>
      <c r="AQ238" s="385">
        <v>58643</v>
      </c>
      <c r="AR238" s="481">
        <v>42033</v>
      </c>
      <c r="AS238" s="481">
        <v>37723</v>
      </c>
      <c r="AT238" s="617"/>
      <c r="AU238" s="618">
        <v>0</v>
      </c>
      <c r="AV238" s="618">
        <v>228093</v>
      </c>
      <c r="AW238" s="620"/>
      <c r="AX238" s="620"/>
      <c r="AY238" s="625"/>
      <c r="AZ238" s="626">
        <v>-0.88</v>
      </c>
      <c r="BA238" s="624"/>
      <c r="BB238" s="673">
        <v>2095965</v>
      </c>
      <c r="BC238" s="781">
        <v>4.9000000000000002E-2</v>
      </c>
      <c r="BD238" s="790">
        <v>25</v>
      </c>
      <c r="BE238" s="673">
        <v>125282.73</v>
      </c>
    </row>
    <row r="239" spans="1:57" x14ac:dyDescent="0.2">
      <c r="A239" s="390">
        <v>9</v>
      </c>
      <c r="B239" s="551" t="s">
        <v>314</v>
      </c>
      <c r="C239" t="s">
        <v>1263</v>
      </c>
      <c r="D239" s="406">
        <v>4745.5</v>
      </c>
      <c r="E239" s="560">
        <v>6724</v>
      </c>
      <c r="F239" s="561">
        <v>528.45000000000005</v>
      </c>
      <c r="G239" s="561">
        <v>61.010000000000005</v>
      </c>
      <c r="H239" s="561">
        <v>55.28</v>
      </c>
      <c r="I239" s="561">
        <v>319.72000000000003</v>
      </c>
      <c r="J239" s="561">
        <v>123.83999999999999</v>
      </c>
      <c r="K239" s="561">
        <v>81.09</v>
      </c>
      <c r="L239" s="561">
        <v>110.97</v>
      </c>
      <c r="M239" s="343">
        <v>0</v>
      </c>
      <c r="N239" s="477">
        <v>38.43</v>
      </c>
      <c r="O239" s="477">
        <v>12.422999999999998</v>
      </c>
      <c r="P239" s="407">
        <v>23.76</v>
      </c>
      <c r="Q239" s="477">
        <v>0</v>
      </c>
      <c r="R239" s="483">
        <v>30471823</v>
      </c>
      <c r="S239" s="483">
        <v>2394830</v>
      </c>
      <c r="T239" s="483">
        <v>276485</v>
      </c>
      <c r="U239" s="483">
        <v>250518</v>
      </c>
      <c r="V239" s="483">
        <v>1448907</v>
      </c>
      <c r="W239" s="483">
        <v>1401235</v>
      </c>
      <c r="X239" s="483">
        <v>0</v>
      </c>
      <c r="Y239" s="483">
        <v>132</v>
      </c>
      <c r="Z239" s="406">
        <v>0</v>
      </c>
      <c r="AA239" s="483">
        <v>126434</v>
      </c>
      <c r="AB239" s="483">
        <v>14846</v>
      </c>
      <c r="AC239" s="385">
        <v>44957</v>
      </c>
      <c r="AD239" s="545">
        <v>5.4</v>
      </c>
      <c r="AE239" s="483">
        <v>309862</v>
      </c>
      <c r="AF239" s="483">
        <v>317151</v>
      </c>
      <c r="AG239" s="481">
        <v>121501</v>
      </c>
      <c r="AH239" s="481">
        <v>108560</v>
      </c>
      <c r="AI239">
        <v>88</v>
      </c>
      <c r="AJ239" s="385">
        <v>1448384807</v>
      </c>
      <c r="AK239" s="385">
        <v>13238</v>
      </c>
      <c r="AL239" s="385">
        <v>0</v>
      </c>
      <c r="AM239" s="287">
        <v>0</v>
      </c>
      <c r="AN239" s="542">
        <v>330000</v>
      </c>
      <c r="AO239" s="549">
        <v>0.17</v>
      </c>
      <c r="AP239" s="385">
        <v>228910</v>
      </c>
      <c r="AQ239" s="385">
        <v>234295</v>
      </c>
      <c r="AR239" s="481">
        <v>89758</v>
      </c>
      <c r="AS239" s="481">
        <v>81290</v>
      </c>
      <c r="AT239" s="617"/>
      <c r="AU239" s="618">
        <v>0</v>
      </c>
      <c r="AV239" s="618">
        <v>0</v>
      </c>
      <c r="AW239" s="620"/>
      <c r="AX239" s="620"/>
      <c r="AY239" s="625"/>
      <c r="AZ239" s="626"/>
      <c r="BA239" s="624"/>
      <c r="BB239" s="673">
        <v>3950313</v>
      </c>
      <c r="BC239" s="781">
        <v>2.5999999999999999E-2</v>
      </c>
      <c r="BD239" s="790">
        <v>82</v>
      </c>
      <c r="BE239" s="673">
        <v>318247.78000000003</v>
      </c>
    </row>
    <row r="240" spans="1:57" x14ac:dyDescent="0.2">
      <c r="A240" s="390">
        <v>11</v>
      </c>
      <c r="B240" s="551" t="s">
        <v>315</v>
      </c>
      <c r="C240" t="s">
        <v>1264</v>
      </c>
      <c r="D240" s="406">
        <v>693.6</v>
      </c>
      <c r="E240" s="560">
        <v>6591</v>
      </c>
      <c r="F240" s="561">
        <v>567.24</v>
      </c>
      <c r="G240" s="561">
        <v>59.57</v>
      </c>
      <c r="H240" s="561">
        <v>75.03</v>
      </c>
      <c r="I240" s="561">
        <v>319.72000000000003</v>
      </c>
      <c r="J240" s="561">
        <v>32.4</v>
      </c>
      <c r="K240" s="561">
        <v>24.2</v>
      </c>
      <c r="L240" s="561">
        <v>27.4</v>
      </c>
      <c r="M240" s="343">
        <v>0</v>
      </c>
      <c r="N240" s="477">
        <v>4.8099999999999996</v>
      </c>
      <c r="O240" s="477">
        <v>2.956</v>
      </c>
      <c r="P240" s="407">
        <v>0</v>
      </c>
      <c r="Q240" s="477">
        <v>0</v>
      </c>
      <c r="R240" s="483">
        <v>4465403</v>
      </c>
      <c r="S240" s="483">
        <v>384305</v>
      </c>
      <c r="T240" s="483">
        <v>40359</v>
      </c>
      <c r="U240" s="483">
        <v>50833</v>
      </c>
      <c r="V240" s="483">
        <v>216610</v>
      </c>
      <c r="W240" s="483">
        <v>214953</v>
      </c>
      <c r="X240" s="483">
        <v>0</v>
      </c>
      <c r="Y240" s="483">
        <v>0</v>
      </c>
      <c r="Z240" s="406">
        <v>0</v>
      </c>
      <c r="AA240" s="483">
        <v>17712</v>
      </c>
      <c r="AB240" s="483">
        <v>2251</v>
      </c>
      <c r="AC240" s="385">
        <v>10157</v>
      </c>
      <c r="AD240" s="545">
        <v>5.4</v>
      </c>
      <c r="AE240" s="483">
        <v>28254</v>
      </c>
      <c r="AF240" s="483">
        <v>28995</v>
      </c>
      <c r="AG240" s="481">
        <v>4251</v>
      </c>
      <c r="AH240" s="481">
        <v>4171</v>
      </c>
      <c r="AI240">
        <v>22.5</v>
      </c>
      <c r="AJ240" s="385">
        <v>164302311</v>
      </c>
      <c r="AK240" s="385">
        <v>9964</v>
      </c>
      <c r="AL240" s="385">
        <v>0</v>
      </c>
      <c r="AM240" s="287">
        <v>0</v>
      </c>
      <c r="AN240" s="542">
        <v>330000</v>
      </c>
      <c r="AO240" s="549">
        <v>0.17</v>
      </c>
      <c r="AP240" s="385">
        <v>25414</v>
      </c>
      <c r="AQ240" s="385">
        <v>26080</v>
      </c>
      <c r="AR240" s="481">
        <v>3824</v>
      </c>
      <c r="AS240" s="481">
        <v>3769</v>
      </c>
      <c r="AT240" s="617"/>
      <c r="AU240" s="618">
        <v>0</v>
      </c>
      <c r="AV240" s="618">
        <v>0</v>
      </c>
      <c r="AW240" s="620"/>
      <c r="AX240" s="620"/>
      <c r="AY240" s="625"/>
      <c r="AZ240" s="626"/>
      <c r="BA240" s="624"/>
      <c r="BB240" s="673">
        <v>1251463</v>
      </c>
      <c r="BC240" s="781">
        <v>3.6999999999999998E-2</v>
      </c>
      <c r="BD240" s="790">
        <v>63</v>
      </c>
      <c r="BE240" s="673">
        <v>13702.22</v>
      </c>
    </row>
    <row r="241" spans="1:57" x14ac:dyDescent="0.2">
      <c r="A241" s="390">
        <v>5</v>
      </c>
      <c r="B241" s="551" t="s">
        <v>316</v>
      </c>
      <c r="C241" t="s">
        <v>647</v>
      </c>
      <c r="D241" s="406">
        <v>695.2</v>
      </c>
      <c r="E241" s="560">
        <v>6726</v>
      </c>
      <c r="F241" s="561">
        <v>670.25</v>
      </c>
      <c r="G241" s="561">
        <v>84.06</v>
      </c>
      <c r="H241" s="561">
        <v>61.22</v>
      </c>
      <c r="I241" s="561">
        <v>319.72000000000003</v>
      </c>
      <c r="J241" s="561">
        <v>33.839999999999996</v>
      </c>
      <c r="K241" s="561">
        <v>22.39</v>
      </c>
      <c r="L241" s="561">
        <v>27.4</v>
      </c>
      <c r="M241" s="343">
        <v>2.2799999999999998</v>
      </c>
      <c r="N241" s="477">
        <v>9.870000000000001</v>
      </c>
      <c r="O241" s="477">
        <v>3.8639999999999999</v>
      </c>
      <c r="P241" s="407">
        <v>2.86</v>
      </c>
      <c r="Q241" s="477">
        <v>0</v>
      </c>
      <c r="R241" s="483">
        <v>4821869</v>
      </c>
      <c r="S241" s="483">
        <v>480502</v>
      </c>
      <c r="T241" s="483">
        <v>60263</v>
      </c>
      <c r="U241" s="483">
        <v>43889</v>
      </c>
      <c r="V241" s="483">
        <v>229207</v>
      </c>
      <c r="W241" s="483">
        <v>239341</v>
      </c>
      <c r="X241" s="483">
        <v>26706</v>
      </c>
      <c r="Y241" s="483">
        <v>86</v>
      </c>
      <c r="Z241" s="406">
        <v>13.5</v>
      </c>
      <c r="AA241" s="483">
        <v>25468</v>
      </c>
      <c r="AB241" s="483">
        <v>3035</v>
      </c>
      <c r="AC241" s="385">
        <v>17761</v>
      </c>
      <c r="AD241" s="545">
        <v>5.4</v>
      </c>
      <c r="AE241" s="483">
        <v>54015</v>
      </c>
      <c r="AF241" s="483">
        <v>55140</v>
      </c>
      <c r="AG241" s="481">
        <v>76476</v>
      </c>
      <c r="AH241" s="481">
        <v>75199</v>
      </c>
      <c r="AI241">
        <v>21</v>
      </c>
      <c r="AJ241" s="385">
        <v>519052959</v>
      </c>
      <c r="AK241" s="385">
        <v>113940</v>
      </c>
      <c r="AL241" s="385">
        <v>0</v>
      </c>
      <c r="AM241" s="287">
        <v>0</v>
      </c>
      <c r="AN241" s="542">
        <v>330000</v>
      </c>
      <c r="AO241" s="549">
        <v>0.17</v>
      </c>
      <c r="AP241" s="385">
        <v>18291</v>
      </c>
      <c r="AQ241" s="385">
        <v>18672</v>
      </c>
      <c r="AR241" s="481">
        <v>25897</v>
      </c>
      <c r="AS241" s="481">
        <v>25679</v>
      </c>
      <c r="AT241" s="617"/>
      <c r="AU241" s="618">
        <v>58544</v>
      </c>
      <c r="AV241" s="618">
        <v>0</v>
      </c>
      <c r="AW241" s="620"/>
      <c r="AX241" s="620"/>
      <c r="AY241" s="625"/>
      <c r="AZ241" s="626"/>
      <c r="BA241" s="624"/>
      <c r="BB241" s="673">
        <v>0</v>
      </c>
      <c r="BC241" s="781">
        <v>3.7999999999999999E-2</v>
      </c>
      <c r="BD241" s="790">
        <v>76</v>
      </c>
      <c r="BE241" s="673">
        <v>164601</v>
      </c>
    </row>
    <row r="242" spans="1:57" x14ac:dyDescent="0.2">
      <c r="A242" s="390">
        <v>1</v>
      </c>
      <c r="B242" s="551" t="s">
        <v>317</v>
      </c>
      <c r="C242" t="s">
        <v>1265</v>
      </c>
      <c r="D242" s="406">
        <v>701.6</v>
      </c>
      <c r="E242" s="560">
        <v>6604</v>
      </c>
      <c r="F242" s="561">
        <v>586.95000000000005</v>
      </c>
      <c r="G242" s="561">
        <v>57.63</v>
      </c>
      <c r="H242" s="561">
        <v>90.34</v>
      </c>
      <c r="I242" s="561">
        <v>319.72000000000003</v>
      </c>
      <c r="J242" s="561">
        <v>40.32</v>
      </c>
      <c r="K242" s="561">
        <v>10.29</v>
      </c>
      <c r="L242" s="561">
        <v>24.66</v>
      </c>
      <c r="M242" s="343">
        <v>0</v>
      </c>
      <c r="N242" s="477">
        <v>21.38</v>
      </c>
      <c r="O242" s="477">
        <v>5.1970000000000001</v>
      </c>
      <c r="P242" s="407">
        <v>40.700000000000003</v>
      </c>
      <c r="Q242" s="477">
        <v>0</v>
      </c>
      <c r="R242" s="483">
        <v>4452417</v>
      </c>
      <c r="S242" s="483">
        <v>395722</v>
      </c>
      <c r="T242" s="483">
        <v>38854</v>
      </c>
      <c r="U242" s="483">
        <v>60907</v>
      </c>
      <c r="V242" s="483">
        <v>215555</v>
      </c>
      <c r="W242" s="483">
        <v>224724</v>
      </c>
      <c r="X242" s="483">
        <v>0</v>
      </c>
      <c r="Y242" s="483">
        <v>12</v>
      </c>
      <c r="Z242" s="406">
        <v>0</v>
      </c>
      <c r="AA242" s="483">
        <v>22129</v>
      </c>
      <c r="AB242" s="483">
        <v>2373</v>
      </c>
      <c r="AC242" s="385">
        <v>10177</v>
      </c>
      <c r="AD242" s="545">
        <v>5.4</v>
      </c>
      <c r="AE242" s="483">
        <v>15012</v>
      </c>
      <c r="AF242" s="483">
        <v>14939</v>
      </c>
      <c r="AG242" s="481">
        <v>14452</v>
      </c>
      <c r="AH242" s="481">
        <v>13204</v>
      </c>
      <c r="AI242">
        <v>9</v>
      </c>
      <c r="AJ242" s="385">
        <v>174465072</v>
      </c>
      <c r="AK242" s="385">
        <v>28158</v>
      </c>
      <c r="AL242" s="385">
        <v>0</v>
      </c>
      <c r="AM242" s="287">
        <v>0</v>
      </c>
      <c r="AN242" s="542">
        <v>330000</v>
      </c>
      <c r="AO242" s="549">
        <v>0.17</v>
      </c>
      <c r="AP242" s="385">
        <v>10723</v>
      </c>
      <c r="AQ242" s="385">
        <v>10671</v>
      </c>
      <c r="AR242" s="481">
        <v>10324</v>
      </c>
      <c r="AS242" s="481">
        <v>9566</v>
      </c>
      <c r="AT242" s="617"/>
      <c r="AU242" s="618">
        <v>0</v>
      </c>
      <c r="AV242" s="618">
        <v>0</v>
      </c>
      <c r="AW242" s="620"/>
      <c r="AX242" s="620"/>
      <c r="AY242" s="625"/>
      <c r="AZ242" s="626"/>
      <c r="BA242" s="624"/>
      <c r="BB242" s="673">
        <v>256742</v>
      </c>
      <c r="BC242" s="781">
        <v>0.05</v>
      </c>
      <c r="BD242" s="790">
        <v>3</v>
      </c>
      <c r="BE242" s="673">
        <v>34083.61</v>
      </c>
    </row>
    <row r="243" spans="1:57" x14ac:dyDescent="0.2">
      <c r="A243" s="390">
        <v>5</v>
      </c>
      <c r="B243" s="551" t="s">
        <v>319</v>
      </c>
      <c r="C243" t="s">
        <v>649</v>
      </c>
      <c r="D243" s="406">
        <v>590</v>
      </c>
      <c r="E243" s="560">
        <v>6711</v>
      </c>
      <c r="F243" s="561">
        <v>629.17999999999995</v>
      </c>
      <c r="G243" s="561">
        <v>75.66</v>
      </c>
      <c r="H243" s="561">
        <v>66.28</v>
      </c>
      <c r="I243" s="561">
        <v>319.72000000000003</v>
      </c>
      <c r="J243" s="561">
        <v>27.36</v>
      </c>
      <c r="K243" s="561">
        <v>5.45</v>
      </c>
      <c r="L243" s="561">
        <v>30.14</v>
      </c>
      <c r="M243" s="343">
        <v>1.92</v>
      </c>
      <c r="N243" s="477">
        <v>26.47</v>
      </c>
      <c r="O243" s="477">
        <v>2.7610000000000001</v>
      </c>
      <c r="P243" s="407">
        <v>0</v>
      </c>
      <c r="Q243" s="477">
        <v>0</v>
      </c>
      <c r="R243" s="483">
        <v>3807821</v>
      </c>
      <c r="S243" s="483">
        <v>356997</v>
      </c>
      <c r="T243" s="483">
        <v>42929</v>
      </c>
      <c r="U243" s="483">
        <v>37607</v>
      </c>
      <c r="V243" s="483">
        <v>181409</v>
      </c>
      <c r="W243" s="483">
        <v>187351</v>
      </c>
      <c r="X243" s="483">
        <v>15079</v>
      </c>
      <c r="Y243" s="483">
        <v>2</v>
      </c>
      <c r="Z243" s="406">
        <v>0</v>
      </c>
      <c r="AA243" s="483">
        <v>19936</v>
      </c>
      <c r="AB243" s="483">
        <v>2376</v>
      </c>
      <c r="AC243" s="385">
        <v>13161</v>
      </c>
      <c r="AD243" s="545">
        <v>5.4</v>
      </c>
      <c r="AE243" s="483">
        <v>98268</v>
      </c>
      <c r="AF243" s="483">
        <v>100991</v>
      </c>
      <c r="AG243" s="481">
        <v>23738</v>
      </c>
      <c r="AH243" s="481">
        <v>21393</v>
      </c>
      <c r="AI243">
        <v>15.5</v>
      </c>
      <c r="AJ243" s="385">
        <v>323322368</v>
      </c>
      <c r="AK243" s="385">
        <v>39058</v>
      </c>
      <c r="AL243" s="385">
        <v>0</v>
      </c>
      <c r="AM243" s="287">
        <v>0</v>
      </c>
      <c r="AN243" s="542">
        <v>330000</v>
      </c>
      <c r="AO243" s="549">
        <v>0.17</v>
      </c>
      <c r="AP243" s="385">
        <v>47053</v>
      </c>
      <c r="AQ243" s="385">
        <v>48357</v>
      </c>
      <c r="AR243" s="481">
        <v>11367</v>
      </c>
      <c r="AS243" s="481">
        <v>10370</v>
      </c>
      <c r="AT243" s="617"/>
      <c r="AU243" s="618">
        <v>0</v>
      </c>
      <c r="AV243" s="618">
        <v>61089</v>
      </c>
      <c r="AW243" s="620"/>
      <c r="AX243" s="620"/>
      <c r="AY243" s="625"/>
      <c r="AZ243" s="626"/>
      <c r="BA243" s="624"/>
      <c r="BB243" s="673">
        <v>0</v>
      </c>
      <c r="BC243" s="781">
        <v>3.3000000000000002E-2</v>
      </c>
      <c r="BD243" s="790">
        <v>94</v>
      </c>
      <c r="BE243" s="673">
        <v>41530.339999999997</v>
      </c>
    </row>
    <row r="244" spans="1:57" x14ac:dyDescent="0.2">
      <c r="A244" s="390">
        <v>13</v>
      </c>
      <c r="B244" s="551" t="s">
        <v>320</v>
      </c>
      <c r="C244" t="s">
        <v>1266</v>
      </c>
      <c r="D244" s="406">
        <v>1110.3</v>
      </c>
      <c r="E244" s="560">
        <v>6591</v>
      </c>
      <c r="F244" s="561">
        <v>581.66999999999996</v>
      </c>
      <c r="G244" s="561">
        <v>64.349999999999994</v>
      </c>
      <c r="H244" s="561">
        <v>78.09</v>
      </c>
      <c r="I244" s="561">
        <v>319.72000000000003</v>
      </c>
      <c r="J244" s="561">
        <v>65.52</v>
      </c>
      <c r="K244" s="561">
        <v>28.450000000000003</v>
      </c>
      <c r="L244" s="561">
        <v>32.880000000000003</v>
      </c>
      <c r="M244" s="343">
        <v>0</v>
      </c>
      <c r="N244" s="477">
        <v>15.17</v>
      </c>
      <c r="O244" s="477">
        <v>7.048</v>
      </c>
      <c r="P244" s="407">
        <v>6.38</v>
      </c>
      <c r="Q244" s="477">
        <v>0</v>
      </c>
      <c r="R244" s="483">
        <v>7468262</v>
      </c>
      <c r="S244" s="483">
        <v>659090</v>
      </c>
      <c r="T244" s="483">
        <v>72915</v>
      </c>
      <c r="U244" s="483">
        <v>88484</v>
      </c>
      <c r="V244" s="483">
        <v>362275</v>
      </c>
      <c r="W244" s="483">
        <v>367584</v>
      </c>
      <c r="X244" s="483">
        <v>12293</v>
      </c>
      <c r="Y244" s="483">
        <v>0</v>
      </c>
      <c r="Z244" s="406">
        <v>0</v>
      </c>
      <c r="AA244" s="483">
        <v>37743</v>
      </c>
      <c r="AB244" s="483">
        <v>4022</v>
      </c>
      <c r="AC244" s="385">
        <v>20996</v>
      </c>
      <c r="AD244" s="545">
        <v>5.4</v>
      </c>
      <c r="AE244" s="483">
        <v>71212</v>
      </c>
      <c r="AF244" s="483">
        <v>73250</v>
      </c>
      <c r="AG244" s="481">
        <v>40993</v>
      </c>
      <c r="AH244" s="481">
        <v>38257</v>
      </c>
      <c r="AI244">
        <v>30.5</v>
      </c>
      <c r="AJ244" s="385">
        <v>366239401</v>
      </c>
      <c r="AK244" s="385">
        <v>28889</v>
      </c>
      <c r="AL244" s="385">
        <v>0</v>
      </c>
      <c r="AM244" s="287">
        <v>0</v>
      </c>
      <c r="AN244" s="542">
        <v>330000</v>
      </c>
      <c r="AO244" s="549">
        <v>0.17</v>
      </c>
      <c r="AP244" s="385">
        <v>52343</v>
      </c>
      <c r="AQ244" s="385">
        <v>53841</v>
      </c>
      <c r="AR244" s="481">
        <v>30131</v>
      </c>
      <c r="AS244" s="481">
        <v>28666</v>
      </c>
      <c r="AT244" s="617"/>
      <c r="AU244" s="618">
        <v>222664</v>
      </c>
      <c r="AV244" s="618">
        <v>0</v>
      </c>
      <c r="AW244" s="620"/>
      <c r="AX244" s="620"/>
      <c r="AY244" s="625"/>
      <c r="AZ244" s="626"/>
      <c r="BA244" s="624"/>
      <c r="BB244" s="673">
        <v>876982</v>
      </c>
      <c r="BC244" s="781">
        <v>0.05</v>
      </c>
      <c r="BD244" s="790">
        <v>69</v>
      </c>
      <c r="BE244" s="673">
        <v>108434.92</v>
      </c>
    </row>
    <row r="245" spans="1:57" x14ac:dyDescent="0.2">
      <c r="A245" s="390">
        <v>12</v>
      </c>
      <c r="B245" s="551" t="s">
        <v>321</v>
      </c>
      <c r="C245" t="s">
        <v>1267</v>
      </c>
      <c r="D245" s="406">
        <v>367.2</v>
      </c>
      <c r="E245" s="560">
        <v>6612</v>
      </c>
      <c r="F245" s="561">
        <v>602.87</v>
      </c>
      <c r="G245" s="561">
        <v>61.04</v>
      </c>
      <c r="H245" s="561">
        <v>56.71</v>
      </c>
      <c r="I245" s="561">
        <v>319.72000000000003</v>
      </c>
      <c r="J245" s="561">
        <v>20.16</v>
      </c>
      <c r="K245" s="561">
        <v>12.709999999999999</v>
      </c>
      <c r="L245" s="561">
        <v>24.660000000000004</v>
      </c>
      <c r="M245" s="343">
        <v>0</v>
      </c>
      <c r="N245" s="477">
        <v>21</v>
      </c>
      <c r="O245" s="477">
        <v>1.635</v>
      </c>
      <c r="P245" s="407">
        <v>0</v>
      </c>
      <c r="Q245" s="477">
        <v>0</v>
      </c>
      <c r="R245" s="483">
        <v>2480822</v>
      </c>
      <c r="S245" s="483">
        <v>226197</v>
      </c>
      <c r="T245" s="483">
        <v>22902</v>
      </c>
      <c r="U245" s="483">
        <v>21278</v>
      </c>
      <c r="V245" s="483">
        <v>119959</v>
      </c>
      <c r="W245" s="483">
        <v>129895</v>
      </c>
      <c r="X245" s="483">
        <v>2103</v>
      </c>
      <c r="Y245" s="483">
        <v>198</v>
      </c>
      <c r="Z245" s="406">
        <v>4</v>
      </c>
      <c r="AA245" s="483">
        <v>13050</v>
      </c>
      <c r="AB245" s="483">
        <v>1561</v>
      </c>
      <c r="AC245" s="385">
        <v>8402</v>
      </c>
      <c r="AD245" s="545">
        <v>5.4</v>
      </c>
      <c r="AE245" s="483">
        <v>21301</v>
      </c>
      <c r="AF245" s="483">
        <v>21568</v>
      </c>
      <c r="AG245" s="481">
        <v>11099</v>
      </c>
      <c r="AH245" s="481">
        <v>10036</v>
      </c>
      <c r="AI245">
        <v>13.5</v>
      </c>
      <c r="AJ245" s="385">
        <v>254674912</v>
      </c>
      <c r="AK245" s="385">
        <v>0</v>
      </c>
      <c r="AL245" s="385">
        <v>16359</v>
      </c>
      <c r="AM245" s="287">
        <v>0</v>
      </c>
      <c r="AN245" s="542">
        <v>330000</v>
      </c>
      <c r="AO245" s="549">
        <v>0.17</v>
      </c>
      <c r="AP245" s="385">
        <v>6948</v>
      </c>
      <c r="AQ245" s="385">
        <v>7035</v>
      </c>
      <c r="AR245" s="481">
        <v>3620</v>
      </c>
      <c r="AS245" s="481">
        <v>3305</v>
      </c>
      <c r="AT245" s="617"/>
      <c r="AU245" s="618">
        <v>56460</v>
      </c>
      <c r="AV245" s="618">
        <v>0</v>
      </c>
      <c r="AW245" s="620"/>
      <c r="AX245" s="620"/>
      <c r="AY245" s="625"/>
      <c r="AZ245" s="626"/>
      <c r="BA245" s="624"/>
      <c r="BB245" s="673">
        <v>0</v>
      </c>
      <c r="BC245" s="781">
        <v>2.5000000000000001E-2</v>
      </c>
      <c r="BD245" s="790">
        <v>75</v>
      </c>
      <c r="BE245" s="673">
        <v>17029.86</v>
      </c>
    </row>
    <row r="246" spans="1:57" x14ac:dyDescent="0.2">
      <c r="A246" s="390">
        <v>1</v>
      </c>
      <c r="B246" s="551" t="s">
        <v>322</v>
      </c>
      <c r="C246" t="s">
        <v>1268</v>
      </c>
      <c r="D246" s="406">
        <v>302.8</v>
      </c>
      <c r="E246" s="560">
        <v>6591</v>
      </c>
      <c r="F246" s="561">
        <v>732.3</v>
      </c>
      <c r="G246" s="561">
        <v>89.51</v>
      </c>
      <c r="H246" s="561">
        <v>63.37</v>
      </c>
      <c r="I246" s="561">
        <v>319.72000000000003</v>
      </c>
      <c r="J246" s="561">
        <v>16.559999999999999</v>
      </c>
      <c r="K246" s="561">
        <v>1.21</v>
      </c>
      <c r="L246" s="561">
        <v>19.18</v>
      </c>
      <c r="M246" s="343">
        <v>0</v>
      </c>
      <c r="N246" s="477">
        <v>0.42</v>
      </c>
      <c r="O246" s="477">
        <v>1.296</v>
      </c>
      <c r="P246" s="407">
        <v>0.44</v>
      </c>
      <c r="Q246" s="477">
        <v>0</v>
      </c>
      <c r="R246" s="483">
        <v>2037937</v>
      </c>
      <c r="S246" s="483">
        <v>226427</v>
      </c>
      <c r="T246" s="483">
        <v>27676</v>
      </c>
      <c r="U246" s="483">
        <v>19594</v>
      </c>
      <c r="V246" s="483">
        <v>98857</v>
      </c>
      <c r="W246" s="483">
        <v>106975</v>
      </c>
      <c r="X246" s="483">
        <v>4059</v>
      </c>
      <c r="Y246" s="483">
        <v>0</v>
      </c>
      <c r="Z246" s="406">
        <v>0</v>
      </c>
      <c r="AA246" s="483">
        <v>10534</v>
      </c>
      <c r="AB246" s="483">
        <v>1130</v>
      </c>
      <c r="AC246" s="385">
        <v>7217</v>
      </c>
      <c r="AD246" s="545">
        <v>5.4</v>
      </c>
      <c r="AE246" s="483">
        <v>11842</v>
      </c>
      <c r="AF246" s="483">
        <v>11666</v>
      </c>
      <c r="AG246" s="481">
        <v>96570</v>
      </c>
      <c r="AH246" s="481">
        <v>13105</v>
      </c>
      <c r="AI246">
        <v>7.5</v>
      </c>
      <c r="AJ246" s="385">
        <v>216556639</v>
      </c>
      <c r="AK246" s="385">
        <v>14479</v>
      </c>
      <c r="AL246" s="385">
        <v>0</v>
      </c>
      <c r="AM246" s="287">
        <v>0</v>
      </c>
      <c r="AN246" s="542">
        <v>330000</v>
      </c>
      <c r="AO246" s="549">
        <v>0.17</v>
      </c>
      <c r="AP246" s="385">
        <v>3101</v>
      </c>
      <c r="AQ246" s="385">
        <v>3055</v>
      </c>
      <c r="AR246" s="481">
        <v>25291</v>
      </c>
      <c r="AS246" s="481">
        <v>3602</v>
      </c>
      <c r="AT246" s="617"/>
      <c r="AU246" s="618">
        <v>0</v>
      </c>
      <c r="AV246" s="618">
        <v>0</v>
      </c>
      <c r="AW246" s="620"/>
      <c r="AX246" s="620"/>
      <c r="AY246" s="625"/>
      <c r="AZ246" s="626"/>
      <c r="BA246" s="624"/>
      <c r="BB246" s="673">
        <v>0</v>
      </c>
      <c r="BC246" s="781">
        <v>3.5999999999999997E-2</v>
      </c>
      <c r="BD246" s="790">
        <v>45</v>
      </c>
      <c r="BE246" s="673">
        <v>152504.75</v>
      </c>
    </row>
    <row r="247" spans="1:57" x14ac:dyDescent="0.2">
      <c r="A247" s="390">
        <v>12</v>
      </c>
      <c r="B247" s="551" t="s">
        <v>177</v>
      </c>
      <c r="C247" t="s">
        <v>1101</v>
      </c>
      <c r="D247" s="406">
        <v>431.3</v>
      </c>
      <c r="E247" s="560">
        <v>6600</v>
      </c>
      <c r="F247" s="561">
        <v>619.04999999999995</v>
      </c>
      <c r="G247" s="561">
        <v>67.540000000000006</v>
      </c>
      <c r="H247" s="561">
        <v>76.040000000000006</v>
      </c>
      <c r="I247" s="561">
        <v>319.72000000000003</v>
      </c>
      <c r="J247" s="561">
        <v>20.16</v>
      </c>
      <c r="K247" s="561">
        <v>22.99</v>
      </c>
      <c r="L247" s="561">
        <v>10.96</v>
      </c>
      <c r="M247" s="343">
        <v>0</v>
      </c>
      <c r="N247" s="477">
        <v>8.57</v>
      </c>
      <c r="O247" s="477">
        <v>2.395</v>
      </c>
      <c r="P247" s="407">
        <v>0.66</v>
      </c>
      <c r="Q247" s="477">
        <v>0</v>
      </c>
      <c r="R247" s="483">
        <v>2835360</v>
      </c>
      <c r="S247" s="483">
        <v>265944</v>
      </c>
      <c r="T247" s="483">
        <v>29015</v>
      </c>
      <c r="U247" s="483">
        <v>32667</v>
      </c>
      <c r="V247" s="483">
        <v>137352</v>
      </c>
      <c r="W247" s="483">
        <v>141798</v>
      </c>
      <c r="X247" s="483">
        <v>0</v>
      </c>
      <c r="Y247" s="483">
        <v>0</v>
      </c>
      <c r="Z247" s="406">
        <v>0</v>
      </c>
      <c r="AA247" s="483">
        <v>14246</v>
      </c>
      <c r="AB247" s="483">
        <v>1704</v>
      </c>
      <c r="AC247" s="385">
        <v>8478</v>
      </c>
      <c r="AD247" s="545">
        <v>5.4</v>
      </c>
      <c r="AE247" s="483">
        <v>60400</v>
      </c>
      <c r="AF247" s="483">
        <v>61969</v>
      </c>
      <c r="AG247" s="481">
        <v>6445</v>
      </c>
      <c r="AH247" s="481">
        <v>6451</v>
      </c>
      <c r="AI247">
        <v>16.5</v>
      </c>
      <c r="AJ247" s="385">
        <v>209455202</v>
      </c>
      <c r="AK247" s="385">
        <v>12780</v>
      </c>
      <c r="AL247" s="385">
        <v>0</v>
      </c>
      <c r="AM247" s="287">
        <v>0</v>
      </c>
      <c r="AN247" s="542">
        <v>330000</v>
      </c>
      <c r="AO247" s="549">
        <v>0.17</v>
      </c>
      <c r="AP247" s="385">
        <v>27273</v>
      </c>
      <c r="AQ247" s="385">
        <v>27981</v>
      </c>
      <c r="AR247" s="481">
        <v>2910</v>
      </c>
      <c r="AS247" s="481">
        <v>2929</v>
      </c>
      <c r="AT247" s="617"/>
      <c r="AU247" s="618">
        <v>64148</v>
      </c>
      <c r="AV247" s="618">
        <v>0</v>
      </c>
      <c r="AW247" s="620"/>
      <c r="AX247" s="620"/>
      <c r="AY247" s="625"/>
      <c r="AZ247" s="626"/>
      <c r="BA247" s="624"/>
      <c r="BB247" s="673">
        <v>283781</v>
      </c>
      <c r="BC247" s="781">
        <v>2.7E-2</v>
      </c>
      <c r="BD247" s="790">
        <v>97</v>
      </c>
      <c r="BE247" s="673">
        <v>15034.74</v>
      </c>
    </row>
    <row r="248" spans="1:57" x14ac:dyDescent="0.2">
      <c r="A248" s="390">
        <v>13</v>
      </c>
      <c r="B248" s="551" t="s">
        <v>298</v>
      </c>
      <c r="C248" t="s">
        <v>1248</v>
      </c>
      <c r="D248" s="406">
        <v>704</v>
      </c>
      <c r="E248" s="560">
        <v>6591</v>
      </c>
      <c r="F248" s="561">
        <v>570.1</v>
      </c>
      <c r="G248" s="561">
        <v>61.68</v>
      </c>
      <c r="H248" s="561">
        <v>57.76</v>
      </c>
      <c r="I248" s="561">
        <v>319.72000000000003</v>
      </c>
      <c r="J248" s="561">
        <v>36.72</v>
      </c>
      <c r="K248" s="561">
        <v>15.129999999999999</v>
      </c>
      <c r="L248" s="561">
        <v>13.7</v>
      </c>
      <c r="M248" s="343">
        <v>0</v>
      </c>
      <c r="N248" s="477">
        <v>22.45</v>
      </c>
      <c r="O248" s="477">
        <v>2.9769999999999999</v>
      </c>
      <c r="P248" s="407">
        <v>2.86</v>
      </c>
      <c r="Q248" s="477">
        <v>0</v>
      </c>
      <c r="R248" s="483">
        <v>4554381</v>
      </c>
      <c r="S248" s="483">
        <v>393939</v>
      </c>
      <c r="T248" s="483">
        <v>42621</v>
      </c>
      <c r="U248" s="483">
        <v>39912</v>
      </c>
      <c r="V248" s="483">
        <v>220927</v>
      </c>
      <c r="W248" s="483">
        <v>221202</v>
      </c>
      <c r="X248" s="483">
        <v>0</v>
      </c>
      <c r="Y248" s="483">
        <v>6</v>
      </c>
      <c r="Z248" s="406">
        <v>0</v>
      </c>
      <c r="AA248" s="483">
        <v>22713</v>
      </c>
      <c r="AB248" s="483">
        <v>2420</v>
      </c>
      <c r="AC248" s="385">
        <v>11181</v>
      </c>
      <c r="AD248" s="545">
        <v>5.4</v>
      </c>
      <c r="AE248" s="483">
        <v>75104</v>
      </c>
      <c r="AF248" s="483">
        <v>77283</v>
      </c>
      <c r="AG248" s="481">
        <v>13735</v>
      </c>
      <c r="AH248" s="481">
        <v>12597</v>
      </c>
      <c r="AI248">
        <v>23.5</v>
      </c>
      <c r="AJ248" s="385">
        <v>351527621</v>
      </c>
      <c r="AK248" s="385">
        <v>10463</v>
      </c>
      <c r="AL248" s="385">
        <v>0</v>
      </c>
      <c r="AM248" s="287">
        <v>0</v>
      </c>
      <c r="AN248" s="542">
        <v>330000</v>
      </c>
      <c r="AO248" s="549">
        <v>0.17</v>
      </c>
      <c r="AP248" s="385">
        <v>35287</v>
      </c>
      <c r="AQ248" s="385">
        <v>36311</v>
      </c>
      <c r="AR248" s="481">
        <v>6453</v>
      </c>
      <c r="AS248" s="481">
        <v>5956</v>
      </c>
      <c r="AT248" s="617"/>
      <c r="AU248" s="618">
        <v>174639</v>
      </c>
      <c r="AV248" s="618">
        <v>0</v>
      </c>
      <c r="AW248" s="620"/>
      <c r="AX248" s="620"/>
      <c r="AY248" s="625"/>
      <c r="AZ248" s="626"/>
      <c r="BA248" s="624"/>
      <c r="BB248" s="673">
        <v>1012194</v>
      </c>
      <c r="BC248" s="781">
        <v>0.05</v>
      </c>
      <c r="BD248" s="790">
        <v>78</v>
      </c>
      <c r="BE248" s="673">
        <v>33718.370000000003</v>
      </c>
    </row>
    <row r="249" spans="1:57" x14ac:dyDescent="0.2">
      <c r="A249" s="390">
        <v>12</v>
      </c>
      <c r="B249" s="551" t="s">
        <v>323</v>
      </c>
      <c r="C249" t="s">
        <v>1269</v>
      </c>
      <c r="D249" s="406">
        <v>785.2</v>
      </c>
      <c r="E249" s="560">
        <v>6632</v>
      </c>
      <c r="F249" s="561">
        <v>581.51</v>
      </c>
      <c r="G249" s="561">
        <v>61.49</v>
      </c>
      <c r="H249" s="561">
        <v>81.25</v>
      </c>
      <c r="I249" s="561">
        <v>319.72000000000003</v>
      </c>
      <c r="J249" s="561">
        <v>23.04</v>
      </c>
      <c r="K249" s="561">
        <v>30.86</v>
      </c>
      <c r="L249" s="561">
        <v>35.620000000000005</v>
      </c>
      <c r="M249" s="343">
        <v>0</v>
      </c>
      <c r="N249" s="477">
        <v>12.32</v>
      </c>
      <c r="O249" s="477">
        <v>3.9710000000000001</v>
      </c>
      <c r="P249" s="407">
        <v>29.04</v>
      </c>
      <c r="Q249" s="477">
        <v>0</v>
      </c>
      <c r="R249" s="483">
        <v>4905690</v>
      </c>
      <c r="S249" s="483">
        <v>430143</v>
      </c>
      <c r="T249" s="483">
        <v>45484</v>
      </c>
      <c r="U249" s="483">
        <v>60101</v>
      </c>
      <c r="V249" s="483">
        <v>236497</v>
      </c>
      <c r="W249" s="483">
        <v>240932</v>
      </c>
      <c r="X249" s="483">
        <v>0</v>
      </c>
      <c r="Y249" s="483">
        <v>476</v>
      </c>
      <c r="Z249" s="406">
        <v>1.1000000000000001</v>
      </c>
      <c r="AA249" s="483">
        <v>24205</v>
      </c>
      <c r="AB249" s="483">
        <v>2895</v>
      </c>
      <c r="AC249" s="385">
        <v>9767</v>
      </c>
      <c r="AD249" s="545">
        <v>5.4</v>
      </c>
      <c r="AE249" s="483">
        <v>36201</v>
      </c>
      <c r="AF249" s="483">
        <v>37041</v>
      </c>
      <c r="AG249" s="481">
        <v>28593</v>
      </c>
      <c r="AH249" s="481">
        <v>16186</v>
      </c>
      <c r="AI249">
        <v>41</v>
      </c>
      <c r="AJ249" s="385">
        <v>237085611</v>
      </c>
      <c r="AK249" s="385">
        <v>17741</v>
      </c>
      <c r="AL249" s="385">
        <v>0</v>
      </c>
      <c r="AM249" s="287">
        <v>0</v>
      </c>
      <c r="AN249" s="542">
        <v>330000</v>
      </c>
      <c r="AO249" s="549">
        <v>0.17</v>
      </c>
      <c r="AP249" s="385">
        <v>27301</v>
      </c>
      <c r="AQ249" s="385">
        <v>27935</v>
      </c>
      <c r="AR249" s="481">
        <v>21563</v>
      </c>
      <c r="AS249" s="481">
        <v>12466</v>
      </c>
      <c r="AT249" s="617"/>
      <c r="AU249" s="618">
        <v>0</v>
      </c>
      <c r="AV249" s="618">
        <v>0</v>
      </c>
      <c r="AW249" s="620"/>
      <c r="AX249" s="620"/>
      <c r="AY249" s="625"/>
      <c r="AZ249" s="626"/>
      <c r="BA249" s="624"/>
      <c r="BB249" s="673">
        <v>0</v>
      </c>
      <c r="BC249" s="781">
        <v>3.6999999999999998E-2</v>
      </c>
      <c r="BD249" s="790">
        <v>84</v>
      </c>
      <c r="BE249" s="673">
        <v>76341.86</v>
      </c>
    </row>
    <row r="250" spans="1:57" x14ac:dyDescent="0.2">
      <c r="A250" s="390">
        <v>11</v>
      </c>
      <c r="B250" s="551" t="s">
        <v>324</v>
      </c>
      <c r="C250" t="s">
        <v>1270</v>
      </c>
      <c r="D250" s="406">
        <v>1015.1</v>
      </c>
      <c r="E250" s="560">
        <v>6591</v>
      </c>
      <c r="F250" s="561">
        <v>554.49</v>
      </c>
      <c r="G250" s="561">
        <v>69.100000000000009</v>
      </c>
      <c r="H250" s="561">
        <v>63.26</v>
      </c>
      <c r="I250" s="561">
        <v>319.72000000000003</v>
      </c>
      <c r="J250" s="561">
        <v>37.44</v>
      </c>
      <c r="K250" s="561">
        <v>13.92</v>
      </c>
      <c r="L250" s="561">
        <v>27.4</v>
      </c>
      <c r="M250" s="343">
        <v>0</v>
      </c>
      <c r="N250" s="477">
        <v>8.08</v>
      </c>
      <c r="O250" s="477">
        <v>3.3160000000000003</v>
      </c>
      <c r="P250" s="407">
        <v>1.1000000000000001</v>
      </c>
      <c r="Q250" s="477">
        <v>0</v>
      </c>
      <c r="R250" s="483">
        <v>6658228</v>
      </c>
      <c r="S250" s="483">
        <v>560146</v>
      </c>
      <c r="T250" s="483">
        <v>69805</v>
      </c>
      <c r="U250" s="483">
        <v>63905</v>
      </c>
      <c r="V250" s="483">
        <v>322981</v>
      </c>
      <c r="W250" s="483">
        <v>307257</v>
      </c>
      <c r="X250" s="483">
        <v>0</v>
      </c>
      <c r="Y250" s="483">
        <v>2</v>
      </c>
      <c r="Z250" s="406">
        <v>0</v>
      </c>
      <c r="AA250" s="483">
        <v>25317</v>
      </c>
      <c r="AB250" s="483">
        <v>3218</v>
      </c>
      <c r="AC250" s="385">
        <v>15863</v>
      </c>
      <c r="AD250" s="545">
        <v>5.4</v>
      </c>
      <c r="AE250" s="483">
        <v>27950</v>
      </c>
      <c r="AF250" s="483">
        <v>28830</v>
      </c>
      <c r="AG250" s="481">
        <v>44762</v>
      </c>
      <c r="AH250" s="481">
        <v>38055</v>
      </c>
      <c r="AI250">
        <v>26</v>
      </c>
      <c r="AJ250" s="385">
        <v>289100756</v>
      </c>
      <c r="AK250" s="385">
        <v>0</v>
      </c>
      <c r="AL250" s="385">
        <v>0</v>
      </c>
      <c r="AM250" s="287">
        <v>0</v>
      </c>
      <c r="AN250" s="542">
        <v>330000</v>
      </c>
      <c r="AO250" s="549">
        <v>0.17</v>
      </c>
      <c r="AP250" s="385">
        <v>21213</v>
      </c>
      <c r="AQ250" s="385">
        <v>21881</v>
      </c>
      <c r="AR250" s="481">
        <v>33973</v>
      </c>
      <c r="AS250" s="481">
        <v>29700</v>
      </c>
      <c r="AT250" s="617"/>
      <c r="AU250" s="618">
        <v>0</v>
      </c>
      <c r="AV250" s="618">
        <v>0</v>
      </c>
      <c r="AW250" s="620"/>
      <c r="AX250" s="620"/>
      <c r="AY250" s="625"/>
      <c r="AZ250" s="626"/>
      <c r="BA250" s="624"/>
      <c r="BB250" s="673">
        <v>190168</v>
      </c>
      <c r="BC250" s="781">
        <v>3.5000000000000003E-2</v>
      </c>
      <c r="BD250" s="790">
        <v>85</v>
      </c>
      <c r="BE250" s="673">
        <v>99701.18</v>
      </c>
    </row>
    <row r="251" spans="1:57" x14ac:dyDescent="0.2">
      <c r="A251" s="390">
        <v>7</v>
      </c>
      <c r="B251" s="551" t="s">
        <v>325</v>
      </c>
      <c r="C251" t="s">
        <v>1271</v>
      </c>
      <c r="D251" s="406">
        <v>441.1</v>
      </c>
      <c r="E251" s="560">
        <v>6591</v>
      </c>
      <c r="F251" s="561">
        <v>593.88</v>
      </c>
      <c r="G251" s="561">
        <v>67.03</v>
      </c>
      <c r="H251" s="561">
        <v>62.56</v>
      </c>
      <c r="I251" s="561">
        <v>319.72000000000003</v>
      </c>
      <c r="J251" s="561">
        <v>25.919999999999998</v>
      </c>
      <c r="K251" s="561">
        <v>18.149999999999999</v>
      </c>
      <c r="L251" s="561">
        <v>16.440000000000001</v>
      </c>
      <c r="M251" s="343">
        <v>0</v>
      </c>
      <c r="N251" s="477">
        <v>11.16</v>
      </c>
      <c r="O251" s="477">
        <v>2.0920000000000001</v>
      </c>
      <c r="P251" s="407">
        <v>0</v>
      </c>
      <c r="Q251" s="477">
        <v>0</v>
      </c>
      <c r="R251" s="483">
        <v>2967268</v>
      </c>
      <c r="S251" s="483">
        <v>267365</v>
      </c>
      <c r="T251" s="483">
        <v>30177</v>
      </c>
      <c r="U251" s="483">
        <v>28165</v>
      </c>
      <c r="V251" s="483">
        <v>143938</v>
      </c>
      <c r="W251" s="483">
        <v>151037</v>
      </c>
      <c r="X251" s="483">
        <v>6986</v>
      </c>
      <c r="Y251" s="483">
        <v>7</v>
      </c>
      <c r="Z251" s="406">
        <v>0</v>
      </c>
      <c r="AA251" s="483">
        <v>19152</v>
      </c>
      <c r="AB251" s="483">
        <v>2201</v>
      </c>
      <c r="AC251" s="385">
        <v>9768</v>
      </c>
      <c r="AD251" s="545">
        <v>5.4</v>
      </c>
      <c r="AE251" s="483">
        <v>25768</v>
      </c>
      <c r="AF251" s="483">
        <v>25908</v>
      </c>
      <c r="AG251" s="481">
        <v>9212</v>
      </c>
      <c r="AH251" s="481">
        <v>5911</v>
      </c>
      <c r="AI251">
        <v>8.5</v>
      </c>
      <c r="AJ251" s="385">
        <v>206767831</v>
      </c>
      <c r="AK251" s="385">
        <v>0</v>
      </c>
      <c r="AL251" s="385">
        <v>0</v>
      </c>
      <c r="AM251" s="287">
        <v>0</v>
      </c>
      <c r="AN251" s="542">
        <v>330000</v>
      </c>
      <c r="AO251" s="549">
        <v>0.17</v>
      </c>
      <c r="AP251" s="385">
        <v>12411</v>
      </c>
      <c r="AQ251" s="385">
        <v>12478</v>
      </c>
      <c r="AR251" s="481">
        <v>4437</v>
      </c>
      <c r="AS251" s="481">
        <v>2870</v>
      </c>
      <c r="AT251" s="617"/>
      <c r="AU251" s="618">
        <v>12573</v>
      </c>
      <c r="AV251" s="618">
        <v>0</v>
      </c>
      <c r="AW251" s="620"/>
      <c r="AX251" s="620"/>
      <c r="AY251" s="625"/>
      <c r="AZ251" s="626"/>
      <c r="BA251" s="624"/>
      <c r="BB251" s="673">
        <v>619918</v>
      </c>
      <c r="BC251" s="781">
        <v>3.4000000000000002E-2</v>
      </c>
      <c r="BD251" s="790">
        <v>34</v>
      </c>
      <c r="BE251" s="673">
        <v>19925.77</v>
      </c>
    </row>
    <row r="252" spans="1:57" x14ac:dyDescent="0.2">
      <c r="A252" s="390">
        <v>5</v>
      </c>
      <c r="B252" s="551" t="s">
        <v>326</v>
      </c>
      <c r="C252" t="s">
        <v>1272</v>
      </c>
      <c r="D252" s="406">
        <v>229</v>
      </c>
      <c r="E252" s="560">
        <v>6605</v>
      </c>
      <c r="F252" s="561">
        <v>632.58000000000004</v>
      </c>
      <c r="G252" s="561">
        <v>69.36</v>
      </c>
      <c r="H252" s="561">
        <v>75.570000000000007</v>
      </c>
      <c r="I252" s="561">
        <v>319.72000000000003</v>
      </c>
      <c r="J252" s="561">
        <v>10.08</v>
      </c>
      <c r="K252" s="561">
        <v>6.05</v>
      </c>
      <c r="L252" s="561">
        <v>19.18</v>
      </c>
      <c r="M252" s="343">
        <v>0.77</v>
      </c>
      <c r="N252" s="477">
        <v>34.17</v>
      </c>
      <c r="O252" s="477">
        <v>1.373</v>
      </c>
      <c r="P252" s="407">
        <v>0</v>
      </c>
      <c r="Q252" s="477">
        <v>0</v>
      </c>
      <c r="R252" s="483">
        <v>1624830</v>
      </c>
      <c r="S252" s="483">
        <v>155615</v>
      </c>
      <c r="T252" s="483">
        <v>17063</v>
      </c>
      <c r="U252" s="483">
        <v>18590</v>
      </c>
      <c r="V252" s="483">
        <v>78651</v>
      </c>
      <c r="W252" s="483">
        <v>84012</v>
      </c>
      <c r="X252" s="483">
        <v>0</v>
      </c>
      <c r="Y252" s="483">
        <v>9</v>
      </c>
      <c r="Z252" s="406">
        <v>0</v>
      </c>
      <c r="AA252" s="483">
        <v>8940</v>
      </c>
      <c r="AB252" s="483">
        <v>1065</v>
      </c>
      <c r="AC252" s="385">
        <v>4464</v>
      </c>
      <c r="AD252" s="545">
        <v>5.4</v>
      </c>
      <c r="AE252" s="483">
        <v>11652</v>
      </c>
      <c r="AF252" s="483">
        <v>11975</v>
      </c>
      <c r="AG252" s="481">
        <v>9598</v>
      </c>
      <c r="AH252" s="481">
        <v>9153</v>
      </c>
      <c r="AI252">
        <v>6.5</v>
      </c>
      <c r="AJ252" s="385">
        <v>121591648</v>
      </c>
      <c r="AK252" s="385">
        <v>11100</v>
      </c>
      <c r="AL252" s="385">
        <v>0</v>
      </c>
      <c r="AM252" s="287">
        <v>0</v>
      </c>
      <c r="AN252" s="542">
        <v>330000</v>
      </c>
      <c r="AO252" s="549">
        <v>0.17</v>
      </c>
      <c r="AP252" s="385">
        <v>5875</v>
      </c>
      <c r="AQ252" s="385">
        <v>6038</v>
      </c>
      <c r="AR252" s="481">
        <v>4839</v>
      </c>
      <c r="AS252" s="481">
        <v>4679</v>
      </c>
      <c r="AT252" s="617"/>
      <c r="AU252" s="618">
        <v>0</v>
      </c>
      <c r="AV252" s="618">
        <v>0</v>
      </c>
      <c r="AW252" s="620"/>
      <c r="AX252" s="620"/>
      <c r="AY252" s="625"/>
      <c r="AZ252" s="626"/>
      <c r="BA252" s="624"/>
      <c r="BB252" s="673">
        <v>168304</v>
      </c>
      <c r="BC252" s="781">
        <v>0.05</v>
      </c>
      <c r="BD252" s="790">
        <v>74</v>
      </c>
      <c r="BE252" s="673">
        <v>20679.419999999998</v>
      </c>
    </row>
    <row r="253" spans="1:57" x14ac:dyDescent="0.2">
      <c r="A253" s="390">
        <v>11</v>
      </c>
      <c r="B253" s="551" t="s">
        <v>328</v>
      </c>
      <c r="C253" t="s">
        <v>1274</v>
      </c>
      <c r="D253" s="406">
        <v>1122.9000000000001</v>
      </c>
      <c r="E253" s="560">
        <v>6659</v>
      </c>
      <c r="F253" s="561">
        <v>610.82000000000005</v>
      </c>
      <c r="G253" s="561">
        <v>65.399999999999991</v>
      </c>
      <c r="H253" s="561">
        <v>78.540000000000006</v>
      </c>
      <c r="I253" s="561">
        <v>319.72000000000003</v>
      </c>
      <c r="J253" s="561">
        <v>59.04</v>
      </c>
      <c r="K253" s="561">
        <v>52.64</v>
      </c>
      <c r="L253" s="561">
        <v>32.880000000000003</v>
      </c>
      <c r="M253" s="343">
        <v>0</v>
      </c>
      <c r="N253" s="477">
        <v>1.0900000000000001</v>
      </c>
      <c r="O253" s="477">
        <v>4.8070000000000004</v>
      </c>
      <c r="P253" s="407">
        <v>13.2</v>
      </c>
      <c r="Q253" s="477">
        <v>0</v>
      </c>
      <c r="R253" s="483">
        <v>7660514</v>
      </c>
      <c r="S253" s="483">
        <v>702687</v>
      </c>
      <c r="T253" s="483">
        <v>75236</v>
      </c>
      <c r="U253" s="483">
        <v>90352</v>
      </c>
      <c r="V253" s="483">
        <v>367806</v>
      </c>
      <c r="W253" s="483">
        <v>363776</v>
      </c>
      <c r="X253" s="483">
        <v>1292</v>
      </c>
      <c r="Y253" s="483">
        <v>32</v>
      </c>
      <c r="Z253" s="406">
        <v>0.1</v>
      </c>
      <c r="AA253" s="483">
        <v>29975</v>
      </c>
      <c r="AB253" s="483">
        <v>3810</v>
      </c>
      <c r="AC253" s="385">
        <v>21799</v>
      </c>
      <c r="AD253" s="545">
        <v>5.4</v>
      </c>
      <c r="AE253" s="483">
        <v>61274</v>
      </c>
      <c r="AF253" s="483">
        <v>63434</v>
      </c>
      <c r="AG253" s="481">
        <v>274436</v>
      </c>
      <c r="AH253" s="481">
        <v>266701</v>
      </c>
      <c r="AI253">
        <v>21.5</v>
      </c>
      <c r="AJ253" s="385">
        <v>704581845</v>
      </c>
      <c r="AK253" s="385">
        <v>78224</v>
      </c>
      <c r="AL253" s="385">
        <v>0</v>
      </c>
      <c r="AM253" s="287">
        <v>0</v>
      </c>
      <c r="AN253" s="542">
        <v>330000</v>
      </c>
      <c r="AO253" s="549">
        <v>0.17</v>
      </c>
      <c r="AP253" s="385">
        <v>25098</v>
      </c>
      <c r="AQ253" s="385">
        <v>25983</v>
      </c>
      <c r="AR253" s="481">
        <v>112411</v>
      </c>
      <c r="AS253" s="481">
        <v>116228</v>
      </c>
      <c r="AT253" s="617"/>
      <c r="AU253" s="618">
        <v>0</v>
      </c>
      <c r="AV253" s="618">
        <v>87739</v>
      </c>
      <c r="AW253" s="620"/>
      <c r="AX253" s="620"/>
      <c r="AY253" s="625"/>
      <c r="AZ253" s="626"/>
      <c r="BA253" s="624"/>
      <c r="BB253" s="673">
        <v>1215878</v>
      </c>
      <c r="BC253" s="781">
        <v>0.05</v>
      </c>
      <c r="BD253" s="790">
        <v>77</v>
      </c>
      <c r="BE253" s="673">
        <v>648693.93000000005</v>
      </c>
    </row>
    <row r="254" spans="1:57" x14ac:dyDescent="0.2">
      <c r="A254" s="390">
        <v>5</v>
      </c>
      <c r="B254" s="551" t="s">
        <v>329</v>
      </c>
      <c r="C254" t="s">
        <v>650</v>
      </c>
      <c r="D254" s="406">
        <v>354.1</v>
      </c>
      <c r="E254" s="560">
        <v>6658</v>
      </c>
      <c r="F254" s="561">
        <v>607.37</v>
      </c>
      <c r="G254" s="561">
        <v>68.350000000000009</v>
      </c>
      <c r="H254" s="561">
        <v>59.01</v>
      </c>
      <c r="I254" s="561">
        <v>319.72000000000003</v>
      </c>
      <c r="J254" s="561">
        <v>11.52</v>
      </c>
      <c r="K254" s="561">
        <v>10.9</v>
      </c>
      <c r="L254" s="561">
        <v>21.92</v>
      </c>
      <c r="M254" s="343">
        <v>1.17</v>
      </c>
      <c r="N254" s="477">
        <v>22.4</v>
      </c>
      <c r="O254" s="477">
        <v>1.865</v>
      </c>
      <c r="P254" s="407">
        <v>2.42</v>
      </c>
      <c r="Q254" s="477">
        <v>0</v>
      </c>
      <c r="R254" s="483">
        <v>2338955</v>
      </c>
      <c r="S254" s="483">
        <v>213369</v>
      </c>
      <c r="T254" s="483">
        <v>24011</v>
      </c>
      <c r="U254" s="483">
        <v>20730</v>
      </c>
      <c r="V254" s="483">
        <v>112318</v>
      </c>
      <c r="W254" s="483">
        <v>118030</v>
      </c>
      <c r="X254" s="483">
        <v>2737</v>
      </c>
      <c r="Y254" s="483">
        <v>14</v>
      </c>
      <c r="Z254" s="406">
        <v>0</v>
      </c>
      <c r="AA254" s="483">
        <v>12560</v>
      </c>
      <c r="AB254" s="483">
        <v>1497</v>
      </c>
      <c r="AC254" s="385">
        <v>8083</v>
      </c>
      <c r="AD254" s="545">
        <v>5.4</v>
      </c>
      <c r="AE254" s="483">
        <v>25370</v>
      </c>
      <c r="AF254" s="483">
        <v>26051</v>
      </c>
      <c r="AG254" s="481">
        <v>29103</v>
      </c>
      <c r="AH254" s="481">
        <v>29103</v>
      </c>
      <c r="AI254">
        <v>11.5</v>
      </c>
      <c r="AJ254" s="385">
        <v>208106284</v>
      </c>
      <c r="AK254" s="385">
        <v>4769</v>
      </c>
      <c r="AL254" s="385">
        <v>0</v>
      </c>
      <c r="AM254" s="287">
        <v>0</v>
      </c>
      <c r="AN254" s="542">
        <v>330000</v>
      </c>
      <c r="AO254" s="549">
        <v>0.17</v>
      </c>
      <c r="AP254" s="385">
        <v>12599</v>
      </c>
      <c r="AQ254" s="385">
        <v>12937</v>
      </c>
      <c r="AR254" s="481">
        <v>14453</v>
      </c>
      <c r="AS254" s="481">
        <v>14808</v>
      </c>
      <c r="AT254" s="617"/>
      <c r="AU254" s="618">
        <v>66380</v>
      </c>
      <c r="AV254" s="618">
        <v>70614</v>
      </c>
      <c r="AW254" s="620"/>
      <c r="AX254" s="620"/>
      <c r="AY254" s="625"/>
      <c r="AZ254" s="626"/>
      <c r="BA254" s="624"/>
      <c r="BB254" s="673">
        <v>0</v>
      </c>
      <c r="BC254" s="781">
        <v>0.05</v>
      </c>
      <c r="BD254" s="790">
        <v>81</v>
      </c>
      <c r="BE254" s="673">
        <v>63488.81</v>
      </c>
    </row>
    <row r="255" spans="1:57" x14ac:dyDescent="0.2">
      <c r="A255" s="390">
        <v>12</v>
      </c>
      <c r="B255" s="551" t="s">
        <v>330</v>
      </c>
      <c r="C255" t="s">
        <v>1275</v>
      </c>
      <c r="D255" s="406">
        <v>274.39999999999998</v>
      </c>
      <c r="E255" s="560">
        <v>6591</v>
      </c>
      <c r="F255" s="561">
        <v>500.68</v>
      </c>
      <c r="G255" s="561">
        <v>44.07</v>
      </c>
      <c r="H255" s="561">
        <v>59.78</v>
      </c>
      <c r="I255" s="561">
        <v>319.72000000000003</v>
      </c>
      <c r="J255" s="561">
        <v>13.68</v>
      </c>
      <c r="K255" s="561">
        <v>4.84</v>
      </c>
      <c r="L255" s="561">
        <v>27.4</v>
      </c>
      <c r="M255" s="343">
        <v>0</v>
      </c>
      <c r="N255" s="477">
        <v>23.39</v>
      </c>
      <c r="O255" s="477">
        <v>1.238</v>
      </c>
      <c r="P255" s="407">
        <v>2.42</v>
      </c>
      <c r="Q255" s="477">
        <v>0</v>
      </c>
      <c r="R255" s="483">
        <v>1932481</v>
      </c>
      <c r="S255" s="483">
        <v>146799</v>
      </c>
      <c r="T255" s="483">
        <v>12921</v>
      </c>
      <c r="U255" s="483">
        <v>17527</v>
      </c>
      <c r="V255" s="483">
        <v>93742</v>
      </c>
      <c r="W255" s="483">
        <v>100343</v>
      </c>
      <c r="X255" s="483">
        <v>4616</v>
      </c>
      <c r="Y255" s="483">
        <v>1</v>
      </c>
      <c r="Z255" s="406">
        <v>0</v>
      </c>
      <c r="AA255" s="483">
        <v>10081</v>
      </c>
      <c r="AB255" s="483">
        <v>1206</v>
      </c>
      <c r="AC255" s="385">
        <v>4732</v>
      </c>
      <c r="AD255" s="545">
        <v>5.4</v>
      </c>
      <c r="AE255" s="483">
        <v>9648</v>
      </c>
      <c r="AF255" s="483">
        <v>9777</v>
      </c>
      <c r="AG255" s="481">
        <v>13335</v>
      </c>
      <c r="AH255" s="481">
        <v>13335</v>
      </c>
      <c r="AI255">
        <v>6.5</v>
      </c>
      <c r="AJ255" s="385">
        <v>145397307</v>
      </c>
      <c r="AK255" s="385">
        <v>4560</v>
      </c>
      <c r="AL255" s="385">
        <v>0</v>
      </c>
      <c r="AM255" s="287">
        <v>0</v>
      </c>
      <c r="AN255" s="542">
        <v>330000</v>
      </c>
      <c r="AO255" s="549">
        <v>0.17</v>
      </c>
      <c r="AP255" s="385">
        <v>5469</v>
      </c>
      <c r="AQ255" s="385">
        <v>5542</v>
      </c>
      <c r="AR255" s="481">
        <v>7559</v>
      </c>
      <c r="AS255" s="481">
        <v>7684</v>
      </c>
      <c r="AT255" s="617"/>
      <c r="AU255" s="618">
        <v>0</v>
      </c>
      <c r="AV255" s="618">
        <v>124173</v>
      </c>
      <c r="AW255" s="620"/>
      <c r="AX255" s="620"/>
      <c r="AY255" s="625"/>
      <c r="AZ255" s="626"/>
      <c r="BA255" s="624"/>
      <c r="BB255" s="673">
        <v>450873</v>
      </c>
      <c r="BC255" s="781">
        <v>2.5000000000000001E-2</v>
      </c>
      <c r="BD255" s="790">
        <v>24</v>
      </c>
      <c r="BE255" s="673">
        <v>36143.56</v>
      </c>
    </row>
    <row r="256" spans="1:57" x14ac:dyDescent="0.2">
      <c r="A256" s="390">
        <v>12</v>
      </c>
      <c r="B256" s="551" t="s">
        <v>331</v>
      </c>
      <c r="C256" t="s">
        <v>1276</v>
      </c>
      <c r="D256" s="406">
        <v>1421.6</v>
      </c>
      <c r="E256" s="560">
        <v>6591</v>
      </c>
      <c r="F256" s="561">
        <v>575.87</v>
      </c>
      <c r="G256" s="561">
        <v>69.8</v>
      </c>
      <c r="H256" s="561">
        <v>67.78</v>
      </c>
      <c r="I256" s="561">
        <v>319.72000000000003</v>
      </c>
      <c r="J256" s="561">
        <v>83.52</v>
      </c>
      <c r="K256" s="561">
        <v>44.17</v>
      </c>
      <c r="L256" s="561">
        <v>79.459999999999994</v>
      </c>
      <c r="M256" s="343">
        <v>0</v>
      </c>
      <c r="N256" s="477">
        <v>6.71</v>
      </c>
      <c r="O256" s="477">
        <v>5.9480000000000004</v>
      </c>
      <c r="P256" s="407">
        <v>2.86</v>
      </c>
      <c r="Q256" s="477">
        <v>0</v>
      </c>
      <c r="R256" s="483">
        <v>9248491</v>
      </c>
      <c r="S256" s="483">
        <v>808061</v>
      </c>
      <c r="T256" s="483">
        <v>97943</v>
      </c>
      <c r="U256" s="483">
        <v>95109</v>
      </c>
      <c r="V256" s="483">
        <v>448631</v>
      </c>
      <c r="W256" s="483">
        <v>478136</v>
      </c>
      <c r="X256" s="483">
        <v>0</v>
      </c>
      <c r="Y256" s="483">
        <v>45</v>
      </c>
      <c r="Z256" s="406">
        <v>0</v>
      </c>
      <c r="AA256" s="483">
        <v>48036</v>
      </c>
      <c r="AB256" s="483">
        <v>5744</v>
      </c>
      <c r="AC256" s="385">
        <v>18589</v>
      </c>
      <c r="AD256" s="545">
        <v>5.4</v>
      </c>
      <c r="AE256" s="483">
        <v>730387</v>
      </c>
      <c r="AF256" s="483">
        <v>751412</v>
      </c>
      <c r="AG256" s="481">
        <v>137196</v>
      </c>
      <c r="AH256" s="481">
        <v>130427</v>
      </c>
      <c r="AI256">
        <v>38</v>
      </c>
      <c r="AJ256" s="385">
        <v>589889650</v>
      </c>
      <c r="AK256" s="385">
        <v>0</v>
      </c>
      <c r="AL256" s="385">
        <v>0</v>
      </c>
      <c r="AM256" s="287">
        <v>0</v>
      </c>
      <c r="AN256" s="542">
        <v>330000</v>
      </c>
      <c r="AO256" s="549">
        <v>0.17</v>
      </c>
      <c r="AP256" s="385">
        <v>402049</v>
      </c>
      <c r="AQ256" s="385">
        <v>413622</v>
      </c>
      <c r="AR256" s="481">
        <v>75521</v>
      </c>
      <c r="AS256" s="481">
        <v>76013</v>
      </c>
      <c r="AT256" s="617"/>
      <c r="AU256" s="618">
        <v>0</v>
      </c>
      <c r="AV256" s="618">
        <v>0</v>
      </c>
      <c r="AW256" s="620"/>
      <c r="AX256" s="620"/>
      <c r="AY256" s="625"/>
      <c r="AZ256" s="626"/>
      <c r="BA256" s="624"/>
      <c r="BB256" s="673">
        <v>971587</v>
      </c>
      <c r="BC256" s="781">
        <v>0.04</v>
      </c>
      <c r="BD256" s="790">
        <v>97</v>
      </c>
      <c r="BE256" s="673">
        <v>344492.53</v>
      </c>
    </row>
    <row r="257" spans="1:57" x14ac:dyDescent="0.2">
      <c r="A257" s="390">
        <v>15</v>
      </c>
      <c r="B257" s="551" t="s">
        <v>332</v>
      </c>
      <c r="C257" t="s">
        <v>1277</v>
      </c>
      <c r="D257" s="406">
        <v>299.60000000000002</v>
      </c>
      <c r="E257" s="560">
        <v>6591</v>
      </c>
      <c r="F257" s="561">
        <v>703.47</v>
      </c>
      <c r="G257" s="561">
        <v>77.489999999999995</v>
      </c>
      <c r="H257" s="561">
        <v>79.14</v>
      </c>
      <c r="I257" s="561">
        <v>319.72000000000003</v>
      </c>
      <c r="J257" s="561">
        <v>10.08</v>
      </c>
      <c r="K257" s="561">
        <v>4.84</v>
      </c>
      <c r="L257" s="561">
        <v>5.48</v>
      </c>
      <c r="M257" s="343">
        <v>0</v>
      </c>
      <c r="N257" s="477">
        <v>17.09</v>
      </c>
      <c r="O257" s="477">
        <v>1.694</v>
      </c>
      <c r="P257" s="407">
        <v>0.44</v>
      </c>
      <c r="Q257" s="477">
        <v>0</v>
      </c>
      <c r="R257" s="483">
        <v>1962141</v>
      </c>
      <c r="S257" s="483">
        <v>209423</v>
      </c>
      <c r="T257" s="483">
        <v>23069</v>
      </c>
      <c r="U257" s="483">
        <v>23560</v>
      </c>
      <c r="V257" s="483">
        <v>95181</v>
      </c>
      <c r="W257" s="483">
        <v>92294</v>
      </c>
      <c r="X257" s="483">
        <v>0</v>
      </c>
      <c r="Y257" s="483">
        <v>0</v>
      </c>
      <c r="Z257" s="406">
        <v>0</v>
      </c>
      <c r="AA257" s="483">
        <v>9245</v>
      </c>
      <c r="AB257" s="483">
        <v>1003</v>
      </c>
      <c r="AC257" s="385">
        <v>5554</v>
      </c>
      <c r="AD257" s="545">
        <v>5.4</v>
      </c>
      <c r="AE257" s="483">
        <v>14310</v>
      </c>
      <c r="AF257" s="483">
        <v>14313</v>
      </c>
      <c r="AG257" s="481">
        <v>1396</v>
      </c>
      <c r="AH257" s="481">
        <v>1368</v>
      </c>
      <c r="AI257">
        <v>5.5</v>
      </c>
      <c r="AJ257" s="385">
        <v>85748970</v>
      </c>
      <c r="AK257" s="385">
        <v>8979</v>
      </c>
      <c r="AL257" s="385">
        <v>0</v>
      </c>
      <c r="AM257" s="287">
        <v>0</v>
      </c>
      <c r="AN257" s="542">
        <v>330000</v>
      </c>
      <c r="AO257" s="549">
        <v>0.17</v>
      </c>
      <c r="AP257" s="385">
        <v>10750</v>
      </c>
      <c r="AQ257" s="385">
        <v>10753</v>
      </c>
      <c r="AR257" s="481">
        <v>1048</v>
      </c>
      <c r="AS257" s="481">
        <v>1031</v>
      </c>
      <c r="AT257" s="617"/>
      <c r="AU257" s="618">
        <v>0</v>
      </c>
      <c r="AV257" s="618">
        <v>0</v>
      </c>
      <c r="AW257" s="620"/>
      <c r="AX257" s="620"/>
      <c r="AY257" s="625">
        <v>-1</v>
      </c>
      <c r="AZ257" s="626"/>
      <c r="BA257" s="624"/>
      <c r="BB257" s="673">
        <v>0</v>
      </c>
      <c r="BC257" s="781">
        <v>2.5000000000000001E-2</v>
      </c>
      <c r="BD257" s="790">
        <v>93</v>
      </c>
      <c r="BE257" s="673">
        <v>2929.9</v>
      </c>
    </row>
    <row r="258" spans="1:57" x14ac:dyDescent="0.2">
      <c r="A258" s="390">
        <v>12</v>
      </c>
      <c r="B258" s="551" t="s">
        <v>334</v>
      </c>
      <c r="C258" t="s">
        <v>1278</v>
      </c>
      <c r="D258" s="406">
        <v>1048</v>
      </c>
      <c r="E258" s="560">
        <v>6591</v>
      </c>
      <c r="F258" s="561">
        <v>547.64</v>
      </c>
      <c r="G258" s="561">
        <v>57.82</v>
      </c>
      <c r="H258" s="561">
        <v>67.89</v>
      </c>
      <c r="I258" s="561">
        <v>319.72000000000003</v>
      </c>
      <c r="J258" s="561">
        <v>41.76</v>
      </c>
      <c r="K258" s="561">
        <v>78.069999999999993</v>
      </c>
      <c r="L258" s="561">
        <v>35.620000000000005</v>
      </c>
      <c r="M258" s="343">
        <v>0</v>
      </c>
      <c r="N258" s="477">
        <v>3.68</v>
      </c>
      <c r="O258" s="477">
        <v>5.569</v>
      </c>
      <c r="P258" s="407">
        <v>14.960000000000004</v>
      </c>
      <c r="Q258" s="477">
        <v>0</v>
      </c>
      <c r="R258" s="483">
        <v>7114985</v>
      </c>
      <c r="S258" s="483">
        <v>591177</v>
      </c>
      <c r="T258" s="483">
        <v>62417</v>
      </c>
      <c r="U258" s="483">
        <v>73287</v>
      </c>
      <c r="V258" s="483">
        <v>345138</v>
      </c>
      <c r="W258" s="483">
        <v>366074</v>
      </c>
      <c r="X258" s="483">
        <v>0</v>
      </c>
      <c r="Y258" s="483">
        <v>232</v>
      </c>
      <c r="Z258" s="406">
        <v>4.3</v>
      </c>
      <c r="AA258" s="483">
        <v>36778</v>
      </c>
      <c r="AB258" s="483">
        <v>4398</v>
      </c>
      <c r="AC258" s="385">
        <v>18053</v>
      </c>
      <c r="AD258" s="545">
        <v>5.4</v>
      </c>
      <c r="AE258" s="483">
        <v>62964</v>
      </c>
      <c r="AF258" s="483">
        <v>63183</v>
      </c>
      <c r="AG258" s="481">
        <v>46134</v>
      </c>
      <c r="AH258" s="481">
        <v>19609</v>
      </c>
      <c r="AI258">
        <v>37</v>
      </c>
      <c r="AJ258" s="385">
        <v>343616233</v>
      </c>
      <c r="AK258" s="385">
        <v>9950</v>
      </c>
      <c r="AL258" s="385">
        <v>0</v>
      </c>
      <c r="AM258" s="287">
        <v>0</v>
      </c>
      <c r="AN258" s="542">
        <v>330000</v>
      </c>
      <c r="AO258" s="549">
        <v>0.17</v>
      </c>
      <c r="AP258" s="385">
        <v>48917</v>
      </c>
      <c r="AQ258" s="385">
        <v>49087</v>
      </c>
      <c r="AR258" s="481">
        <v>35842</v>
      </c>
      <c r="AS258" s="481">
        <v>15619</v>
      </c>
      <c r="AT258" s="617"/>
      <c r="AU258" s="618">
        <v>0</v>
      </c>
      <c r="AV258" s="618">
        <v>0</v>
      </c>
      <c r="AW258" s="620"/>
      <c r="AX258" s="620"/>
      <c r="AY258" s="625"/>
      <c r="AZ258" s="626"/>
      <c r="BA258" s="624"/>
      <c r="BB258" s="673">
        <v>787158</v>
      </c>
      <c r="BC258" s="781">
        <v>4.4999999999999998E-2</v>
      </c>
      <c r="BD258" s="790">
        <v>71</v>
      </c>
      <c r="BE258" s="673">
        <v>121109.23</v>
      </c>
    </row>
    <row r="259" spans="1:57" x14ac:dyDescent="0.2">
      <c r="A259" s="390">
        <v>13</v>
      </c>
      <c r="B259" s="551" t="s">
        <v>335</v>
      </c>
      <c r="C259" t="s">
        <v>1279</v>
      </c>
      <c r="D259" s="406">
        <v>1075.7</v>
      </c>
      <c r="E259" s="560">
        <v>6591</v>
      </c>
      <c r="F259" s="561">
        <v>599.29</v>
      </c>
      <c r="G259" s="561">
        <v>64.78</v>
      </c>
      <c r="H259" s="561">
        <v>76.180000000000007</v>
      </c>
      <c r="I259" s="561">
        <v>319.72000000000003</v>
      </c>
      <c r="J259" s="561">
        <v>63.36</v>
      </c>
      <c r="K259" s="561">
        <v>19.990000000000002</v>
      </c>
      <c r="L259" s="561">
        <v>34.25</v>
      </c>
      <c r="M259" s="343">
        <v>0</v>
      </c>
      <c r="N259" s="477">
        <v>2.3199999999999998</v>
      </c>
      <c r="O259" s="477">
        <v>5.8330000000000002</v>
      </c>
      <c r="P259" s="407">
        <v>2.42</v>
      </c>
      <c r="Q259" s="477">
        <v>0</v>
      </c>
      <c r="R259" s="483">
        <v>7444535</v>
      </c>
      <c r="S259" s="483">
        <v>676898</v>
      </c>
      <c r="T259" s="483">
        <v>73169</v>
      </c>
      <c r="U259" s="483">
        <v>86045</v>
      </c>
      <c r="V259" s="483">
        <v>361124</v>
      </c>
      <c r="W259" s="483">
        <v>360312</v>
      </c>
      <c r="X259" s="483">
        <v>0</v>
      </c>
      <c r="Y259" s="483">
        <v>3</v>
      </c>
      <c r="Z259" s="406">
        <v>0</v>
      </c>
      <c r="AA259" s="483">
        <v>36996</v>
      </c>
      <c r="AB259" s="483">
        <v>3942</v>
      </c>
      <c r="AC259" s="385">
        <v>19400</v>
      </c>
      <c r="AD259" s="545">
        <v>5.4</v>
      </c>
      <c r="AE259" s="483">
        <v>50476</v>
      </c>
      <c r="AF259" s="483">
        <v>51909</v>
      </c>
      <c r="AG259" s="481">
        <v>33100</v>
      </c>
      <c r="AH259" s="481">
        <v>27886</v>
      </c>
      <c r="AI259">
        <v>26</v>
      </c>
      <c r="AJ259" s="385">
        <v>350886439</v>
      </c>
      <c r="AK259" s="385">
        <v>17328</v>
      </c>
      <c r="AL259" s="385">
        <v>0</v>
      </c>
      <c r="AM259" s="287">
        <v>0</v>
      </c>
      <c r="AN259" s="542">
        <v>330000</v>
      </c>
      <c r="AO259" s="549">
        <v>0.17</v>
      </c>
      <c r="AP259" s="385">
        <v>33864</v>
      </c>
      <c r="AQ259" s="385">
        <v>34825</v>
      </c>
      <c r="AR259" s="481">
        <v>28821</v>
      </c>
      <c r="AS259" s="481">
        <v>18976</v>
      </c>
      <c r="AT259" s="617"/>
      <c r="AU259" s="618">
        <v>0</v>
      </c>
      <c r="AV259" s="618">
        <v>0</v>
      </c>
      <c r="AW259" s="620"/>
      <c r="AX259" s="620"/>
      <c r="AY259" s="625"/>
      <c r="AZ259" s="626"/>
      <c r="BA259" s="624"/>
      <c r="BB259" s="673">
        <v>848480</v>
      </c>
      <c r="BC259" s="781">
        <v>3.6999999999999998E-2</v>
      </c>
      <c r="BD259" s="790">
        <v>73</v>
      </c>
      <c r="BE259" s="673">
        <v>90415.57</v>
      </c>
    </row>
    <row r="260" spans="1:57" x14ac:dyDescent="0.2">
      <c r="A260" s="390">
        <v>12</v>
      </c>
      <c r="B260" s="551" t="s">
        <v>336</v>
      </c>
      <c r="C260" t="s">
        <v>1280</v>
      </c>
      <c r="D260" s="406">
        <v>765.6</v>
      </c>
      <c r="E260" s="560">
        <v>6621</v>
      </c>
      <c r="F260" s="561">
        <v>595.65</v>
      </c>
      <c r="G260" s="561">
        <v>60.54</v>
      </c>
      <c r="H260" s="561">
        <v>69.490000000000009</v>
      </c>
      <c r="I260" s="561">
        <v>319.72000000000003</v>
      </c>
      <c r="J260" s="561">
        <v>36.72</v>
      </c>
      <c r="K260" s="561">
        <v>9.08</v>
      </c>
      <c r="L260" s="561">
        <v>21.92</v>
      </c>
      <c r="M260" s="343">
        <v>0</v>
      </c>
      <c r="N260" s="477">
        <v>8.18</v>
      </c>
      <c r="O260" s="477">
        <v>3.6760000000000002</v>
      </c>
      <c r="P260" s="407">
        <v>9.0199999999999978</v>
      </c>
      <c r="Q260" s="477">
        <v>0</v>
      </c>
      <c r="R260" s="483">
        <v>5085590</v>
      </c>
      <c r="S260" s="483">
        <v>457519</v>
      </c>
      <c r="T260" s="483">
        <v>46501</v>
      </c>
      <c r="U260" s="483">
        <v>53375</v>
      </c>
      <c r="V260" s="483">
        <v>245577</v>
      </c>
      <c r="W260" s="483">
        <v>243459</v>
      </c>
      <c r="X260" s="483">
        <v>2236</v>
      </c>
      <c r="Y260" s="483">
        <v>6</v>
      </c>
      <c r="Z260" s="406">
        <v>0</v>
      </c>
      <c r="AA260" s="483">
        <v>24459</v>
      </c>
      <c r="AB260" s="483">
        <v>2925</v>
      </c>
      <c r="AC260" s="385">
        <v>14728</v>
      </c>
      <c r="AD260" s="545">
        <v>5.4</v>
      </c>
      <c r="AE260" s="483">
        <v>16047</v>
      </c>
      <c r="AF260" s="483">
        <v>16397</v>
      </c>
      <c r="AG260" s="481">
        <v>23582</v>
      </c>
      <c r="AH260" s="481">
        <v>16125</v>
      </c>
      <c r="AI260">
        <v>15</v>
      </c>
      <c r="AJ260" s="385">
        <v>283758663</v>
      </c>
      <c r="AK260" s="385">
        <v>14628</v>
      </c>
      <c r="AL260" s="385">
        <v>0</v>
      </c>
      <c r="AM260" s="287">
        <v>0</v>
      </c>
      <c r="AN260" s="542">
        <v>330000</v>
      </c>
      <c r="AO260" s="549">
        <v>0.17</v>
      </c>
      <c r="AP260" s="385">
        <v>10792</v>
      </c>
      <c r="AQ260" s="385">
        <v>11027</v>
      </c>
      <c r="AR260" s="481">
        <v>15859</v>
      </c>
      <c r="AS260" s="481">
        <v>11008</v>
      </c>
      <c r="AT260" s="617"/>
      <c r="AU260" s="618">
        <v>0</v>
      </c>
      <c r="AV260" s="618">
        <v>35171</v>
      </c>
      <c r="AW260" s="620"/>
      <c r="AX260" s="620"/>
      <c r="AY260" s="625"/>
      <c r="AZ260" s="626"/>
      <c r="BA260" s="624"/>
      <c r="BB260" s="673">
        <v>0</v>
      </c>
      <c r="BC260" s="781">
        <v>0.05</v>
      </c>
      <c r="BD260" s="790">
        <v>72</v>
      </c>
      <c r="BE260" s="673">
        <v>52299.29</v>
      </c>
    </row>
    <row r="261" spans="1:57" x14ac:dyDescent="0.2">
      <c r="A261" s="390">
        <v>13</v>
      </c>
      <c r="B261" s="551" t="s">
        <v>337</v>
      </c>
      <c r="C261" t="s">
        <v>1281</v>
      </c>
      <c r="D261" s="406">
        <v>408.9</v>
      </c>
      <c r="E261" s="560">
        <v>6603</v>
      </c>
      <c r="F261" s="561">
        <v>639.14</v>
      </c>
      <c r="G261" s="561">
        <v>67.33</v>
      </c>
      <c r="H261" s="561">
        <v>71.59</v>
      </c>
      <c r="I261" s="561">
        <v>319.72000000000003</v>
      </c>
      <c r="J261" s="561">
        <v>20.16</v>
      </c>
      <c r="K261" s="561">
        <v>8.4700000000000006</v>
      </c>
      <c r="L261" s="561">
        <v>30.14</v>
      </c>
      <c r="M261" s="343">
        <v>0</v>
      </c>
      <c r="N261" s="477">
        <v>27.17</v>
      </c>
      <c r="O261" s="477">
        <v>2.1539999999999999</v>
      </c>
      <c r="P261" s="407">
        <v>0.44</v>
      </c>
      <c r="Q261" s="477">
        <v>0</v>
      </c>
      <c r="R261" s="483">
        <v>2554040</v>
      </c>
      <c r="S261" s="483">
        <v>247219</v>
      </c>
      <c r="T261" s="483">
        <v>26043</v>
      </c>
      <c r="U261" s="483">
        <v>27691</v>
      </c>
      <c r="V261" s="483">
        <v>123668</v>
      </c>
      <c r="W261" s="483">
        <v>127680</v>
      </c>
      <c r="X261" s="483">
        <v>0</v>
      </c>
      <c r="Y261" s="483">
        <v>0</v>
      </c>
      <c r="Z261" s="406">
        <v>0</v>
      </c>
      <c r="AA261" s="483">
        <v>13110</v>
      </c>
      <c r="AB261" s="483">
        <v>1397</v>
      </c>
      <c r="AC261" s="385">
        <v>7599</v>
      </c>
      <c r="AD261" s="545">
        <v>5.4</v>
      </c>
      <c r="AE261" s="483">
        <v>30419</v>
      </c>
      <c r="AF261" s="483">
        <v>31266</v>
      </c>
      <c r="AG261" s="481">
        <v>3457</v>
      </c>
      <c r="AH261" s="481">
        <v>3455</v>
      </c>
      <c r="AI261">
        <v>11</v>
      </c>
      <c r="AJ261" s="385">
        <v>169499555</v>
      </c>
      <c r="AK261" s="385">
        <v>0</v>
      </c>
      <c r="AL261" s="385">
        <v>0</v>
      </c>
      <c r="AM261" s="287">
        <v>0</v>
      </c>
      <c r="AN261" s="542">
        <v>330000</v>
      </c>
      <c r="AO261" s="549">
        <v>0.17</v>
      </c>
      <c r="AP261" s="385">
        <v>15534</v>
      </c>
      <c r="AQ261" s="385">
        <v>15966</v>
      </c>
      <c r="AR261" s="481">
        <v>1965</v>
      </c>
      <c r="AS261" s="481">
        <v>1771</v>
      </c>
      <c r="AT261" s="617"/>
      <c r="AU261" s="618">
        <v>130385</v>
      </c>
      <c r="AV261" s="618">
        <v>0</v>
      </c>
      <c r="AW261" s="620"/>
      <c r="AX261" s="620"/>
      <c r="AY261" s="625"/>
      <c r="AZ261" s="626"/>
      <c r="BA261" s="624"/>
      <c r="BB261" s="673">
        <v>779928</v>
      </c>
      <c r="BC261" s="781">
        <v>0.05</v>
      </c>
      <c r="BD261" s="790">
        <v>36</v>
      </c>
      <c r="BE261" s="673">
        <v>8792.2000000000007</v>
      </c>
    </row>
    <row r="262" spans="1:57" x14ac:dyDescent="0.2">
      <c r="A262" s="390">
        <v>15</v>
      </c>
      <c r="B262" s="551" t="s">
        <v>338</v>
      </c>
      <c r="C262" t="s">
        <v>1282</v>
      </c>
      <c r="D262" s="406">
        <v>537.1</v>
      </c>
      <c r="E262" s="560">
        <v>6599</v>
      </c>
      <c r="F262" s="561">
        <v>610.84</v>
      </c>
      <c r="G262" s="561">
        <v>63.78</v>
      </c>
      <c r="H262" s="561">
        <v>66.220000000000013</v>
      </c>
      <c r="I262" s="561">
        <v>319.72000000000003</v>
      </c>
      <c r="J262" s="561">
        <v>22.32</v>
      </c>
      <c r="K262" s="561">
        <v>7.26</v>
      </c>
      <c r="L262" s="561">
        <v>31.51</v>
      </c>
      <c r="M262" s="343">
        <v>0</v>
      </c>
      <c r="N262" s="477">
        <v>26.3</v>
      </c>
      <c r="O262" s="477">
        <v>2.355</v>
      </c>
      <c r="P262" s="407">
        <v>0</v>
      </c>
      <c r="Q262" s="477">
        <v>0</v>
      </c>
      <c r="R262" s="483">
        <v>3494830</v>
      </c>
      <c r="S262" s="483">
        <v>323501</v>
      </c>
      <c r="T262" s="483">
        <v>33778</v>
      </c>
      <c r="U262" s="483">
        <v>35070</v>
      </c>
      <c r="V262" s="483">
        <v>169324</v>
      </c>
      <c r="W262" s="483">
        <v>168166</v>
      </c>
      <c r="X262" s="483">
        <v>5991</v>
      </c>
      <c r="Y262" s="483">
        <v>0</v>
      </c>
      <c r="Z262" s="406">
        <v>0</v>
      </c>
      <c r="AA262" s="483">
        <v>16846</v>
      </c>
      <c r="AB262" s="483">
        <v>1828</v>
      </c>
      <c r="AC262" s="385">
        <v>11058</v>
      </c>
      <c r="AD262" s="545">
        <v>5.4</v>
      </c>
      <c r="AE262" s="483">
        <v>26401</v>
      </c>
      <c r="AF262" s="483">
        <v>26451</v>
      </c>
      <c r="AG262" s="481">
        <v>10366</v>
      </c>
      <c r="AH262" s="481">
        <v>10048</v>
      </c>
      <c r="AI262">
        <v>17</v>
      </c>
      <c r="AJ262" s="385">
        <v>169559613</v>
      </c>
      <c r="AK262" s="385">
        <v>18764</v>
      </c>
      <c r="AL262" s="385">
        <v>0</v>
      </c>
      <c r="AM262" s="287">
        <v>0</v>
      </c>
      <c r="AN262" s="542">
        <v>330000</v>
      </c>
      <c r="AO262" s="549">
        <v>0.17</v>
      </c>
      <c r="AP262" s="385">
        <v>20639</v>
      </c>
      <c r="AQ262" s="385">
        <v>20678</v>
      </c>
      <c r="AR262" s="481">
        <v>8103</v>
      </c>
      <c r="AS262" s="481">
        <v>7929</v>
      </c>
      <c r="AT262" s="617"/>
      <c r="AU262" s="618">
        <v>0</v>
      </c>
      <c r="AV262" s="618">
        <v>51256</v>
      </c>
      <c r="AW262" s="620"/>
      <c r="AX262" s="620"/>
      <c r="AY262" s="625"/>
      <c r="AZ262" s="626"/>
      <c r="BA262" s="624"/>
      <c r="BB262" s="673">
        <v>0</v>
      </c>
      <c r="BC262" s="781">
        <v>0.04</v>
      </c>
      <c r="BD262" s="790">
        <v>54</v>
      </c>
      <c r="BE262" s="673">
        <v>26669.5</v>
      </c>
    </row>
    <row r="263" spans="1:57" x14ac:dyDescent="0.2">
      <c r="A263" s="390">
        <v>12</v>
      </c>
      <c r="B263" s="551" t="s">
        <v>339</v>
      </c>
      <c r="C263" t="s">
        <v>1283</v>
      </c>
      <c r="D263" s="406">
        <v>1245.2</v>
      </c>
      <c r="E263" s="560">
        <v>6591</v>
      </c>
      <c r="F263" s="561">
        <v>573.47</v>
      </c>
      <c r="G263" s="561">
        <v>73.95</v>
      </c>
      <c r="H263" s="561">
        <v>77.7</v>
      </c>
      <c r="I263" s="561">
        <v>319.72000000000003</v>
      </c>
      <c r="J263" s="561">
        <v>41.76</v>
      </c>
      <c r="K263" s="561">
        <v>52.67</v>
      </c>
      <c r="L263" s="561">
        <v>68.5</v>
      </c>
      <c r="M263" s="343">
        <v>0</v>
      </c>
      <c r="N263" s="477">
        <v>2.91</v>
      </c>
      <c r="O263" s="477">
        <v>5.5220000000000002</v>
      </c>
      <c r="P263" s="407">
        <v>38.06</v>
      </c>
      <c r="Q263" s="477">
        <v>0</v>
      </c>
      <c r="R263" s="483">
        <v>7875586</v>
      </c>
      <c r="S263" s="483">
        <v>685239</v>
      </c>
      <c r="T263" s="483">
        <v>88363</v>
      </c>
      <c r="U263" s="483">
        <v>92844</v>
      </c>
      <c r="V263" s="483">
        <v>382033</v>
      </c>
      <c r="W263" s="483">
        <v>400651</v>
      </c>
      <c r="X263" s="483">
        <v>0</v>
      </c>
      <c r="Y263" s="483">
        <v>712</v>
      </c>
      <c r="Z263" s="406">
        <v>0</v>
      </c>
      <c r="AA263" s="483">
        <v>40252</v>
      </c>
      <c r="AB263" s="483">
        <v>4813</v>
      </c>
      <c r="AC263" s="385">
        <v>16038</v>
      </c>
      <c r="AD263" s="545">
        <v>5.4</v>
      </c>
      <c r="AE263" s="483">
        <v>22024</v>
      </c>
      <c r="AF263" s="483">
        <v>22192</v>
      </c>
      <c r="AG263" s="481">
        <v>79465</v>
      </c>
      <c r="AH263" s="481">
        <v>42068</v>
      </c>
      <c r="AI263">
        <v>71.5</v>
      </c>
      <c r="AJ263" s="385">
        <v>404648155</v>
      </c>
      <c r="AK263" s="385">
        <v>12997</v>
      </c>
      <c r="AL263" s="385">
        <v>0</v>
      </c>
      <c r="AM263" s="287">
        <v>0</v>
      </c>
      <c r="AN263" s="542">
        <v>330000</v>
      </c>
      <c r="AO263" s="549">
        <v>0.17</v>
      </c>
      <c r="AP263" s="385">
        <v>16866</v>
      </c>
      <c r="AQ263" s="385">
        <v>16994</v>
      </c>
      <c r="AR263" s="481">
        <v>60853</v>
      </c>
      <c r="AS263" s="481">
        <v>33385</v>
      </c>
      <c r="AT263" s="617"/>
      <c r="AU263" s="618">
        <v>0</v>
      </c>
      <c r="AV263" s="618">
        <v>0</v>
      </c>
      <c r="AW263" s="620"/>
      <c r="AX263" s="620"/>
      <c r="AY263" s="625"/>
      <c r="AZ263" s="626"/>
      <c r="BA263" s="624"/>
      <c r="BB263" s="673">
        <v>1089832</v>
      </c>
      <c r="BC263" s="781">
        <v>0.05</v>
      </c>
      <c r="BD263" s="790">
        <v>84</v>
      </c>
      <c r="BE263" s="673">
        <v>234069.95</v>
      </c>
    </row>
    <row r="264" spans="1:57" x14ac:dyDescent="0.2">
      <c r="A264" s="390">
        <v>5</v>
      </c>
      <c r="B264" s="551" t="s">
        <v>341</v>
      </c>
      <c r="C264" t="s">
        <v>651</v>
      </c>
      <c r="D264" s="406">
        <v>473</v>
      </c>
      <c r="E264" s="560">
        <v>6606</v>
      </c>
      <c r="F264" s="561">
        <v>688.37</v>
      </c>
      <c r="G264" s="561">
        <v>78.87</v>
      </c>
      <c r="H264" s="561">
        <v>71.45</v>
      </c>
      <c r="I264" s="561">
        <v>319.72000000000003</v>
      </c>
      <c r="J264" s="561">
        <v>25.919999999999998</v>
      </c>
      <c r="K264" s="561">
        <v>10.89</v>
      </c>
      <c r="L264" s="561">
        <v>32.880000000000003</v>
      </c>
      <c r="M264" s="343">
        <v>1.59</v>
      </c>
      <c r="N264" s="477">
        <v>17.09</v>
      </c>
      <c r="O264" s="477">
        <v>1.9609999999999999</v>
      </c>
      <c r="P264" s="407">
        <v>1.54</v>
      </c>
      <c r="Q264" s="477">
        <v>0</v>
      </c>
      <c r="R264" s="483">
        <v>3187395</v>
      </c>
      <c r="S264" s="483">
        <v>332139</v>
      </c>
      <c r="T264" s="483">
        <v>38055</v>
      </c>
      <c r="U264" s="483">
        <v>34475</v>
      </c>
      <c r="V264" s="483">
        <v>154265</v>
      </c>
      <c r="W264" s="483">
        <v>166858</v>
      </c>
      <c r="X264" s="483">
        <v>0</v>
      </c>
      <c r="Y264" s="483">
        <v>0</v>
      </c>
      <c r="Z264" s="406">
        <v>0</v>
      </c>
      <c r="AA264" s="483">
        <v>17755</v>
      </c>
      <c r="AB264" s="483">
        <v>2116</v>
      </c>
      <c r="AC264" s="385">
        <v>9928</v>
      </c>
      <c r="AD264" s="545">
        <v>5.4</v>
      </c>
      <c r="AE264" s="483">
        <v>25847</v>
      </c>
      <c r="AF264" s="483">
        <v>26000</v>
      </c>
      <c r="AG264" s="481">
        <v>17918</v>
      </c>
      <c r="AH264" s="481">
        <v>17918</v>
      </c>
      <c r="AI264">
        <v>12.5</v>
      </c>
      <c r="AJ264" s="385">
        <v>258658414</v>
      </c>
      <c r="AK264" s="385">
        <v>2191</v>
      </c>
      <c r="AL264" s="385">
        <v>0</v>
      </c>
      <c r="AM264" s="287">
        <v>0</v>
      </c>
      <c r="AN264" s="542">
        <v>330000</v>
      </c>
      <c r="AO264" s="549">
        <v>0.17</v>
      </c>
      <c r="AP264" s="385">
        <v>12219</v>
      </c>
      <c r="AQ264" s="385">
        <v>12291</v>
      </c>
      <c r="AR264" s="481">
        <v>8471</v>
      </c>
      <c r="AS264" s="481">
        <v>8579</v>
      </c>
      <c r="AT264" s="617"/>
      <c r="AU264" s="618">
        <v>145108</v>
      </c>
      <c r="AV264" s="618">
        <v>0</v>
      </c>
      <c r="AW264" s="620"/>
      <c r="AX264" s="620"/>
      <c r="AY264" s="625"/>
      <c r="AZ264" s="626"/>
      <c r="BA264" s="624"/>
      <c r="BB264" s="673">
        <v>173717</v>
      </c>
      <c r="BC264" s="781">
        <v>0.05</v>
      </c>
      <c r="BD264" s="790">
        <v>11</v>
      </c>
      <c r="BE264" s="673">
        <v>38529.11</v>
      </c>
    </row>
    <row r="265" spans="1:57" x14ac:dyDescent="0.2">
      <c r="A265" s="390">
        <v>12</v>
      </c>
      <c r="B265" s="551" t="s">
        <v>340</v>
      </c>
      <c r="C265" t="s">
        <v>1284</v>
      </c>
      <c r="D265" s="406">
        <v>14504</v>
      </c>
      <c r="E265" s="560">
        <v>6591</v>
      </c>
      <c r="F265" s="561">
        <v>551.34</v>
      </c>
      <c r="G265" s="561">
        <v>65.820000000000007</v>
      </c>
      <c r="H265" s="561">
        <v>82.65</v>
      </c>
      <c r="I265" s="561">
        <v>319.72000000000003</v>
      </c>
      <c r="J265" s="561">
        <v>837.36</v>
      </c>
      <c r="K265" s="561">
        <v>515.47</v>
      </c>
      <c r="L265" s="561">
        <v>1091.8899999999999</v>
      </c>
      <c r="M265" s="343">
        <v>0</v>
      </c>
      <c r="N265" s="477">
        <v>83.27</v>
      </c>
      <c r="O265" s="477">
        <v>93.093000000000004</v>
      </c>
      <c r="P265" s="407">
        <v>357.06</v>
      </c>
      <c r="Q265" s="477">
        <v>0</v>
      </c>
      <c r="R265" s="483">
        <v>96326147</v>
      </c>
      <c r="S265" s="483">
        <v>8057724</v>
      </c>
      <c r="T265" s="483">
        <v>961946</v>
      </c>
      <c r="U265" s="483">
        <v>1207913</v>
      </c>
      <c r="V265" s="483">
        <v>4672644</v>
      </c>
      <c r="W265" s="483">
        <v>5056437</v>
      </c>
      <c r="X265" s="483">
        <v>0</v>
      </c>
      <c r="Y265" s="483">
        <v>1348</v>
      </c>
      <c r="Z265" s="406">
        <v>27.9</v>
      </c>
      <c r="AA265" s="483">
        <v>507999</v>
      </c>
      <c r="AB265" s="483">
        <v>60748</v>
      </c>
      <c r="AC265" s="385">
        <v>229069</v>
      </c>
      <c r="AD265" s="545">
        <v>5.4</v>
      </c>
      <c r="AE265" s="483">
        <v>660767</v>
      </c>
      <c r="AF265" s="483">
        <v>681480</v>
      </c>
      <c r="AG265" s="481">
        <v>399094</v>
      </c>
      <c r="AH265" s="481">
        <v>394876</v>
      </c>
      <c r="AI265">
        <v>378</v>
      </c>
      <c r="AJ265" s="385">
        <v>2379346307</v>
      </c>
      <c r="AK265" s="385">
        <v>65354</v>
      </c>
      <c r="AL265" s="385">
        <v>0</v>
      </c>
      <c r="AM265" s="287">
        <v>0</v>
      </c>
      <c r="AN265" s="542">
        <v>330000</v>
      </c>
      <c r="AO265" s="549">
        <v>0.17</v>
      </c>
      <c r="AP265" s="385">
        <v>764136</v>
      </c>
      <c r="AQ265" s="385">
        <v>788089</v>
      </c>
      <c r="AR265" s="481">
        <v>461527</v>
      </c>
      <c r="AS265" s="481">
        <v>471943</v>
      </c>
      <c r="AT265" s="617"/>
      <c r="AU265" s="618">
        <v>0</v>
      </c>
      <c r="AV265" s="618">
        <v>0</v>
      </c>
      <c r="AW265" s="620"/>
      <c r="AX265" s="620"/>
      <c r="AY265" s="625"/>
      <c r="AZ265" s="626"/>
      <c r="BA265" s="624"/>
      <c r="BB265" s="673">
        <v>7758718</v>
      </c>
      <c r="BC265" s="781">
        <v>0.05</v>
      </c>
      <c r="BD265" s="790">
        <v>97</v>
      </c>
      <c r="BE265" s="673">
        <v>1144069.5</v>
      </c>
    </row>
    <row r="266" spans="1:57" x14ac:dyDescent="0.2">
      <c r="A266" s="390">
        <v>10</v>
      </c>
      <c r="B266" s="551" t="s">
        <v>342</v>
      </c>
      <c r="C266" t="s">
        <v>1285</v>
      </c>
      <c r="D266" s="406">
        <v>1328.6</v>
      </c>
      <c r="E266" s="560">
        <v>6591</v>
      </c>
      <c r="F266" s="561">
        <v>542.82000000000005</v>
      </c>
      <c r="G266" s="561">
        <v>56.04</v>
      </c>
      <c r="H266" s="561">
        <v>50.9</v>
      </c>
      <c r="I266" s="561">
        <v>319.72000000000003</v>
      </c>
      <c r="J266" s="561">
        <v>40.32</v>
      </c>
      <c r="K266" s="561">
        <v>24.2</v>
      </c>
      <c r="L266" s="561">
        <v>31.51</v>
      </c>
      <c r="M266" s="343">
        <v>0</v>
      </c>
      <c r="N266" s="477">
        <v>9.77</v>
      </c>
      <c r="O266" s="477">
        <v>3.35</v>
      </c>
      <c r="P266" s="407">
        <v>0.44</v>
      </c>
      <c r="Q266" s="477">
        <v>0</v>
      </c>
      <c r="R266" s="483">
        <v>8548527</v>
      </c>
      <c r="S266" s="483">
        <v>704038</v>
      </c>
      <c r="T266" s="483">
        <v>72684</v>
      </c>
      <c r="U266" s="483">
        <v>66017</v>
      </c>
      <c r="V266" s="483">
        <v>414677</v>
      </c>
      <c r="W266" s="483">
        <v>403602</v>
      </c>
      <c r="X266" s="483">
        <v>0</v>
      </c>
      <c r="Y266" s="483">
        <v>21</v>
      </c>
      <c r="Z266" s="406">
        <v>0</v>
      </c>
      <c r="AA266" s="483">
        <v>37708</v>
      </c>
      <c r="AB266" s="483">
        <v>4388</v>
      </c>
      <c r="AC266" s="385">
        <v>15994</v>
      </c>
      <c r="AD266" s="545">
        <v>5.4</v>
      </c>
      <c r="AE266" s="483">
        <v>16315</v>
      </c>
      <c r="AF266" s="483">
        <v>16453</v>
      </c>
      <c r="AG266" s="481">
        <v>17084</v>
      </c>
      <c r="AH266" s="481">
        <v>14977</v>
      </c>
      <c r="AI266">
        <v>24.5</v>
      </c>
      <c r="AJ266" s="385">
        <v>423965612</v>
      </c>
      <c r="AK266" s="385">
        <v>706</v>
      </c>
      <c r="AL266" s="385">
        <v>0</v>
      </c>
      <c r="AM266" s="287">
        <v>0</v>
      </c>
      <c r="AN266" s="542">
        <v>330000</v>
      </c>
      <c r="AO266" s="549">
        <v>0.17</v>
      </c>
      <c r="AP266" s="385">
        <v>10590</v>
      </c>
      <c r="AQ266" s="385">
        <v>10679</v>
      </c>
      <c r="AR266" s="481">
        <v>11088</v>
      </c>
      <c r="AS266" s="481">
        <v>9802</v>
      </c>
      <c r="AT266" s="617"/>
      <c r="AU266" s="618">
        <v>0</v>
      </c>
      <c r="AV266" s="618">
        <v>0</v>
      </c>
      <c r="AW266" s="620"/>
      <c r="AX266" s="620"/>
      <c r="AY266" s="625"/>
      <c r="AZ266" s="626"/>
      <c r="BA266" s="624"/>
      <c r="BB266" s="673">
        <v>402449</v>
      </c>
      <c r="BC266" s="781">
        <v>2.5000000000000001E-2</v>
      </c>
      <c r="BD266" s="790">
        <v>52</v>
      </c>
      <c r="BE266" s="673">
        <v>50982.11</v>
      </c>
    </row>
    <row r="267" spans="1:57" x14ac:dyDescent="0.2">
      <c r="A267" s="390">
        <v>5</v>
      </c>
      <c r="B267" s="562" t="s">
        <v>1871</v>
      </c>
      <c r="C267" t="s">
        <v>1639</v>
      </c>
      <c r="D267" s="406">
        <v>920.1</v>
      </c>
      <c r="E267" s="560">
        <v>6624</v>
      </c>
      <c r="F267" s="561">
        <v>631.89</v>
      </c>
      <c r="G267" s="561">
        <v>64.399999999999991</v>
      </c>
      <c r="H267" s="561">
        <v>67.95</v>
      </c>
      <c r="I267" s="561">
        <v>319.72000000000003</v>
      </c>
      <c r="J267" s="561">
        <v>55.44</v>
      </c>
      <c r="K267" s="561">
        <v>12.14</v>
      </c>
      <c r="L267" s="561">
        <v>41.1</v>
      </c>
      <c r="M267" s="343">
        <v>3.02</v>
      </c>
      <c r="N267" s="477">
        <v>26.75</v>
      </c>
      <c r="O267" s="477">
        <v>4.399</v>
      </c>
      <c r="P267" s="407">
        <v>0.22</v>
      </c>
      <c r="Q267" s="477">
        <v>78.2</v>
      </c>
      <c r="R267" s="483">
        <v>6100042</v>
      </c>
      <c r="S267" s="483">
        <v>581908</v>
      </c>
      <c r="T267" s="483">
        <v>59306</v>
      </c>
      <c r="U267" s="483">
        <v>62575</v>
      </c>
      <c r="V267" s="483">
        <v>294430</v>
      </c>
      <c r="W267" s="483">
        <v>310137</v>
      </c>
      <c r="X267" s="483">
        <v>0</v>
      </c>
      <c r="Y267" s="483">
        <v>14</v>
      </c>
      <c r="Z267" s="406">
        <v>0</v>
      </c>
      <c r="AA267" s="483">
        <v>33002</v>
      </c>
      <c r="AB267" s="483">
        <v>3932</v>
      </c>
      <c r="AC267" s="385">
        <v>18724</v>
      </c>
      <c r="AD267" s="545">
        <v>5.4</v>
      </c>
      <c r="AE267" s="483">
        <v>61202</v>
      </c>
      <c r="AF267" s="483">
        <v>63041</v>
      </c>
      <c r="AG267" s="481">
        <v>17838</v>
      </c>
      <c r="AH267" s="481">
        <v>17573</v>
      </c>
      <c r="AI267">
        <v>23.5</v>
      </c>
      <c r="AJ267" s="385">
        <v>426452467</v>
      </c>
      <c r="AK267" s="385">
        <v>25437</v>
      </c>
      <c r="AL267" s="385">
        <v>0</v>
      </c>
      <c r="AM267" s="287">
        <v>0</v>
      </c>
      <c r="AN267" s="542">
        <v>330000</v>
      </c>
      <c r="AO267" s="549">
        <v>0.17</v>
      </c>
      <c r="AP267" s="385">
        <v>37430</v>
      </c>
      <c r="AQ267" s="385">
        <v>38555</v>
      </c>
      <c r="AR267" s="481">
        <v>10909</v>
      </c>
      <c r="AS267" s="481">
        <v>10824</v>
      </c>
      <c r="AT267" s="617"/>
      <c r="AU267" s="618">
        <v>28170</v>
      </c>
      <c r="AV267" s="618">
        <v>0</v>
      </c>
      <c r="AW267" s="620"/>
      <c r="AX267" s="620"/>
      <c r="AY267" s="625"/>
      <c r="AZ267" s="626"/>
      <c r="BA267" s="624"/>
      <c r="BB267" s="673">
        <v>0</v>
      </c>
      <c r="BC267" s="781">
        <v>0.05</v>
      </c>
      <c r="BD267" s="790">
        <v>13</v>
      </c>
      <c r="BE267" s="673">
        <v>35324.42</v>
      </c>
    </row>
    <row r="268" spans="1:57" x14ac:dyDescent="0.2">
      <c r="A268" s="390">
        <v>5</v>
      </c>
      <c r="B268" s="551" t="s">
        <v>344</v>
      </c>
      <c r="C268" t="s">
        <v>1287</v>
      </c>
      <c r="D268" s="406">
        <v>638.20000000000005</v>
      </c>
      <c r="E268" s="560">
        <v>6653</v>
      </c>
      <c r="F268" s="561">
        <v>633.1</v>
      </c>
      <c r="G268" s="561">
        <v>74.92</v>
      </c>
      <c r="H268" s="561">
        <v>71.14</v>
      </c>
      <c r="I268" s="561">
        <v>319.72000000000003</v>
      </c>
      <c r="J268" s="561">
        <v>28.08</v>
      </c>
      <c r="K268" s="561">
        <v>18.149999999999999</v>
      </c>
      <c r="L268" s="561">
        <v>19.18</v>
      </c>
      <c r="M268" s="343">
        <v>2.06</v>
      </c>
      <c r="N268" s="477">
        <v>9.4600000000000009</v>
      </c>
      <c r="O268" s="477">
        <v>2.9119999999999999</v>
      </c>
      <c r="P268" s="407">
        <v>2.42</v>
      </c>
      <c r="Q268" s="477">
        <v>0</v>
      </c>
      <c r="R268" s="483">
        <v>4333099</v>
      </c>
      <c r="S268" s="483">
        <v>412338</v>
      </c>
      <c r="T268" s="483">
        <v>48795</v>
      </c>
      <c r="U268" s="483">
        <v>46333</v>
      </c>
      <c r="V268" s="483">
        <v>208234</v>
      </c>
      <c r="W268" s="483">
        <v>215111</v>
      </c>
      <c r="X268" s="483">
        <v>0</v>
      </c>
      <c r="Y268" s="483">
        <v>0</v>
      </c>
      <c r="Z268" s="406">
        <v>0</v>
      </c>
      <c r="AA268" s="483">
        <v>22890</v>
      </c>
      <c r="AB268" s="483">
        <v>2728</v>
      </c>
      <c r="AC268" s="385">
        <v>11749</v>
      </c>
      <c r="AD268" s="545">
        <v>5.4</v>
      </c>
      <c r="AE268" s="483">
        <v>48929</v>
      </c>
      <c r="AF268" s="483">
        <v>50552</v>
      </c>
      <c r="AG268" s="481">
        <v>14507</v>
      </c>
      <c r="AH268" s="481">
        <v>9267</v>
      </c>
      <c r="AI268">
        <v>13</v>
      </c>
      <c r="AJ268" s="385">
        <v>252388591</v>
      </c>
      <c r="AK268" s="385">
        <v>6492</v>
      </c>
      <c r="AL268" s="385">
        <v>0</v>
      </c>
      <c r="AM268" s="287">
        <v>0</v>
      </c>
      <c r="AN268" s="542">
        <v>330000</v>
      </c>
      <c r="AO268" s="549">
        <v>0.17</v>
      </c>
      <c r="AP268" s="385">
        <v>27877</v>
      </c>
      <c r="AQ268" s="385">
        <v>28802</v>
      </c>
      <c r="AR268" s="481">
        <v>8265</v>
      </c>
      <c r="AS268" s="481">
        <v>5333</v>
      </c>
      <c r="AT268" s="617"/>
      <c r="AU268" s="618">
        <v>0</v>
      </c>
      <c r="AV268" s="618">
        <v>0</v>
      </c>
      <c r="AW268" s="620"/>
      <c r="AX268" s="620"/>
      <c r="AY268" s="625"/>
      <c r="AZ268" s="626"/>
      <c r="BA268" s="624"/>
      <c r="BB268" s="673">
        <v>1406017</v>
      </c>
      <c r="BC268" s="781">
        <v>0.05</v>
      </c>
      <c r="BD268" s="790">
        <v>40</v>
      </c>
      <c r="BE268" s="673">
        <v>42906.239999999998</v>
      </c>
    </row>
    <row r="269" spans="1:57" x14ac:dyDescent="0.2">
      <c r="A269" s="390">
        <v>12</v>
      </c>
      <c r="B269" s="551" t="s">
        <v>310</v>
      </c>
      <c r="C269" t="s">
        <v>646</v>
      </c>
      <c r="D269" s="406">
        <v>615.4</v>
      </c>
      <c r="E269" s="560">
        <v>6644</v>
      </c>
      <c r="F269" s="561">
        <v>585.26</v>
      </c>
      <c r="G269" s="561">
        <v>68.91</v>
      </c>
      <c r="H269" s="561">
        <v>58.41</v>
      </c>
      <c r="I269" s="561">
        <v>319.72000000000003</v>
      </c>
      <c r="J269" s="561">
        <v>38.879999999999995</v>
      </c>
      <c r="K269" s="561">
        <v>45.38</v>
      </c>
      <c r="L269" s="561">
        <v>27.4</v>
      </c>
      <c r="M269" s="343">
        <v>0</v>
      </c>
      <c r="N269" s="477">
        <v>2.44</v>
      </c>
      <c r="O269" s="477">
        <v>2.9139999999999997</v>
      </c>
      <c r="P269" s="407">
        <v>1.1000000000000001</v>
      </c>
      <c r="Q269" s="477">
        <v>0</v>
      </c>
      <c r="R269" s="483">
        <v>4149842</v>
      </c>
      <c r="S269" s="483">
        <v>365553</v>
      </c>
      <c r="T269" s="483">
        <v>43041</v>
      </c>
      <c r="U269" s="483">
        <v>36483</v>
      </c>
      <c r="V269" s="483">
        <v>199697</v>
      </c>
      <c r="W269" s="483">
        <v>223010</v>
      </c>
      <c r="X269" s="483">
        <v>0</v>
      </c>
      <c r="Y269" s="483">
        <v>99</v>
      </c>
      <c r="Z269" s="406">
        <v>5.8</v>
      </c>
      <c r="AA269" s="483">
        <v>22405</v>
      </c>
      <c r="AB269" s="483">
        <v>2679</v>
      </c>
      <c r="AC269" s="385">
        <v>13463</v>
      </c>
      <c r="AD269" s="545">
        <v>5.4</v>
      </c>
      <c r="AE269" s="483">
        <v>37861</v>
      </c>
      <c r="AF269" s="483">
        <v>38490</v>
      </c>
      <c r="AG269" s="481">
        <v>12879</v>
      </c>
      <c r="AH269" s="481">
        <v>11940</v>
      </c>
      <c r="AI269">
        <v>15</v>
      </c>
      <c r="AJ269" s="385">
        <v>350162782</v>
      </c>
      <c r="AK269" s="385">
        <v>33009</v>
      </c>
      <c r="AL269" s="385">
        <v>0</v>
      </c>
      <c r="AM269" s="287">
        <v>0</v>
      </c>
      <c r="AN269" s="542">
        <v>330000</v>
      </c>
      <c r="AO269" s="549">
        <v>0.17</v>
      </c>
      <c r="AP269" s="385">
        <v>18184</v>
      </c>
      <c r="AQ269" s="385">
        <v>18486</v>
      </c>
      <c r="AR269" s="481">
        <v>6186</v>
      </c>
      <c r="AS269" s="481">
        <v>5772</v>
      </c>
      <c r="AT269" s="617"/>
      <c r="AU269" s="618">
        <v>270148</v>
      </c>
      <c r="AV269" s="618">
        <v>0</v>
      </c>
      <c r="AW269" s="620"/>
      <c r="AX269" s="620"/>
      <c r="AY269" s="625"/>
      <c r="AZ269" s="626"/>
      <c r="BA269" s="624"/>
      <c r="BB269" s="673">
        <v>5050</v>
      </c>
      <c r="BC269" s="781">
        <v>0.05</v>
      </c>
      <c r="BD269" s="790">
        <v>71</v>
      </c>
      <c r="BE269" s="673">
        <v>27980.38</v>
      </c>
    </row>
    <row r="270" spans="1:57" x14ac:dyDescent="0.2">
      <c r="A270" s="390">
        <v>13</v>
      </c>
      <c r="B270" s="551" t="s">
        <v>345</v>
      </c>
      <c r="C270" t="s">
        <v>1288</v>
      </c>
      <c r="D270" s="406">
        <v>197.9</v>
      </c>
      <c r="E270" s="560">
        <v>6591</v>
      </c>
      <c r="F270" s="561">
        <v>663.48</v>
      </c>
      <c r="G270" s="561">
        <v>66.63</v>
      </c>
      <c r="H270" s="561">
        <v>54.53</v>
      </c>
      <c r="I270" s="561">
        <v>319.72000000000003</v>
      </c>
      <c r="J270" s="561">
        <v>5.76</v>
      </c>
      <c r="K270" s="561">
        <v>6.05</v>
      </c>
      <c r="L270" s="561">
        <v>24.66</v>
      </c>
      <c r="M270" s="343">
        <v>0</v>
      </c>
      <c r="N270" s="477">
        <v>27.29</v>
      </c>
      <c r="O270" s="477">
        <v>1.3260000000000001</v>
      </c>
      <c r="P270" s="407">
        <v>0</v>
      </c>
      <c r="Q270" s="477">
        <v>0</v>
      </c>
      <c r="R270" s="483">
        <v>1232517</v>
      </c>
      <c r="S270" s="483">
        <v>124071</v>
      </c>
      <c r="T270" s="483">
        <v>12460</v>
      </c>
      <c r="U270" s="483">
        <v>10197</v>
      </c>
      <c r="V270" s="483">
        <v>59788</v>
      </c>
      <c r="W270" s="483">
        <v>63618</v>
      </c>
      <c r="X270" s="483">
        <v>15630</v>
      </c>
      <c r="Y270" s="483">
        <v>3</v>
      </c>
      <c r="Z270" s="406">
        <v>0</v>
      </c>
      <c r="AA270" s="483">
        <v>6532</v>
      </c>
      <c r="AB270" s="483">
        <v>696</v>
      </c>
      <c r="AC270" s="385">
        <v>5327</v>
      </c>
      <c r="AD270" s="545">
        <v>5.4</v>
      </c>
      <c r="AE270" s="483">
        <v>17002</v>
      </c>
      <c r="AF270" s="483">
        <v>17474</v>
      </c>
      <c r="AG270" s="481">
        <v>1535</v>
      </c>
      <c r="AH270" s="481">
        <v>1535</v>
      </c>
      <c r="AI270">
        <v>3</v>
      </c>
      <c r="AJ270" s="385">
        <v>108388008</v>
      </c>
      <c r="AK270" s="385">
        <v>1080</v>
      </c>
      <c r="AL270" s="385">
        <v>0</v>
      </c>
      <c r="AM270" s="287">
        <v>0</v>
      </c>
      <c r="AN270" s="542">
        <v>330000</v>
      </c>
      <c r="AO270" s="549">
        <v>0.17</v>
      </c>
      <c r="AP270" s="385">
        <v>9162</v>
      </c>
      <c r="AQ270" s="385">
        <v>9416</v>
      </c>
      <c r="AR270" s="481">
        <v>827</v>
      </c>
      <c r="AS270" s="481">
        <v>829</v>
      </c>
      <c r="AT270" s="617"/>
      <c r="AU270" s="618">
        <v>0</v>
      </c>
      <c r="AV270" s="618">
        <v>63065</v>
      </c>
      <c r="AW270" s="620"/>
      <c r="AX270" s="620"/>
      <c r="AY270" s="625"/>
      <c r="AZ270" s="626"/>
      <c r="BA270" s="624"/>
      <c r="BB270" s="673">
        <v>508576</v>
      </c>
      <c r="BC270" s="781">
        <v>4.9000000000000002E-2</v>
      </c>
      <c r="BD270" s="790">
        <v>73</v>
      </c>
      <c r="BE270" s="673">
        <v>3170.21</v>
      </c>
    </row>
    <row r="271" spans="1:57" x14ac:dyDescent="0.2">
      <c r="A271" s="390">
        <v>7</v>
      </c>
      <c r="B271" s="551" t="s">
        <v>346</v>
      </c>
      <c r="C271" t="s">
        <v>1289</v>
      </c>
      <c r="D271" s="406">
        <v>1565</v>
      </c>
      <c r="E271" s="560">
        <v>6611</v>
      </c>
      <c r="F271" s="561">
        <v>586.84</v>
      </c>
      <c r="G271" s="561">
        <v>61.02</v>
      </c>
      <c r="H271" s="561">
        <v>76.660000000000011</v>
      </c>
      <c r="I271" s="561">
        <v>319.72000000000003</v>
      </c>
      <c r="J271" s="561">
        <v>110.16</v>
      </c>
      <c r="K271" s="561">
        <v>71.39</v>
      </c>
      <c r="L271" s="561">
        <v>63.02</v>
      </c>
      <c r="M271" s="343">
        <v>0</v>
      </c>
      <c r="N271" s="477">
        <v>11.39</v>
      </c>
      <c r="O271" s="477">
        <v>9.6430000000000007</v>
      </c>
      <c r="P271" s="407">
        <v>37.619999999999997</v>
      </c>
      <c r="Q271" s="477">
        <v>0</v>
      </c>
      <c r="R271" s="483">
        <v>10208045</v>
      </c>
      <c r="S271" s="483">
        <v>906140</v>
      </c>
      <c r="T271" s="483">
        <v>94221</v>
      </c>
      <c r="U271" s="483">
        <v>118371</v>
      </c>
      <c r="V271" s="483">
        <v>493680</v>
      </c>
      <c r="W271" s="483">
        <v>524580</v>
      </c>
      <c r="X271" s="483">
        <v>0</v>
      </c>
      <c r="Y271" s="483">
        <v>6</v>
      </c>
      <c r="Z271" s="406">
        <v>0</v>
      </c>
      <c r="AA271" s="483">
        <v>66517</v>
      </c>
      <c r="AB271" s="483">
        <v>7643</v>
      </c>
      <c r="AC271" s="385">
        <v>24984</v>
      </c>
      <c r="AD271" s="545">
        <v>5.4</v>
      </c>
      <c r="AE271" s="483">
        <v>52049</v>
      </c>
      <c r="AF271" s="483">
        <v>51961</v>
      </c>
      <c r="AG271" s="481">
        <v>33302</v>
      </c>
      <c r="AH271" s="481">
        <v>30636</v>
      </c>
      <c r="AI271">
        <v>42.5</v>
      </c>
      <c r="AJ271" s="385">
        <v>340588517</v>
      </c>
      <c r="AK271" s="385">
        <v>68447</v>
      </c>
      <c r="AL271" s="385">
        <v>0</v>
      </c>
      <c r="AM271" s="287">
        <v>0</v>
      </c>
      <c r="AN271" s="542">
        <v>330000</v>
      </c>
      <c r="AO271" s="549">
        <v>0.17</v>
      </c>
      <c r="AP271" s="385">
        <v>44198</v>
      </c>
      <c r="AQ271" s="385">
        <v>44124</v>
      </c>
      <c r="AR271" s="481">
        <v>28279</v>
      </c>
      <c r="AS271" s="481">
        <v>26436</v>
      </c>
      <c r="AT271" s="617"/>
      <c r="AU271" s="618">
        <v>0</v>
      </c>
      <c r="AV271" s="618">
        <v>0</v>
      </c>
      <c r="AW271" s="620"/>
      <c r="AX271" s="620"/>
      <c r="AY271" s="625"/>
      <c r="AZ271" s="626"/>
      <c r="BA271" s="624"/>
      <c r="BB271" s="673">
        <v>2750118</v>
      </c>
      <c r="BC271" s="781">
        <v>2.5000000000000001E-2</v>
      </c>
      <c r="BD271" s="790">
        <v>86</v>
      </c>
      <c r="BE271" s="673">
        <v>99474.559999999998</v>
      </c>
    </row>
    <row r="272" spans="1:57" x14ac:dyDescent="0.2">
      <c r="A272" s="390">
        <v>1</v>
      </c>
      <c r="B272" s="551" t="s">
        <v>347</v>
      </c>
      <c r="C272" t="s">
        <v>1290</v>
      </c>
      <c r="D272" s="406">
        <v>511</v>
      </c>
      <c r="E272" s="560">
        <v>6591</v>
      </c>
      <c r="F272" s="561">
        <v>587.98</v>
      </c>
      <c r="G272" s="561">
        <v>67.710000000000008</v>
      </c>
      <c r="H272" s="561">
        <v>50.93</v>
      </c>
      <c r="I272" s="561">
        <v>319.72000000000003</v>
      </c>
      <c r="J272" s="561">
        <v>41.04</v>
      </c>
      <c r="K272" s="561">
        <v>20.57</v>
      </c>
      <c r="L272" s="561">
        <v>30.14</v>
      </c>
      <c r="M272" s="343">
        <v>0</v>
      </c>
      <c r="N272" s="477">
        <v>12.750000000000002</v>
      </c>
      <c r="O272" s="477">
        <v>2.2919999999999998</v>
      </c>
      <c r="P272" s="407">
        <v>4.18</v>
      </c>
      <c r="Q272" s="477">
        <v>0</v>
      </c>
      <c r="R272" s="483">
        <v>3598686</v>
      </c>
      <c r="S272" s="483">
        <v>321037</v>
      </c>
      <c r="T272" s="483">
        <v>36970</v>
      </c>
      <c r="U272" s="483">
        <v>27808</v>
      </c>
      <c r="V272" s="483">
        <v>174567</v>
      </c>
      <c r="W272" s="483">
        <v>193406</v>
      </c>
      <c r="X272" s="483">
        <v>129</v>
      </c>
      <c r="Y272" s="483">
        <v>191</v>
      </c>
      <c r="Z272" s="406">
        <v>4</v>
      </c>
      <c r="AA272" s="483">
        <v>19045</v>
      </c>
      <c r="AB272" s="483">
        <v>2043</v>
      </c>
      <c r="AC272" s="385">
        <v>12805</v>
      </c>
      <c r="AD272" s="545">
        <v>5.4</v>
      </c>
      <c r="AE272" s="483">
        <v>18649</v>
      </c>
      <c r="AF272" s="483">
        <v>18476</v>
      </c>
      <c r="AG272" s="481">
        <v>9774</v>
      </c>
      <c r="AH272" s="481">
        <v>9773</v>
      </c>
      <c r="AI272">
        <v>25.5</v>
      </c>
      <c r="AJ272" s="385">
        <v>258085099</v>
      </c>
      <c r="AK272" s="385">
        <v>12156</v>
      </c>
      <c r="AL272" s="385">
        <v>0</v>
      </c>
      <c r="AM272" s="287">
        <v>0</v>
      </c>
      <c r="AN272" s="542">
        <v>330000</v>
      </c>
      <c r="AO272" s="549">
        <v>0.17</v>
      </c>
      <c r="AP272" s="385">
        <v>10625</v>
      </c>
      <c r="AQ272" s="385">
        <v>10526</v>
      </c>
      <c r="AR272" s="481">
        <v>5568</v>
      </c>
      <c r="AS272" s="481">
        <v>5604</v>
      </c>
      <c r="AT272" s="617"/>
      <c r="AU272" s="618">
        <v>21074</v>
      </c>
      <c r="AV272" s="618">
        <v>45218</v>
      </c>
      <c r="AW272" s="620"/>
      <c r="AX272" s="620"/>
      <c r="AY272" s="625"/>
      <c r="AZ272" s="626"/>
      <c r="BA272" s="624"/>
      <c r="BB272" s="673">
        <v>992771</v>
      </c>
      <c r="BC272" s="781">
        <v>0.05</v>
      </c>
      <c r="BD272" s="790">
        <v>96</v>
      </c>
      <c r="BE272" s="673">
        <v>22306.25</v>
      </c>
    </row>
    <row r="273" spans="1:57" x14ac:dyDescent="0.2">
      <c r="A273" s="390">
        <v>11</v>
      </c>
      <c r="B273" s="551" t="s">
        <v>348</v>
      </c>
      <c r="C273" t="s">
        <v>1291</v>
      </c>
      <c r="D273" s="406">
        <v>6797.2</v>
      </c>
      <c r="E273" s="560">
        <v>6591</v>
      </c>
      <c r="F273" s="561">
        <v>534.11</v>
      </c>
      <c r="G273" s="561">
        <v>61.17</v>
      </c>
      <c r="H273" s="561">
        <v>60.55</v>
      </c>
      <c r="I273" s="561">
        <v>319.72000000000003</v>
      </c>
      <c r="J273" s="561">
        <v>282.95999999999998</v>
      </c>
      <c r="K273" s="561">
        <v>174.94</v>
      </c>
      <c r="L273" s="561">
        <v>219.2</v>
      </c>
      <c r="M273" s="343">
        <v>0</v>
      </c>
      <c r="N273" s="477">
        <v>59.360000000000007</v>
      </c>
      <c r="O273" s="477">
        <v>27.219000000000001</v>
      </c>
      <c r="P273" s="407">
        <v>27.28</v>
      </c>
      <c r="Q273" s="477">
        <v>0</v>
      </c>
      <c r="R273" s="483">
        <v>44828687</v>
      </c>
      <c r="S273" s="483">
        <v>3632749</v>
      </c>
      <c r="T273" s="483">
        <v>416048</v>
      </c>
      <c r="U273" s="483">
        <v>411831</v>
      </c>
      <c r="V273" s="483">
        <v>2174576</v>
      </c>
      <c r="W273" s="483">
        <v>2107713</v>
      </c>
      <c r="X273" s="483">
        <v>0</v>
      </c>
      <c r="Y273" s="483">
        <v>221</v>
      </c>
      <c r="Z273" s="406">
        <v>0</v>
      </c>
      <c r="AA273" s="483">
        <v>173672</v>
      </c>
      <c r="AB273" s="483">
        <v>22074</v>
      </c>
      <c r="AC273" s="385">
        <v>64212</v>
      </c>
      <c r="AD273" s="545">
        <v>5.4</v>
      </c>
      <c r="AE273" s="483">
        <v>483389</v>
      </c>
      <c r="AF273" s="483">
        <v>493172</v>
      </c>
      <c r="AG273" s="481">
        <v>259161</v>
      </c>
      <c r="AH273" s="481">
        <v>112040</v>
      </c>
      <c r="AI273">
        <v>146.5</v>
      </c>
      <c r="AJ273" s="385">
        <v>1453602626</v>
      </c>
      <c r="AK273" s="385">
        <v>0</v>
      </c>
      <c r="AL273" s="385">
        <v>0</v>
      </c>
      <c r="AM273" s="287">
        <v>0</v>
      </c>
      <c r="AN273" s="542">
        <v>330000</v>
      </c>
      <c r="AO273" s="549">
        <v>0.17</v>
      </c>
      <c r="AP273" s="385">
        <v>449403</v>
      </c>
      <c r="AQ273" s="385">
        <v>458499</v>
      </c>
      <c r="AR273" s="481">
        <v>240940</v>
      </c>
      <c r="AS273" s="481">
        <v>107422</v>
      </c>
      <c r="AT273" s="617"/>
      <c r="AU273" s="618">
        <v>0</v>
      </c>
      <c r="AV273" s="618">
        <v>0</v>
      </c>
      <c r="AW273" s="620"/>
      <c r="AX273" s="620"/>
      <c r="AY273" s="625"/>
      <c r="AZ273" s="626"/>
      <c r="BA273" s="624"/>
      <c r="BB273" s="673">
        <v>4479441</v>
      </c>
      <c r="BC273" s="781">
        <v>0.05</v>
      </c>
      <c r="BD273" s="790">
        <v>77</v>
      </c>
      <c r="BE273" s="673">
        <v>975094</v>
      </c>
    </row>
    <row r="274" spans="1:57" x14ac:dyDescent="0.2">
      <c r="A274" s="390">
        <v>11</v>
      </c>
      <c r="B274" s="551" t="s">
        <v>343</v>
      </c>
      <c r="C274" t="s">
        <v>1286</v>
      </c>
      <c r="D274" s="406">
        <v>581.70000000000005</v>
      </c>
      <c r="E274" s="560">
        <v>6591</v>
      </c>
      <c r="F274" s="561">
        <v>579.70000000000005</v>
      </c>
      <c r="G274" s="561">
        <v>61.13</v>
      </c>
      <c r="H274" s="561">
        <v>58.69</v>
      </c>
      <c r="I274" s="561">
        <v>319.72000000000003</v>
      </c>
      <c r="J274" s="561">
        <v>33.839999999999996</v>
      </c>
      <c r="K274" s="561">
        <v>30.869999999999997</v>
      </c>
      <c r="L274" s="561">
        <v>10.96</v>
      </c>
      <c r="M274" s="343">
        <v>0</v>
      </c>
      <c r="N274" s="477">
        <v>19.2</v>
      </c>
      <c r="O274" s="477">
        <v>2.3929999999999998</v>
      </c>
      <c r="P274" s="407">
        <v>0</v>
      </c>
      <c r="Q274" s="477">
        <v>0</v>
      </c>
      <c r="R274" s="483">
        <v>3937463</v>
      </c>
      <c r="S274" s="483">
        <v>346313</v>
      </c>
      <c r="T274" s="483">
        <v>36519</v>
      </c>
      <c r="U274" s="483">
        <v>35061</v>
      </c>
      <c r="V274" s="483">
        <v>191001</v>
      </c>
      <c r="W274" s="483">
        <v>188404</v>
      </c>
      <c r="X274" s="483">
        <v>0</v>
      </c>
      <c r="Y274" s="483">
        <v>0</v>
      </c>
      <c r="Z274" s="406">
        <v>0</v>
      </c>
      <c r="AA274" s="483">
        <v>15524</v>
      </c>
      <c r="AB274" s="483">
        <v>1973</v>
      </c>
      <c r="AC274" s="385">
        <v>8795</v>
      </c>
      <c r="AD274" s="545">
        <v>5.4</v>
      </c>
      <c r="AE274" s="483">
        <v>29335</v>
      </c>
      <c r="AF274" s="483">
        <v>30099</v>
      </c>
      <c r="AG274" s="481">
        <v>2164</v>
      </c>
      <c r="AH274" s="481">
        <v>2164</v>
      </c>
      <c r="AI274">
        <v>5</v>
      </c>
      <c r="AJ274" s="385">
        <v>139733180</v>
      </c>
      <c r="AK274" s="385">
        <v>16089</v>
      </c>
      <c r="AL274" s="385">
        <v>0</v>
      </c>
      <c r="AM274" s="287">
        <v>0</v>
      </c>
      <c r="AN274" s="542">
        <v>330000</v>
      </c>
      <c r="AO274" s="549">
        <v>0.17</v>
      </c>
      <c r="AP274" s="385">
        <v>27056</v>
      </c>
      <c r="AQ274" s="385">
        <v>27760</v>
      </c>
      <c r="AR274" s="481">
        <v>1996</v>
      </c>
      <c r="AS274" s="481">
        <v>2001</v>
      </c>
      <c r="AT274" s="617"/>
      <c r="AU274" s="618">
        <v>0</v>
      </c>
      <c r="AV274" s="618">
        <v>0</v>
      </c>
      <c r="AW274" s="620"/>
      <c r="AX274" s="620"/>
      <c r="AY274" s="625"/>
      <c r="AZ274" s="626"/>
      <c r="BA274" s="624"/>
      <c r="BB274" s="673">
        <v>706919</v>
      </c>
      <c r="BC274" s="781">
        <v>0.05</v>
      </c>
      <c r="BD274" s="790">
        <v>91</v>
      </c>
      <c r="BE274" s="673">
        <v>7025.7</v>
      </c>
    </row>
    <row r="275" spans="1:57" x14ac:dyDescent="0.2">
      <c r="A275" s="390">
        <v>5</v>
      </c>
      <c r="B275" s="408" t="s">
        <v>1469</v>
      </c>
      <c r="C275" t="s">
        <v>980</v>
      </c>
      <c r="D275" s="406">
        <v>547.20000000000005</v>
      </c>
      <c r="E275" s="560">
        <v>6720</v>
      </c>
      <c r="F275" s="561">
        <v>629.74</v>
      </c>
      <c r="G275" s="561">
        <v>73.27</v>
      </c>
      <c r="H275" s="561">
        <v>76.23</v>
      </c>
      <c r="I275" s="561">
        <v>319.72000000000003</v>
      </c>
      <c r="J275" s="561">
        <v>30.959999999999997</v>
      </c>
      <c r="K275" s="561">
        <v>15.129999999999999</v>
      </c>
      <c r="L275" s="561">
        <v>21.92</v>
      </c>
      <c r="M275" s="343">
        <v>1.8</v>
      </c>
      <c r="N275" s="477">
        <v>24.25</v>
      </c>
      <c r="O275" s="477">
        <v>2.8130000000000002</v>
      </c>
      <c r="P275" s="407">
        <v>0</v>
      </c>
      <c r="Q275" s="477">
        <v>0</v>
      </c>
      <c r="R275" s="483">
        <v>3599232</v>
      </c>
      <c r="S275" s="483">
        <v>337289</v>
      </c>
      <c r="T275" s="483">
        <v>39243</v>
      </c>
      <c r="U275" s="483">
        <v>40829</v>
      </c>
      <c r="V275" s="483">
        <v>171242</v>
      </c>
      <c r="W275" s="483">
        <v>180707</v>
      </c>
      <c r="X275" s="483">
        <v>0</v>
      </c>
      <c r="Y275" s="483">
        <v>0</v>
      </c>
      <c r="Z275" s="406">
        <v>0</v>
      </c>
      <c r="AA275" s="483">
        <v>19229</v>
      </c>
      <c r="AB275" s="483">
        <v>2291</v>
      </c>
      <c r="AC275" s="385">
        <v>11023</v>
      </c>
      <c r="AD275" s="545">
        <v>5.4</v>
      </c>
      <c r="AE275" s="483">
        <v>53557</v>
      </c>
      <c r="AF275" s="483">
        <v>54259</v>
      </c>
      <c r="AG275" s="481">
        <v>5329</v>
      </c>
      <c r="AH275" s="481">
        <v>5271</v>
      </c>
      <c r="AI275">
        <v>15</v>
      </c>
      <c r="AJ275" s="385">
        <v>213034395</v>
      </c>
      <c r="AK275" s="385">
        <v>32484</v>
      </c>
      <c r="AL275" s="385">
        <v>8088</v>
      </c>
      <c r="AM275" s="287">
        <v>0</v>
      </c>
      <c r="AN275" s="542">
        <v>330000</v>
      </c>
      <c r="AO275" s="549">
        <v>0.17</v>
      </c>
      <c r="AP275" s="385">
        <v>34912</v>
      </c>
      <c r="AQ275" s="385">
        <v>35369</v>
      </c>
      <c r="AR275" s="481">
        <v>3474</v>
      </c>
      <c r="AS275" s="481">
        <v>3451</v>
      </c>
      <c r="AT275" s="617"/>
      <c r="AU275" s="618">
        <v>24698</v>
      </c>
      <c r="AV275" s="618">
        <v>0</v>
      </c>
      <c r="AW275" s="620"/>
      <c r="AX275" s="620"/>
      <c r="AY275" s="625"/>
      <c r="AZ275" s="626"/>
      <c r="BA275" s="624"/>
      <c r="BB275" s="673">
        <v>0</v>
      </c>
      <c r="BC275" s="781">
        <v>3.5000000000000003E-2</v>
      </c>
      <c r="BD275" s="790">
        <v>94</v>
      </c>
      <c r="BE275" s="673">
        <v>13399.98</v>
      </c>
    </row>
    <row r="276" spans="1:57" x14ac:dyDescent="0.2">
      <c r="A276" s="390">
        <v>5</v>
      </c>
      <c r="B276" s="551" t="s">
        <v>349</v>
      </c>
      <c r="C276" t="s">
        <v>1292</v>
      </c>
      <c r="D276" s="406">
        <v>1848.2</v>
      </c>
      <c r="E276" s="560">
        <v>6591</v>
      </c>
      <c r="F276" s="561">
        <v>576.12</v>
      </c>
      <c r="G276" s="561">
        <v>69.710000000000008</v>
      </c>
      <c r="H276" s="561">
        <v>68.2</v>
      </c>
      <c r="I276" s="561">
        <v>319.72000000000003</v>
      </c>
      <c r="J276" s="561">
        <v>96.47999999999999</v>
      </c>
      <c r="K276" s="561">
        <v>130.68</v>
      </c>
      <c r="L276" s="561">
        <v>126.04</v>
      </c>
      <c r="M276" s="343">
        <v>6.45</v>
      </c>
      <c r="N276" s="477">
        <v>1.21</v>
      </c>
      <c r="O276" s="477">
        <v>9.2520000000000007</v>
      </c>
      <c r="P276" s="407">
        <v>5.5</v>
      </c>
      <c r="Q276" s="477">
        <v>0</v>
      </c>
      <c r="R276" s="483">
        <v>12358125</v>
      </c>
      <c r="S276" s="483">
        <v>1080225</v>
      </c>
      <c r="T276" s="483">
        <v>130706</v>
      </c>
      <c r="U276" s="483">
        <v>127875</v>
      </c>
      <c r="V276" s="483">
        <v>599475</v>
      </c>
      <c r="W276" s="483">
        <v>665869</v>
      </c>
      <c r="X276" s="483">
        <v>140</v>
      </c>
      <c r="Y276" s="483">
        <v>223</v>
      </c>
      <c r="Z276" s="406">
        <v>0.4</v>
      </c>
      <c r="AA276" s="483">
        <v>70855</v>
      </c>
      <c r="AB276" s="483">
        <v>8443</v>
      </c>
      <c r="AC276" s="385">
        <v>33852</v>
      </c>
      <c r="AD276" s="545">
        <v>5.4</v>
      </c>
      <c r="AE276" s="483">
        <v>41743</v>
      </c>
      <c r="AF276" s="483">
        <v>42935</v>
      </c>
      <c r="AG276" s="481">
        <v>119860</v>
      </c>
      <c r="AH276" s="481">
        <v>118839</v>
      </c>
      <c r="AI276">
        <v>54.5</v>
      </c>
      <c r="AJ276" s="385">
        <v>632508136</v>
      </c>
      <c r="AK276" s="385">
        <v>26350</v>
      </c>
      <c r="AL276" s="385">
        <v>0</v>
      </c>
      <c r="AM276" s="287">
        <v>0</v>
      </c>
      <c r="AN276" s="542">
        <v>330000</v>
      </c>
      <c r="AO276" s="549">
        <v>0.17</v>
      </c>
      <c r="AP276" s="385">
        <v>33402</v>
      </c>
      <c r="AQ276" s="385">
        <v>34356</v>
      </c>
      <c r="AR276" s="481">
        <v>95909</v>
      </c>
      <c r="AS276" s="481">
        <v>98373</v>
      </c>
      <c r="AT276" s="617"/>
      <c r="AU276" s="618">
        <v>27069</v>
      </c>
      <c r="AV276" s="618">
        <v>169302</v>
      </c>
      <c r="AW276" s="620"/>
      <c r="AX276" s="620"/>
      <c r="AY276" s="625"/>
      <c r="AZ276" s="626"/>
      <c r="BA276" s="624"/>
      <c r="BB276" s="673">
        <v>372619</v>
      </c>
      <c r="BC276" s="781">
        <v>0.05</v>
      </c>
      <c r="BD276" s="790">
        <v>21</v>
      </c>
      <c r="BE276" s="673">
        <v>323242.58</v>
      </c>
    </row>
    <row r="277" spans="1:57" x14ac:dyDescent="0.2">
      <c r="A277" s="390">
        <v>5</v>
      </c>
      <c r="B277" s="551" t="s">
        <v>350</v>
      </c>
      <c r="C277" t="s">
        <v>1293</v>
      </c>
      <c r="D277" s="406">
        <v>1163.0999999999999</v>
      </c>
      <c r="E277" s="560">
        <v>6591</v>
      </c>
      <c r="F277" s="561">
        <v>570.9</v>
      </c>
      <c r="G277" s="561">
        <v>67.81</v>
      </c>
      <c r="H277" s="561">
        <v>64.55</v>
      </c>
      <c r="I277" s="561">
        <v>319.72000000000003</v>
      </c>
      <c r="J277" s="561">
        <v>42.48</v>
      </c>
      <c r="K277" s="561">
        <v>52.03</v>
      </c>
      <c r="L277" s="561">
        <v>27.4</v>
      </c>
      <c r="M277" s="343">
        <v>3.77</v>
      </c>
      <c r="N277" s="477">
        <v>8.8000000000000007</v>
      </c>
      <c r="O277" s="477">
        <v>4.3369999999999997</v>
      </c>
      <c r="P277" s="407">
        <v>1.32</v>
      </c>
      <c r="Q277" s="477">
        <v>0</v>
      </c>
      <c r="R277" s="483">
        <v>7716084</v>
      </c>
      <c r="S277" s="483">
        <v>668353</v>
      </c>
      <c r="T277" s="483">
        <v>79385</v>
      </c>
      <c r="U277" s="483">
        <v>75569</v>
      </c>
      <c r="V277" s="483">
        <v>374296</v>
      </c>
      <c r="W277" s="483">
        <v>389255</v>
      </c>
      <c r="X277" s="483">
        <v>0</v>
      </c>
      <c r="Y277" s="483">
        <v>9</v>
      </c>
      <c r="Z277" s="406">
        <v>0</v>
      </c>
      <c r="AA277" s="483">
        <v>41421</v>
      </c>
      <c r="AB277" s="483">
        <v>4936</v>
      </c>
      <c r="AC277" s="385">
        <v>18793</v>
      </c>
      <c r="AD277" s="545">
        <v>5.4</v>
      </c>
      <c r="AE277" s="483">
        <v>108047</v>
      </c>
      <c r="AF277" s="483">
        <v>108566</v>
      </c>
      <c r="AG277" s="481">
        <v>104347</v>
      </c>
      <c r="AH277" s="481">
        <v>60918</v>
      </c>
      <c r="AI277">
        <v>32</v>
      </c>
      <c r="AJ277" s="385">
        <v>1030951555</v>
      </c>
      <c r="AK277" s="385">
        <v>0</v>
      </c>
      <c r="AL277" s="385">
        <v>0</v>
      </c>
      <c r="AM277" s="287">
        <v>0</v>
      </c>
      <c r="AN277" s="542">
        <v>330000</v>
      </c>
      <c r="AO277" s="549">
        <v>0.17</v>
      </c>
      <c r="AP277" s="385">
        <v>27314</v>
      </c>
      <c r="AQ277" s="385">
        <v>27445</v>
      </c>
      <c r="AR277" s="481">
        <v>26379</v>
      </c>
      <c r="AS277" s="481">
        <v>15713</v>
      </c>
      <c r="AT277" s="617"/>
      <c r="AU277" s="618">
        <v>0</v>
      </c>
      <c r="AV277" s="618">
        <v>0</v>
      </c>
      <c r="AW277" s="620"/>
      <c r="AX277" s="620"/>
      <c r="AY277" s="625"/>
      <c r="AZ277" s="626"/>
      <c r="BA277" s="624"/>
      <c r="BB277" s="673">
        <v>436139</v>
      </c>
      <c r="BC277" s="781">
        <v>0.05</v>
      </c>
      <c r="BD277" s="790">
        <v>30</v>
      </c>
      <c r="BE277" s="673">
        <v>148282.17000000001</v>
      </c>
    </row>
    <row r="278" spans="1:57" x14ac:dyDescent="0.2">
      <c r="A278" s="390">
        <v>10</v>
      </c>
      <c r="B278" s="551" t="s">
        <v>351</v>
      </c>
      <c r="C278" t="s">
        <v>1294</v>
      </c>
      <c r="D278" s="406">
        <v>368.8</v>
      </c>
      <c r="E278" s="560">
        <v>6633</v>
      </c>
      <c r="F278" s="561">
        <v>615.13</v>
      </c>
      <c r="G278" s="561">
        <v>58.660000000000004</v>
      </c>
      <c r="H278" s="561">
        <v>53.85</v>
      </c>
      <c r="I278" s="561">
        <v>319.72000000000003</v>
      </c>
      <c r="J278" s="561">
        <v>13.68</v>
      </c>
      <c r="K278" s="561">
        <v>19.36</v>
      </c>
      <c r="L278" s="561">
        <v>8.2200000000000006</v>
      </c>
      <c r="M278" s="343">
        <v>0</v>
      </c>
      <c r="N278" s="477">
        <v>22.14</v>
      </c>
      <c r="O278" s="477">
        <v>1.5049999999999999</v>
      </c>
      <c r="P278" s="407">
        <v>0.66</v>
      </c>
      <c r="Q278" s="477">
        <v>0</v>
      </c>
      <c r="R278" s="483">
        <v>2383237</v>
      </c>
      <c r="S278" s="483">
        <v>221016</v>
      </c>
      <c r="T278" s="483">
        <v>21077</v>
      </c>
      <c r="U278" s="483">
        <v>19348</v>
      </c>
      <c r="V278" s="483">
        <v>114875</v>
      </c>
      <c r="W278" s="483">
        <v>115558</v>
      </c>
      <c r="X278" s="483">
        <v>13427</v>
      </c>
      <c r="Y278" s="483">
        <v>7</v>
      </c>
      <c r="Z278" s="406">
        <v>0</v>
      </c>
      <c r="AA278" s="483">
        <v>10796</v>
      </c>
      <c r="AB278" s="483">
        <v>1257</v>
      </c>
      <c r="AC278" s="385">
        <v>7317</v>
      </c>
      <c r="AD278" s="545">
        <v>5.4</v>
      </c>
      <c r="AE278" s="483">
        <v>9334</v>
      </c>
      <c r="AF278" s="483">
        <v>9329</v>
      </c>
      <c r="AG278" s="481">
        <v>4355</v>
      </c>
      <c r="AH278" s="481">
        <v>4130</v>
      </c>
      <c r="AI278">
        <v>9.5</v>
      </c>
      <c r="AJ278" s="385">
        <v>132752762</v>
      </c>
      <c r="AK278" s="385">
        <v>10430</v>
      </c>
      <c r="AL278" s="385">
        <v>8359</v>
      </c>
      <c r="AM278" s="287">
        <v>0</v>
      </c>
      <c r="AN278" s="542">
        <v>330000</v>
      </c>
      <c r="AO278" s="549">
        <v>0.17</v>
      </c>
      <c r="AP278" s="385">
        <v>5985</v>
      </c>
      <c r="AQ278" s="385">
        <v>5982</v>
      </c>
      <c r="AR278" s="481">
        <v>2793</v>
      </c>
      <c r="AS278" s="481">
        <v>2663</v>
      </c>
      <c r="AT278" s="617"/>
      <c r="AU278" s="618">
        <v>29095</v>
      </c>
      <c r="AV278" s="618">
        <v>26257</v>
      </c>
      <c r="AW278" s="620"/>
      <c r="AX278" s="620"/>
      <c r="AY278" s="625"/>
      <c r="AZ278" s="626"/>
      <c r="BA278" s="624"/>
      <c r="BB278" s="673">
        <v>249440</v>
      </c>
      <c r="BC278" s="781">
        <v>2.5000000000000001E-2</v>
      </c>
      <c r="BD278" s="790">
        <v>57</v>
      </c>
      <c r="BE278" s="673">
        <v>12792.45</v>
      </c>
    </row>
    <row r="279" spans="1:57" x14ac:dyDescent="0.2">
      <c r="A279" s="390">
        <v>7</v>
      </c>
      <c r="B279" s="551" t="s">
        <v>327</v>
      </c>
      <c r="C279" t="s">
        <v>1273</v>
      </c>
      <c r="D279" s="406">
        <v>600.29999999999995</v>
      </c>
      <c r="E279" s="560">
        <v>6617</v>
      </c>
      <c r="F279" s="561">
        <v>557.1</v>
      </c>
      <c r="G279" s="561">
        <v>65.38</v>
      </c>
      <c r="H279" s="561">
        <v>61.93</v>
      </c>
      <c r="I279" s="561">
        <v>319.72000000000003</v>
      </c>
      <c r="J279" s="561">
        <v>26.64</v>
      </c>
      <c r="K279" s="561">
        <v>14.52</v>
      </c>
      <c r="L279" s="561">
        <v>12.330000000000002</v>
      </c>
      <c r="M279" s="343">
        <v>0</v>
      </c>
      <c r="N279" s="477">
        <v>17.09</v>
      </c>
      <c r="O279" s="477">
        <v>2.2850000000000001</v>
      </c>
      <c r="P279" s="407">
        <v>0.44</v>
      </c>
      <c r="Q279" s="477">
        <v>0</v>
      </c>
      <c r="R279" s="483">
        <v>4025783</v>
      </c>
      <c r="S279" s="483">
        <v>338940</v>
      </c>
      <c r="T279" s="483">
        <v>39777</v>
      </c>
      <c r="U279" s="483">
        <v>37678</v>
      </c>
      <c r="V279" s="483">
        <v>194518</v>
      </c>
      <c r="W279" s="483">
        <v>195040</v>
      </c>
      <c r="X279" s="483">
        <v>4232</v>
      </c>
      <c r="Y279" s="483">
        <v>0</v>
      </c>
      <c r="Z279" s="406">
        <v>0</v>
      </c>
      <c r="AA279" s="483">
        <v>24731</v>
      </c>
      <c r="AB279" s="483">
        <v>2842</v>
      </c>
      <c r="AC279" s="385">
        <v>11879</v>
      </c>
      <c r="AD279" s="545">
        <v>5.4</v>
      </c>
      <c r="AE279" s="483">
        <v>62505</v>
      </c>
      <c r="AF279" s="483">
        <v>62392</v>
      </c>
      <c r="AG279" s="481">
        <v>67933</v>
      </c>
      <c r="AH279" s="481">
        <v>22893</v>
      </c>
      <c r="AI279">
        <v>9.5</v>
      </c>
      <c r="AJ279" s="385">
        <v>300783361</v>
      </c>
      <c r="AK279" s="385">
        <v>6025</v>
      </c>
      <c r="AL279" s="385">
        <v>0</v>
      </c>
      <c r="AM279" s="287">
        <v>0</v>
      </c>
      <c r="AN279" s="542">
        <v>330000</v>
      </c>
      <c r="AO279" s="549">
        <v>0.17</v>
      </c>
      <c r="AP279" s="385">
        <v>29741</v>
      </c>
      <c r="AQ279" s="385">
        <v>29687</v>
      </c>
      <c r="AR279" s="481">
        <v>32323</v>
      </c>
      <c r="AS279" s="481">
        <v>11278</v>
      </c>
      <c r="AT279" s="617"/>
      <c r="AU279" s="618">
        <v>0</v>
      </c>
      <c r="AV279" s="618">
        <v>126996</v>
      </c>
      <c r="AW279" s="620"/>
      <c r="AX279" s="620"/>
      <c r="AY279" s="625"/>
      <c r="AZ279" s="626"/>
      <c r="BA279" s="624"/>
      <c r="BB279" s="673">
        <v>274789</v>
      </c>
      <c r="BC279" s="781">
        <v>3.4000000000000002E-2</v>
      </c>
      <c r="BD279" s="790">
        <v>66</v>
      </c>
      <c r="BE279" s="673">
        <v>146588.01</v>
      </c>
    </row>
    <row r="280" spans="1:57" x14ac:dyDescent="0.2">
      <c r="A280" s="390">
        <v>13</v>
      </c>
      <c r="B280" s="551" t="s">
        <v>352</v>
      </c>
      <c r="C280" t="s">
        <v>1295</v>
      </c>
      <c r="D280" s="406">
        <v>204.1</v>
      </c>
      <c r="E280" s="560">
        <v>6591</v>
      </c>
      <c r="F280" s="561">
        <v>659.39</v>
      </c>
      <c r="G280" s="561">
        <v>81.75</v>
      </c>
      <c r="H280" s="561">
        <v>65.580000000000013</v>
      </c>
      <c r="I280" s="561">
        <v>319.72000000000003</v>
      </c>
      <c r="J280" s="561">
        <v>12.24</v>
      </c>
      <c r="K280" s="561">
        <v>4.24</v>
      </c>
      <c r="L280" s="561">
        <v>5.48</v>
      </c>
      <c r="M280" s="343">
        <v>0</v>
      </c>
      <c r="N280" s="477">
        <v>26.29</v>
      </c>
      <c r="O280" s="477">
        <v>0.872</v>
      </c>
      <c r="P280" s="407">
        <v>0</v>
      </c>
      <c r="Q280" s="477">
        <v>0</v>
      </c>
      <c r="R280" s="483">
        <v>1225926</v>
      </c>
      <c r="S280" s="483">
        <v>122647</v>
      </c>
      <c r="T280" s="483">
        <v>15206</v>
      </c>
      <c r="U280" s="483">
        <v>12198</v>
      </c>
      <c r="V280" s="483">
        <v>59468</v>
      </c>
      <c r="W280" s="483">
        <v>60356</v>
      </c>
      <c r="X280" s="483">
        <v>1591</v>
      </c>
      <c r="Y280" s="483">
        <v>0</v>
      </c>
      <c r="Z280" s="406">
        <v>0</v>
      </c>
      <c r="AA280" s="483">
        <v>6197</v>
      </c>
      <c r="AB280" s="483">
        <v>660</v>
      </c>
      <c r="AC280" s="385">
        <v>4107</v>
      </c>
      <c r="AD280" s="545">
        <v>5.4</v>
      </c>
      <c r="AE280" s="483">
        <v>6735</v>
      </c>
      <c r="AF280" s="483">
        <v>6953</v>
      </c>
      <c r="AG280" s="481">
        <v>1326</v>
      </c>
      <c r="AH280" s="481">
        <v>1326</v>
      </c>
      <c r="AI280">
        <v>11</v>
      </c>
      <c r="AJ280" s="385">
        <v>76562494</v>
      </c>
      <c r="AK280" s="385">
        <v>2371</v>
      </c>
      <c r="AL280" s="385">
        <v>0</v>
      </c>
      <c r="AM280" s="287">
        <v>0</v>
      </c>
      <c r="AN280" s="542">
        <v>330000</v>
      </c>
      <c r="AO280" s="549">
        <v>0.17</v>
      </c>
      <c r="AP280" s="385">
        <v>3514</v>
      </c>
      <c r="AQ280" s="385">
        <v>3628</v>
      </c>
      <c r="AR280" s="481">
        <v>692</v>
      </c>
      <c r="AS280" s="481">
        <v>694</v>
      </c>
      <c r="AT280" s="617"/>
      <c r="AU280" s="618">
        <v>9306</v>
      </c>
      <c r="AV280" s="618">
        <v>0</v>
      </c>
      <c r="AW280" s="620"/>
      <c r="AX280" s="620"/>
      <c r="AY280" s="625"/>
      <c r="AZ280" s="626"/>
      <c r="BA280" s="624"/>
      <c r="BB280" s="673">
        <v>0</v>
      </c>
      <c r="BC280" s="781">
        <v>2.5000000000000001E-2</v>
      </c>
      <c r="BD280" s="790">
        <v>69</v>
      </c>
      <c r="BE280" s="673">
        <v>2943.33</v>
      </c>
    </row>
    <row r="281" spans="1:57" x14ac:dyDescent="0.2">
      <c r="A281" s="390">
        <v>1</v>
      </c>
      <c r="B281" s="551" t="s">
        <v>353</v>
      </c>
      <c r="C281" t="s">
        <v>1296</v>
      </c>
      <c r="D281" s="406">
        <v>633.4</v>
      </c>
      <c r="E281" s="560">
        <v>6605</v>
      </c>
      <c r="F281" s="561">
        <v>623.77</v>
      </c>
      <c r="G281" s="561">
        <v>69.16</v>
      </c>
      <c r="H281" s="561">
        <v>76.600000000000009</v>
      </c>
      <c r="I281" s="561">
        <v>319.72000000000003</v>
      </c>
      <c r="J281" s="561">
        <v>36.72</v>
      </c>
      <c r="K281" s="561">
        <v>15.73</v>
      </c>
      <c r="L281" s="561">
        <v>23.290000000000003</v>
      </c>
      <c r="M281" s="343">
        <v>0</v>
      </c>
      <c r="N281" s="477">
        <v>23.25</v>
      </c>
      <c r="O281" s="477">
        <v>3.4189999999999996</v>
      </c>
      <c r="P281" s="407">
        <v>0.88</v>
      </c>
      <c r="Q281" s="477">
        <v>0</v>
      </c>
      <c r="R281" s="483">
        <v>4097742</v>
      </c>
      <c r="S281" s="483">
        <v>386987</v>
      </c>
      <c r="T281" s="483">
        <v>42907</v>
      </c>
      <c r="U281" s="483">
        <v>47523</v>
      </c>
      <c r="V281" s="483">
        <v>198354</v>
      </c>
      <c r="W281" s="483">
        <v>211481</v>
      </c>
      <c r="X281" s="483">
        <v>5752</v>
      </c>
      <c r="Y281" s="483">
        <v>0</v>
      </c>
      <c r="Z281" s="406">
        <v>0</v>
      </c>
      <c r="AA281" s="483">
        <v>20825</v>
      </c>
      <c r="AB281" s="483">
        <v>2234</v>
      </c>
      <c r="AC281" s="385">
        <v>14181</v>
      </c>
      <c r="AD281" s="545">
        <v>5.4</v>
      </c>
      <c r="AE281" s="483">
        <v>30509</v>
      </c>
      <c r="AF281" s="483">
        <v>30557</v>
      </c>
      <c r="AG281" s="481">
        <v>8569</v>
      </c>
      <c r="AH281" s="481">
        <v>8513</v>
      </c>
      <c r="AI281">
        <v>16.5</v>
      </c>
      <c r="AJ281" s="385">
        <v>238562855</v>
      </c>
      <c r="AK281" s="385">
        <v>47516</v>
      </c>
      <c r="AL281" s="385">
        <v>0</v>
      </c>
      <c r="AM281" s="287">
        <v>0</v>
      </c>
      <c r="AN281" s="542">
        <v>330000</v>
      </c>
      <c r="AO281" s="549">
        <v>0.17</v>
      </c>
      <c r="AP281" s="385">
        <v>17295</v>
      </c>
      <c r="AQ281" s="385">
        <v>17322</v>
      </c>
      <c r="AR281" s="481">
        <v>4857</v>
      </c>
      <c r="AS281" s="481">
        <v>4854</v>
      </c>
      <c r="AT281" s="617"/>
      <c r="AU281" s="618">
        <v>0</v>
      </c>
      <c r="AV281" s="618">
        <v>0</v>
      </c>
      <c r="AW281" s="620"/>
      <c r="AX281" s="620"/>
      <c r="AY281" s="625"/>
      <c r="AZ281" s="626"/>
      <c r="BA281" s="624"/>
      <c r="BB281" s="673">
        <v>0</v>
      </c>
      <c r="BC281" s="781">
        <v>0.05</v>
      </c>
      <c r="BD281" s="790">
        <v>22</v>
      </c>
      <c r="BE281" s="673">
        <v>20549.2</v>
      </c>
    </row>
    <row r="282" spans="1:57" x14ac:dyDescent="0.2">
      <c r="A282" s="390">
        <v>5</v>
      </c>
      <c r="B282" s="551" t="s">
        <v>354</v>
      </c>
      <c r="C282" t="s">
        <v>1297</v>
      </c>
      <c r="D282" s="406">
        <v>2292.9</v>
      </c>
      <c r="E282" s="560">
        <v>6591</v>
      </c>
      <c r="F282" s="561">
        <v>554.4</v>
      </c>
      <c r="G282" s="561">
        <v>63.95</v>
      </c>
      <c r="H282" s="561">
        <v>82.210000000000008</v>
      </c>
      <c r="I282" s="561">
        <v>319.72000000000003</v>
      </c>
      <c r="J282" s="561">
        <v>99.36</v>
      </c>
      <c r="K282" s="561">
        <v>91.36</v>
      </c>
      <c r="L282" s="561">
        <v>106.86</v>
      </c>
      <c r="M282" s="343">
        <v>7.59</v>
      </c>
      <c r="N282" s="477">
        <v>15.67</v>
      </c>
      <c r="O282" s="477">
        <v>15.777000000000001</v>
      </c>
      <c r="P282" s="407">
        <v>161.47999999999999</v>
      </c>
      <c r="Q282" s="477">
        <v>0</v>
      </c>
      <c r="R282" s="483">
        <v>15302325</v>
      </c>
      <c r="S282" s="483">
        <v>1287150</v>
      </c>
      <c r="T282" s="483">
        <v>148473</v>
      </c>
      <c r="U282" s="483">
        <v>190867</v>
      </c>
      <c r="V282" s="483">
        <v>742294</v>
      </c>
      <c r="W282" s="483">
        <v>783501</v>
      </c>
      <c r="X282" s="483">
        <v>0</v>
      </c>
      <c r="Y282" s="483">
        <v>231</v>
      </c>
      <c r="Z282" s="406">
        <v>4.2</v>
      </c>
      <c r="AA282" s="483">
        <v>83372</v>
      </c>
      <c r="AB282" s="483">
        <v>9935</v>
      </c>
      <c r="AC282" s="385">
        <v>29151</v>
      </c>
      <c r="AD282" s="545">
        <v>5.4</v>
      </c>
      <c r="AE282" s="483">
        <v>79461</v>
      </c>
      <c r="AF282" s="483">
        <v>81901</v>
      </c>
      <c r="AG282" s="481">
        <v>79504</v>
      </c>
      <c r="AH282" s="481">
        <v>66474</v>
      </c>
      <c r="AI282">
        <v>61</v>
      </c>
      <c r="AJ282" s="385">
        <v>436305190</v>
      </c>
      <c r="AK282" s="385">
        <v>9350</v>
      </c>
      <c r="AL282" s="385">
        <v>0</v>
      </c>
      <c r="AM282" s="287">
        <v>17358</v>
      </c>
      <c r="AN282" s="542">
        <v>330000</v>
      </c>
      <c r="AO282" s="549">
        <v>0.17</v>
      </c>
      <c r="AP282" s="385">
        <v>76790</v>
      </c>
      <c r="AQ282" s="385">
        <v>79148</v>
      </c>
      <c r="AR282" s="481">
        <v>76831</v>
      </c>
      <c r="AS282" s="481">
        <v>66066</v>
      </c>
      <c r="AT282" s="617"/>
      <c r="AU282" s="618">
        <v>0</v>
      </c>
      <c r="AV282" s="618">
        <v>0</v>
      </c>
      <c r="AW282" s="620"/>
      <c r="AX282" s="620"/>
      <c r="AY282" s="625"/>
      <c r="AZ282" s="626"/>
      <c r="BA282" s="624"/>
      <c r="BB282" s="673">
        <v>0</v>
      </c>
      <c r="BC282" s="781">
        <v>0.05</v>
      </c>
      <c r="BD282" s="790">
        <v>11</v>
      </c>
      <c r="BE282" s="673">
        <v>224641.14</v>
      </c>
    </row>
    <row r="283" spans="1:57" x14ac:dyDescent="0.2">
      <c r="A283" s="390">
        <v>5</v>
      </c>
      <c r="B283" s="551" t="s">
        <v>355</v>
      </c>
      <c r="C283" t="s">
        <v>1298</v>
      </c>
      <c r="D283" s="406">
        <v>160.69999999999999</v>
      </c>
      <c r="E283" s="560">
        <v>6766</v>
      </c>
      <c r="F283" s="561">
        <v>546.79</v>
      </c>
      <c r="G283" s="561">
        <v>53.14</v>
      </c>
      <c r="H283" s="561">
        <v>60.64</v>
      </c>
      <c r="I283" s="561">
        <v>319.72000000000003</v>
      </c>
      <c r="J283" s="561">
        <v>7.1999999999999993</v>
      </c>
      <c r="K283" s="561">
        <v>6.05</v>
      </c>
      <c r="L283" s="561">
        <v>10.96</v>
      </c>
      <c r="M283" s="343">
        <v>0.54</v>
      </c>
      <c r="N283" s="477">
        <v>17.560000000000002</v>
      </c>
      <c r="O283" s="477">
        <v>0.78500000000000003</v>
      </c>
      <c r="P283" s="407">
        <v>0</v>
      </c>
      <c r="Q283" s="477">
        <v>0</v>
      </c>
      <c r="R283" s="483">
        <v>1148190</v>
      </c>
      <c r="S283" s="483">
        <v>92790</v>
      </c>
      <c r="T283" s="483">
        <v>9018</v>
      </c>
      <c r="U283" s="483">
        <v>10291</v>
      </c>
      <c r="V283" s="483">
        <v>54256</v>
      </c>
      <c r="W283" s="483">
        <v>58224</v>
      </c>
      <c r="X283" s="483">
        <v>5287</v>
      </c>
      <c r="Y283" s="483">
        <v>4</v>
      </c>
      <c r="Z283" s="406">
        <v>0</v>
      </c>
      <c r="AA283" s="483">
        <v>6196</v>
      </c>
      <c r="AB283" s="483">
        <v>738</v>
      </c>
      <c r="AC283" s="385">
        <v>3369</v>
      </c>
      <c r="AD283" s="545">
        <v>5.4</v>
      </c>
      <c r="AE283" s="483">
        <v>4149</v>
      </c>
      <c r="AF283" s="483">
        <v>4218</v>
      </c>
      <c r="AG283" s="481">
        <v>1975</v>
      </c>
      <c r="AH283" s="481">
        <v>1975</v>
      </c>
      <c r="AI283">
        <v>4.5</v>
      </c>
      <c r="AJ283" s="385">
        <v>73244288</v>
      </c>
      <c r="AK283" s="385">
        <v>33589</v>
      </c>
      <c r="AL283" s="385">
        <v>0</v>
      </c>
      <c r="AM283" s="287">
        <v>0</v>
      </c>
      <c r="AN283" s="542">
        <v>330000</v>
      </c>
      <c r="AO283" s="549">
        <v>0.17</v>
      </c>
      <c r="AP283" s="385">
        <v>3039</v>
      </c>
      <c r="AQ283" s="385">
        <v>3090</v>
      </c>
      <c r="AR283" s="481">
        <v>1447</v>
      </c>
      <c r="AS283" s="481">
        <v>1454</v>
      </c>
      <c r="AT283" s="617"/>
      <c r="AU283" s="618">
        <v>0</v>
      </c>
      <c r="AV283" s="618">
        <v>34109</v>
      </c>
      <c r="AW283" s="620"/>
      <c r="AX283" s="620"/>
      <c r="AY283" s="625"/>
      <c r="AZ283" s="626"/>
      <c r="BA283" s="624"/>
      <c r="BB283" s="673">
        <v>0</v>
      </c>
      <c r="BC283" s="781">
        <v>0.05</v>
      </c>
      <c r="BD283" s="790">
        <v>40</v>
      </c>
      <c r="BE283" s="673">
        <v>4982.72</v>
      </c>
    </row>
    <row r="284" spans="1:57" x14ac:dyDescent="0.2">
      <c r="A284" s="390">
        <v>7</v>
      </c>
      <c r="B284" s="551" t="s">
        <v>357</v>
      </c>
      <c r="C284" t="s">
        <v>1640</v>
      </c>
      <c r="D284" s="406">
        <v>821.4</v>
      </c>
      <c r="E284" s="560">
        <v>6591</v>
      </c>
      <c r="F284" s="561">
        <v>585.47</v>
      </c>
      <c r="G284" s="561">
        <v>64.36</v>
      </c>
      <c r="H284" s="561">
        <v>59.19</v>
      </c>
      <c r="I284" s="561">
        <v>319.72000000000003</v>
      </c>
      <c r="J284" s="561">
        <v>61.919999999999995</v>
      </c>
      <c r="K284" s="561">
        <v>24.2</v>
      </c>
      <c r="L284" s="561">
        <v>21.92</v>
      </c>
      <c r="M284" s="343">
        <v>0</v>
      </c>
      <c r="N284" s="477">
        <v>18.940000000000001</v>
      </c>
      <c r="O284" s="477">
        <v>3.516</v>
      </c>
      <c r="P284" s="407">
        <v>0.88</v>
      </c>
      <c r="Q284" s="477">
        <v>15.9</v>
      </c>
      <c r="R284" s="483">
        <v>5487008</v>
      </c>
      <c r="S284" s="483">
        <v>487404</v>
      </c>
      <c r="T284" s="483">
        <v>53580</v>
      </c>
      <c r="U284" s="483">
        <v>49276</v>
      </c>
      <c r="V284" s="483">
        <v>266167</v>
      </c>
      <c r="W284" s="483">
        <v>275388</v>
      </c>
      <c r="X284" s="483">
        <v>0</v>
      </c>
      <c r="Y284" s="483">
        <v>1</v>
      </c>
      <c r="Z284" s="406">
        <v>0</v>
      </c>
      <c r="AA284" s="483">
        <v>34919</v>
      </c>
      <c r="AB284" s="483">
        <v>4013</v>
      </c>
      <c r="AC284" s="385">
        <v>16332</v>
      </c>
      <c r="AD284" s="545">
        <v>5.4</v>
      </c>
      <c r="AE284" s="483">
        <v>21203</v>
      </c>
      <c r="AF284" s="483">
        <v>21255</v>
      </c>
      <c r="AG284" s="481">
        <v>17714</v>
      </c>
      <c r="AH284" s="481">
        <v>17025</v>
      </c>
      <c r="AI284">
        <v>27.5</v>
      </c>
      <c r="AJ284" s="385">
        <v>331024218</v>
      </c>
      <c r="AK284" s="385">
        <v>18389</v>
      </c>
      <c r="AL284" s="385">
        <v>6853</v>
      </c>
      <c r="AM284" s="287">
        <v>0</v>
      </c>
      <c r="AN284" s="542">
        <v>330000</v>
      </c>
      <c r="AO284" s="549">
        <v>0.17</v>
      </c>
      <c r="AP284" s="385">
        <v>11546</v>
      </c>
      <c r="AQ284" s="385">
        <v>11574</v>
      </c>
      <c r="AR284" s="481">
        <v>9646</v>
      </c>
      <c r="AS284" s="481">
        <v>9362</v>
      </c>
      <c r="AT284" s="617"/>
      <c r="AU284" s="618">
        <v>158083</v>
      </c>
      <c r="AV284" s="618">
        <v>0</v>
      </c>
      <c r="AW284" s="620"/>
      <c r="AX284" s="620"/>
      <c r="AY284" s="625"/>
      <c r="AZ284" s="626"/>
      <c r="BA284" s="624"/>
      <c r="BB284" s="673">
        <v>337254</v>
      </c>
      <c r="BC284" s="781">
        <v>4.2000000000000003E-2</v>
      </c>
      <c r="BD284" s="790">
        <v>9</v>
      </c>
      <c r="BE284" s="673">
        <v>36787.410000000003</v>
      </c>
    </row>
    <row r="285" spans="1:57" x14ac:dyDescent="0.2">
      <c r="A285" s="390">
        <v>10</v>
      </c>
      <c r="B285" s="551" t="s">
        <v>358</v>
      </c>
      <c r="C285" t="s">
        <v>1300</v>
      </c>
      <c r="D285" s="406">
        <v>899.1</v>
      </c>
      <c r="E285" s="560">
        <v>6642</v>
      </c>
      <c r="F285" s="561">
        <v>557.64</v>
      </c>
      <c r="G285" s="561">
        <v>59.24</v>
      </c>
      <c r="H285" s="561">
        <v>65.27</v>
      </c>
      <c r="I285" s="561">
        <v>319.72000000000003</v>
      </c>
      <c r="J285" s="561">
        <v>50.4</v>
      </c>
      <c r="K285" s="561">
        <v>21.78</v>
      </c>
      <c r="L285" s="561">
        <v>10.96</v>
      </c>
      <c r="M285" s="343">
        <v>0</v>
      </c>
      <c r="N285" s="477">
        <v>3.64</v>
      </c>
      <c r="O285" s="477">
        <v>3.335</v>
      </c>
      <c r="P285" s="407">
        <v>0.44</v>
      </c>
      <c r="Q285" s="477">
        <v>0</v>
      </c>
      <c r="R285" s="483">
        <v>5787839</v>
      </c>
      <c r="S285" s="483">
        <v>485927</v>
      </c>
      <c r="T285" s="483">
        <v>51622</v>
      </c>
      <c r="U285" s="483">
        <v>56876</v>
      </c>
      <c r="V285" s="483">
        <v>278604</v>
      </c>
      <c r="W285" s="483">
        <v>278551</v>
      </c>
      <c r="X285" s="483">
        <v>2458</v>
      </c>
      <c r="Y285" s="483">
        <v>5</v>
      </c>
      <c r="Z285" s="406">
        <v>0</v>
      </c>
      <c r="AA285" s="483">
        <v>26024</v>
      </c>
      <c r="AB285" s="483">
        <v>3029</v>
      </c>
      <c r="AC285" s="385">
        <v>13032</v>
      </c>
      <c r="AD285" s="545">
        <v>5.4</v>
      </c>
      <c r="AE285" s="483">
        <v>21689</v>
      </c>
      <c r="AF285" s="483">
        <v>22037</v>
      </c>
      <c r="AG285" s="481">
        <v>20941</v>
      </c>
      <c r="AH285" s="481">
        <v>20560</v>
      </c>
      <c r="AI285">
        <v>17</v>
      </c>
      <c r="AJ285" s="385">
        <v>278936551</v>
      </c>
      <c r="AK285" s="385">
        <v>0</v>
      </c>
      <c r="AL285" s="385">
        <v>0</v>
      </c>
      <c r="AM285" s="287">
        <v>0</v>
      </c>
      <c r="AN285" s="542">
        <v>330000</v>
      </c>
      <c r="AO285" s="549">
        <v>0.17</v>
      </c>
      <c r="AP285" s="385">
        <v>14541</v>
      </c>
      <c r="AQ285" s="385">
        <v>14775</v>
      </c>
      <c r="AR285" s="481">
        <v>14040</v>
      </c>
      <c r="AS285" s="481">
        <v>13973</v>
      </c>
      <c r="AT285" s="617"/>
      <c r="AU285" s="618">
        <v>0</v>
      </c>
      <c r="AV285" s="618">
        <v>69375</v>
      </c>
      <c r="AW285" s="620"/>
      <c r="AX285" s="620"/>
      <c r="AY285" s="625"/>
      <c r="AZ285" s="626"/>
      <c r="BA285" s="624"/>
      <c r="BB285" s="673">
        <v>0</v>
      </c>
      <c r="BC285" s="781">
        <v>2.5000000000000001E-2</v>
      </c>
      <c r="BD285" s="790">
        <v>16</v>
      </c>
      <c r="BE285" s="673">
        <v>48017.03</v>
      </c>
    </row>
    <row r="286" spans="1:57" x14ac:dyDescent="0.2">
      <c r="A286" s="390">
        <v>13</v>
      </c>
      <c r="B286" s="551" t="s">
        <v>359</v>
      </c>
      <c r="C286" t="s">
        <v>1301</v>
      </c>
      <c r="D286" s="406">
        <v>587.20000000000005</v>
      </c>
      <c r="E286" s="560">
        <v>6591</v>
      </c>
      <c r="F286" s="561">
        <v>575.15</v>
      </c>
      <c r="G286" s="561">
        <v>60.300000000000004</v>
      </c>
      <c r="H286" s="561">
        <v>63.01</v>
      </c>
      <c r="I286" s="561">
        <v>319.72000000000003</v>
      </c>
      <c r="J286" s="561">
        <v>12.959999999999999</v>
      </c>
      <c r="K286" s="561">
        <v>6.05</v>
      </c>
      <c r="L286" s="561">
        <v>15.07</v>
      </c>
      <c r="M286" s="343">
        <v>0</v>
      </c>
      <c r="N286" s="477">
        <v>2.84</v>
      </c>
      <c r="O286" s="477">
        <v>1.454</v>
      </c>
      <c r="P286" s="407">
        <v>0</v>
      </c>
      <c r="Q286" s="477">
        <v>0</v>
      </c>
      <c r="R286" s="483">
        <v>3771370</v>
      </c>
      <c r="S286" s="483">
        <v>329101</v>
      </c>
      <c r="T286" s="483">
        <v>34504</v>
      </c>
      <c r="U286" s="483">
        <v>36054</v>
      </c>
      <c r="V286" s="483">
        <v>182944</v>
      </c>
      <c r="W286" s="483">
        <v>176982</v>
      </c>
      <c r="X286" s="483">
        <v>0</v>
      </c>
      <c r="Y286" s="483">
        <v>41</v>
      </c>
      <c r="Z286" s="406">
        <v>0</v>
      </c>
      <c r="AA286" s="483">
        <v>18172</v>
      </c>
      <c r="AB286" s="483">
        <v>1936</v>
      </c>
      <c r="AC286" s="385">
        <v>7355</v>
      </c>
      <c r="AD286" s="545">
        <v>5.4</v>
      </c>
      <c r="AE286" s="483">
        <v>54714</v>
      </c>
      <c r="AF286" s="483">
        <v>56327</v>
      </c>
      <c r="AG286" s="481">
        <v>4153</v>
      </c>
      <c r="AH286" s="481">
        <v>4153</v>
      </c>
      <c r="AI286">
        <v>0</v>
      </c>
      <c r="AJ286" s="385">
        <v>230224746</v>
      </c>
      <c r="AK286" s="385">
        <v>2623</v>
      </c>
      <c r="AL286" s="385">
        <v>0</v>
      </c>
      <c r="AM286" s="287">
        <v>0</v>
      </c>
      <c r="AN286" s="542">
        <v>330000</v>
      </c>
      <c r="AO286" s="549">
        <v>0.17</v>
      </c>
      <c r="AP286" s="385">
        <v>27649</v>
      </c>
      <c r="AQ286" s="385">
        <v>28464</v>
      </c>
      <c r="AR286" s="481">
        <v>2098</v>
      </c>
      <c r="AS286" s="481">
        <v>2105</v>
      </c>
      <c r="AT286" s="617"/>
      <c r="AU286" s="618">
        <v>4056</v>
      </c>
      <c r="AV286" s="618">
        <v>0</v>
      </c>
      <c r="AW286" s="620"/>
      <c r="AX286" s="620"/>
      <c r="AY286" s="625"/>
      <c r="AZ286" s="626"/>
      <c r="BA286" s="624"/>
      <c r="BB286" s="673">
        <v>0</v>
      </c>
      <c r="BC286" s="781">
        <v>2.5000000000000001E-2</v>
      </c>
      <c r="BD286" s="790">
        <v>78</v>
      </c>
      <c r="BE286" s="673">
        <v>10335.91</v>
      </c>
    </row>
    <row r="287" spans="1:57" x14ac:dyDescent="0.2">
      <c r="A287" s="390">
        <v>13</v>
      </c>
      <c r="B287" s="551" t="s">
        <v>360</v>
      </c>
      <c r="C287" t="s">
        <v>1302</v>
      </c>
      <c r="D287" s="406">
        <v>632.1</v>
      </c>
      <c r="E287" s="560">
        <v>6623</v>
      </c>
      <c r="F287" s="561">
        <v>572.32000000000005</v>
      </c>
      <c r="G287" s="561">
        <v>64.08</v>
      </c>
      <c r="H287" s="561">
        <v>62.38</v>
      </c>
      <c r="I287" s="561">
        <v>319.72000000000003</v>
      </c>
      <c r="J287" s="561">
        <v>30.959999999999997</v>
      </c>
      <c r="K287" s="561">
        <v>11.5</v>
      </c>
      <c r="L287" s="561">
        <v>19.18</v>
      </c>
      <c r="M287" s="343">
        <v>0</v>
      </c>
      <c r="N287" s="477">
        <v>1.98</v>
      </c>
      <c r="O287" s="477">
        <v>2.2989999999999999</v>
      </c>
      <c r="P287" s="407">
        <v>0</v>
      </c>
      <c r="Q287" s="477">
        <v>0</v>
      </c>
      <c r="R287" s="483">
        <v>4289055</v>
      </c>
      <c r="S287" s="483">
        <v>370634</v>
      </c>
      <c r="T287" s="483">
        <v>41498</v>
      </c>
      <c r="U287" s="483">
        <v>40397</v>
      </c>
      <c r="V287" s="483">
        <v>207051</v>
      </c>
      <c r="W287" s="483">
        <v>204635</v>
      </c>
      <c r="X287" s="483">
        <v>7122</v>
      </c>
      <c r="Y287" s="483">
        <v>6</v>
      </c>
      <c r="Z287" s="406">
        <v>0</v>
      </c>
      <c r="AA287" s="483">
        <v>21012</v>
      </c>
      <c r="AB287" s="483">
        <v>2239</v>
      </c>
      <c r="AC287" s="385">
        <v>11026</v>
      </c>
      <c r="AD287" s="545">
        <v>5.4</v>
      </c>
      <c r="AE287" s="483">
        <v>25659</v>
      </c>
      <c r="AF287" s="483">
        <v>26345</v>
      </c>
      <c r="AG287" s="481">
        <v>6505</v>
      </c>
      <c r="AH287" s="481">
        <v>6265</v>
      </c>
      <c r="AI287">
        <v>21.5</v>
      </c>
      <c r="AJ287" s="385">
        <v>231021499</v>
      </c>
      <c r="AK287" s="385">
        <v>10343</v>
      </c>
      <c r="AL287" s="385">
        <v>0</v>
      </c>
      <c r="AM287" s="287">
        <v>0</v>
      </c>
      <c r="AN287" s="542">
        <v>330000</v>
      </c>
      <c r="AO287" s="549">
        <v>0.17</v>
      </c>
      <c r="AP287" s="385">
        <v>17358</v>
      </c>
      <c r="AQ287" s="385">
        <v>17822</v>
      </c>
      <c r="AR287" s="481">
        <v>4401</v>
      </c>
      <c r="AS287" s="481">
        <v>4259</v>
      </c>
      <c r="AT287" s="617"/>
      <c r="AU287" s="618">
        <v>220954</v>
      </c>
      <c r="AV287" s="618">
        <v>0</v>
      </c>
      <c r="AW287" s="620"/>
      <c r="AX287" s="620"/>
      <c r="AY287" s="625"/>
      <c r="AZ287" s="626"/>
      <c r="BA287" s="624"/>
      <c r="BB287" s="673">
        <v>264941</v>
      </c>
      <c r="BC287" s="781">
        <v>0.05</v>
      </c>
      <c r="BD287" s="790">
        <v>78</v>
      </c>
      <c r="BE287" s="673">
        <v>16577.36</v>
      </c>
    </row>
    <row r="288" spans="1:57" x14ac:dyDescent="0.2">
      <c r="A288" s="390">
        <v>15</v>
      </c>
      <c r="B288" s="551" t="s">
        <v>361</v>
      </c>
      <c r="C288" t="s">
        <v>1303</v>
      </c>
      <c r="D288" s="406">
        <v>283</v>
      </c>
      <c r="E288" s="560">
        <v>6591</v>
      </c>
      <c r="F288" s="561">
        <v>659.34</v>
      </c>
      <c r="G288" s="561">
        <v>60.08</v>
      </c>
      <c r="H288" s="561">
        <v>77.23</v>
      </c>
      <c r="I288" s="561">
        <v>319.72000000000003</v>
      </c>
      <c r="J288" s="561">
        <v>22.32</v>
      </c>
      <c r="K288" s="561">
        <v>7.26</v>
      </c>
      <c r="L288" s="561">
        <v>8.2200000000000006</v>
      </c>
      <c r="M288" s="343">
        <v>0</v>
      </c>
      <c r="N288" s="477">
        <v>22.61</v>
      </c>
      <c r="O288" s="477">
        <v>1.613</v>
      </c>
      <c r="P288" s="407">
        <v>0</v>
      </c>
      <c r="Q288" s="477">
        <v>0</v>
      </c>
      <c r="R288" s="483">
        <v>1747274</v>
      </c>
      <c r="S288" s="483">
        <v>174791</v>
      </c>
      <c r="T288" s="483">
        <v>15927</v>
      </c>
      <c r="U288" s="483">
        <v>20474</v>
      </c>
      <c r="V288" s="483">
        <v>84758</v>
      </c>
      <c r="W288" s="483">
        <v>85516</v>
      </c>
      <c r="X288" s="483">
        <v>8541</v>
      </c>
      <c r="Y288" s="483">
        <v>2</v>
      </c>
      <c r="Z288" s="406">
        <v>0</v>
      </c>
      <c r="AA288" s="483">
        <v>8566</v>
      </c>
      <c r="AB288" s="483">
        <v>929</v>
      </c>
      <c r="AC288" s="385">
        <v>5656</v>
      </c>
      <c r="AD288" s="545">
        <v>5.4</v>
      </c>
      <c r="AE288" s="483">
        <v>21432</v>
      </c>
      <c r="AF288" s="483">
        <v>21626</v>
      </c>
      <c r="AG288" s="481">
        <v>2554</v>
      </c>
      <c r="AH288" s="481">
        <v>2554</v>
      </c>
      <c r="AI288">
        <v>8.5</v>
      </c>
      <c r="AJ288" s="385">
        <v>110798964</v>
      </c>
      <c r="AK288" s="385">
        <v>5157</v>
      </c>
      <c r="AL288" s="385">
        <v>3344</v>
      </c>
      <c r="AM288" s="287">
        <v>0</v>
      </c>
      <c r="AN288" s="542">
        <v>330000</v>
      </c>
      <c r="AO288" s="549">
        <v>0.17</v>
      </c>
      <c r="AP288" s="385">
        <v>12252</v>
      </c>
      <c r="AQ288" s="385">
        <v>12363</v>
      </c>
      <c r="AR288" s="481">
        <v>1460</v>
      </c>
      <c r="AS288" s="481">
        <v>1466</v>
      </c>
      <c r="AT288" s="617"/>
      <c r="AU288" s="618">
        <v>8644</v>
      </c>
      <c r="AV288" s="618">
        <v>0</v>
      </c>
      <c r="AW288" s="620"/>
      <c r="AX288" s="620"/>
      <c r="AY288" s="625"/>
      <c r="AZ288" s="626"/>
      <c r="BA288" s="624"/>
      <c r="BB288" s="673">
        <v>234619</v>
      </c>
      <c r="BC288" s="781">
        <v>0.05</v>
      </c>
      <c r="BD288" s="790">
        <v>54</v>
      </c>
      <c r="BE288" s="673">
        <v>6872.05</v>
      </c>
    </row>
    <row r="289" spans="1:57" x14ac:dyDescent="0.2">
      <c r="A289" s="390">
        <v>7</v>
      </c>
      <c r="B289" s="551" t="s">
        <v>362</v>
      </c>
      <c r="C289" t="s">
        <v>1304</v>
      </c>
      <c r="D289" s="406">
        <v>437</v>
      </c>
      <c r="E289" s="560">
        <v>6630</v>
      </c>
      <c r="F289" s="561">
        <v>620.66</v>
      </c>
      <c r="G289" s="561">
        <v>63.88</v>
      </c>
      <c r="H289" s="561">
        <v>65.77000000000001</v>
      </c>
      <c r="I289" s="561">
        <v>319.72000000000003</v>
      </c>
      <c r="J289" s="561">
        <v>38.159999999999997</v>
      </c>
      <c r="K289" s="561">
        <v>12.1</v>
      </c>
      <c r="L289" s="561">
        <v>10.96</v>
      </c>
      <c r="M289" s="343">
        <v>0</v>
      </c>
      <c r="N289" s="477">
        <v>24.19</v>
      </c>
      <c r="O289" s="477">
        <v>2.089</v>
      </c>
      <c r="P289" s="407">
        <v>1.32</v>
      </c>
      <c r="Q289" s="477">
        <v>0</v>
      </c>
      <c r="R289" s="483">
        <v>2996760</v>
      </c>
      <c r="S289" s="483">
        <v>280538</v>
      </c>
      <c r="T289" s="483">
        <v>28874</v>
      </c>
      <c r="U289" s="483">
        <v>29728</v>
      </c>
      <c r="V289" s="483">
        <v>144513</v>
      </c>
      <c r="W289" s="483">
        <v>152324</v>
      </c>
      <c r="X289" s="483">
        <v>0</v>
      </c>
      <c r="Y289" s="483">
        <v>6</v>
      </c>
      <c r="Z289" s="406">
        <v>0</v>
      </c>
      <c r="AA289" s="483">
        <v>19315</v>
      </c>
      <c r="AB289" s="483">
        <v>2219</v>
      </c>
      <c r="AC289" s="385">
        <v>7513</v>
      </c>
      <c r="AD289" s="545">
        <v>5.4</v>
      </c>
      <c r="AE289" s="483">
        <v>15258</v>
      </c>
      <c r="AF289" s="483">
        <v>15360</v>
      </c>
      <c r="AG289" s="481">
        <v>4120</v>
      </c>
      <c r="AH289" s="481">
        <v>4119</v>
      </c>
      <c r="AI289">
        <v>5.5</v>
      </c>
      <c r="AJ289" s="385">
        <v>142029265</v>
      </c>
      <c r="AK289" s="385">
        <v>21319</v>
      </c>
      <c r="AL289" s="385">
        <v>1574</v>
      </c>
      <c r="AM289" s="287">
        <v>0</v>
      </c>
      <c r="AN289" s="542">
        <v>330000</v>
      </c>
      <c r="AO289" s="549">
        <v>0.17</v>
      </c>
      <c r="AP289" s="385">
        <v>9719</v>
      </c>
      <c r="AQ289" s="385">
        <v>9784</v>
      </c>
      <c r="AR289" s="481">
        <v>2624</v>
      </c>
      <c r="AS289" s="481">
        <v>2636</v>
      </c>
      <c r="AT289" s="617"/>
      <c r="AU289" s="618">
        <v>0</v>
      </c>
      <c r="AV289" s="618">
        <v>0</v>
      </c>
      <c r="AW289" s="620"/>
      <c r="AX289" s="620"/>
      <c r="AY289" s="625"/>
      <c r="AZ289" s="626"/>
      <c r="BA289" s="624"/>
      <c r="BB289" s="673">
        <v>868157</v>
      </c>
      <c r="BC289" s="781">
        <v>3.4000000000000002E-2</v>
      </c>
      <c r="BD289" s="790">
        <v>9</v>
      </c>
      <c r="BE289" s="673">
        <v>11306.59</v>
      </c>
    </row>
    <row r="290" spans="1:57" x14ac:dyDescent="0.2">
      <c r="A290" s="390">
        <v>1</v>
      </c>
      <c r="B290" s="551" t="s">
        <v>363</v>
      </c>
      <c r="C290" t="s">
        <v>1305</v>
      </c>
      <c r="D290" s="406">
        <v>355.2</v>
      </c>
      <c r="E290" s="560">
        <v>6758</v>
      </c>
      <c r="F290" s="561">
        <v>614.89</v>
      </c>
      <c r="G290" s="561">
        <v>70.5</v>
      </c>
      <c r="H290" s="561">
        <v>50.11</v>
      </c>
      <c r="I290" s="561">
        <v>319.72000000000003</v>
      </c>
      <c r="J290" s="561">
        <v>24.48</v>
      </c>
      <c r="K290" s="561">
        <v>11.5</v>
      </c>
      <c r="L290" s="561">
        <v>13.7</v>
      </c>
      <c r="M290" s="343">
        <v>0</v>
      </c>
      <c r="N290" s="477">
        <v>26.21</v>
      </c>
      <c r="O290" s="477">
        <v>1.5190000000000001</v>
      </c>
      <c r="P290" s="407">
        <v>1.76</v>
      </c>
      <c r="Q290" s="477">
        <v>0</v>
      </c>
      <c r="R290" s="483">
        <v>2305830</v>
      </c>
      <c r="S290" s="483">
        <v>209800</v>
      </c>
      <c r="T290" s="483">
        <v>24055</v>
      </c>
      <c r="U290" s="483">
        <v>17098</v>
      </c>
      <c r="V290" s="483">
        <v>109088</v>
      </c>
      <c r="W290" s="483">
        <v>116734</v>
      </c>
      <c r="X290" s="483">
        <v>30020</v>
      </c>
      <c r="Y290" s="483">
        <v>52</v>
      </c>
      <c r="Z290" s="406">
        <v>0.2</v>
      </c>
      <c r="AA290" s="483">
        <v>11495</v>
      </c>
      <c r="AB290" s="483">
        <v>1233</v>
      </c>
      <c r="AC290" s="385">
        <v>10056</v>
      </c>
      <c r="AD290" s="545">
        <v>5.4</v>
      </c>
      <c r="AE290" s="483">
        <v>12528</v>
      </c>
      <c r="AF290" s="483">
        <v>12445</v>
      </c>
      <c r="AG290" s="481">
        <v>10168</v>
      </c>
      <c r="AH290" s="481">
        <v>10168</v>
      </c>
      <c r="AI290">
        <v>9</v>
      </c>
      <c r="AJ290" s="385">
        <v>202547546</v>
      </c>
      <c r="AK290" s="385">
        <v>77528</v>
      </c>
      <c r="AL290" s="385">
        <v>0</v>
      </c>
      <c r="AM290" s="287">
        <v>0</v>
      </c>
      <c r="AN290" s="542">
        <v>330000</v>
      </c>
      <c r="AO290" s="549">
        <v>0.17</v>
      </c>
      <c r="AP290" s="385">
        <v>6609</v>
      </c>
      <c r="AQ290" s="385">
        <v>6565</v>
      </c>
      <c r="AR290" s="481">
        <v>5364</v>
      </c>
      <c r="AS290" s="481">
        <v>5410</v>
      </c>
      <c r="AT290" s="617"/>
      <c r="AU290" s="618">
        <v>0</v>
      </c>
      <c r="AV290" s="618">
        <v>106672</v>
      </c>
      <c r="AW290" s="620"/>
      <c r="AX290" s="620"/>
      <c r="AY290" s="625"/>
      <c r="AZ290" s="626"/>
      <c r="BA290" s="624"/>
      <c r="BB290" s="673">
        <v>357938</v>
      </c>
      <c r="BC290" s="781">
        <v>0.05</v>
      </c>
      <c r="BD290" s="790">
        <v>33</v>
      </c>
      <c r="BE290" s="673">
        <v>23541.24</v>
      </c>
    </row>
    <row r="291" spans="1:57" x14ac:dyDescent="0.2">
      <c r="A291" s="390">
        <v>11</v>
      </c>
      <c r="B291" s="551" t="s">
        <v>364</v>
      </c>
      <c r="C291" t="s">
        <v>1306</v>
      </c>
      <c r="D291" s="406">
        <v>348.5</v>
      </c>
      <c r="E291" s="560">
        <v>6641</v>
      </c>
      <c r="F291" s="561">
        <v>623.69000000000005</v>
      </c>
      <c r="G291" s="561">
        <v>64.98</v>
      </c>
      <c r="H291" s="561">
        <v>75.940000000000012</v>
      </c>
      <c r="I291" s="561">
        <v>319.72000000000003</v>
      </c>
      <c r="J291" s="561">
        <v>21.599999999999998</v>
      </c>
      <c r="K291" s="561">
        <v>8.4700000000000006</v>
      </c>
      <c r="L291" s="561">
        <v>8.2200000000000006</v>
      </c>
      <c r="M291" s="343">
        <v>0</v>
      </c>
      <c r="N291" s="477">
        <v>24.09</v>
      </c>
      <c r="O291" s="477">
        <v>1.758</v>
      </c>
      <c r="P291" s="407">
        <v>0</v>
      </c>
      <c r="Q291" s="477">
        <v>0</v>
      </c>
      <c r="R291" s="483">
        <v>2281184</v>
      </c>
      <c r="S291" s="483">
        <v>214238</v>
      </c>
      <c r="T291" s="483">
        <v>22321</v>
      </c>
      <c r="U291" s="483">
        <v>26085</v>
      </c>
      <c r="V291" s="483">
        <v>109824</v>
      </c>
      <c r="W291" s="483">
        <v>105830</v>
      </c>
      <c r="X291" s="483">
        <v>12469</v>
      </c>
      <c r="Y291" s="483">
        <v>16</v>
      </c>
      <c r="Z291" s="406">
        <v>0</v>
      </c>
      <c r="AA291" s="483">
        <v>8720</v>
      </c>
      <c r="AB291" s="483">
        <v>1108</v>
      </c>
      <c r="AC291" s="385">
        <v>6884</v>
      </c>
      <c r="AD291" s="545">
        <v>5.4</v>
      </c>
      <c r="AE291" s="483">
        <v>33371</v>
      </c>
      <c r="AF291" s="483">
        <v>34266</v>
      </c>
      <c r="AG291" s="481">
        <v>3084</v>
      </c>
      <c r="AH291" s="481">
        <v>3084</v>
      </c>
      <c r="AI291">
        <v>11</v>
      </c>
      <c r="AJ291" s="385">
        <v>110676824</v>
      </c>
      <c r="AK291" s="385">
        <v>14804</v>
      </c>
      <c r="AL291" s="385">
        <v>0</v>
      </c>
      <c r="AM291" s="287">
        <v>0</v>
      </c>
      <c r="AN291" s="542">
        <v>330000</v>
      </c>
      <c r="AO291" s="549">
        <v>0.17</v>
      </c>
      <c r="AP291" s="385">
        <v>29427</v>
      </c>
      <c r="AQ291" s="385">
        <v>30217</v>
      </c>
      <c r="AR291" s="481">
        <v>2719</v>
      </c>
      <c r="AS291" s="481">
        <v>2733</v>
      </c>
      <c r="AT291" s="617"/>
      <c r="AU291" s="618">
        <v>90855</v>
      </c>
      <c r="AV291" s="618">
        <v>79450</v>
      </c>
      <c r="AW291" s="620"/>
      <c r="AX291" s="620"/>
      <c r="AY291" s="625"/>
      <c r="AZ291" s="626"/>
      <c r="BA291" s="624"/>
      <c r="BB291" s="673">
        <v>39471</v>
      </c>
      <c r="BC291" s="781">
        <v>4.2999999999999997E-2</v>
      </c>
      <c r="BD291" s="790">
        <v>63</v>
      </c>
      <c r="BE291" s="673">
        <v>9973.4</v>
      </c>
    </row>
    <row r="292" spans="1:57" x14ac:dyDescent="0.2">
      <c r="A292" s="390">
        <v>5</v>
      </c>
      <c r="B292" s="551" t="s">
        <v>365</v>
      </c>
      <c r="C292" t="s">
        <v>1307</v>
      </c>
      <c r="D292" s="406">
        <v>162</v>
      </c>
      <c r="E292" s="560">
        <v>6766</v>
      </c>
      <c r="F292" s="561">
        <v>644.82000000000005</v>
      </c>
      <c r="G292" s="561">
        <v>63.03</v>
      </c>
      <c r="H292" s="561">
        <v>62.15</v>
      </c>
      <c r="I292" s="561">
        <v>319.72000000000003</v>
      </c>
      <c r="J292" s="561">
        <v>10.08</v>
      </c>
      <c r="K292" s="561">
        <v>1.21</v>
      </c>
      <c r="L292" s="561">
        <v>8.2200000000000006</v>
      </c>
      <c r="M292" s="343">
        <v>0.53</v>
      </c>
      <c r="N292" s="477">
        <v>22.08</v>
      </c>
      <c r="O292" s="477">
        <v>0.99700000000000011</v>
      </c>
      <c r="P292" s="407">
        <v>0.66</v>
      </c>
      <c r="Q292" s="477">
        <v>0</v>
      </c>
      <c r="R292" s="483">
        <v>1096092</v>
      </c>
      <c r="S292" s="483">
        <v>104461</v>
      </c>
      <c r="T292" s="483">
        <v>10211</v>
      </c>
      <c r="U292" s="483">
        <v>10068</v>
      </c>
      <c r="V292" s="483">
        <v>51795</v>
      </c>
      <c r="W292" s="483">
        <v>55071</v>
      </c>
      <c r="X292" s="483">
        <v>2704</v>
      </c>
      <c r="Y292" s="483">
        <v>15</v>
      </c>
      <c r="Z292" s="406">
        <v>0</v>
      </c>
      <c r="AA292" s="483">
        <v>5860</v>
      </c>
      <c r="AB292" s="483">
        <v>698</v>
      </c>
      <c r="AC292" s="385">
        <v>3954</v>
      </c>
      <c r="AD292" s="545">
        <v>5.4</v>
      </c>
      <c r="AE292" s="483">
        <v>13642</v>
      </c>
      <c r="AF292" s="483">
        <v>13999</v>
      </c>
      <c r="AG292" s="481">
        <v>7352</v>
      </c>
      <c r="AH292" s="481">
        <v>7352</v>
      </c>
      <c r="AI292">
        <v>0.5</v>
      </c>
      <c r="AJ292" s="385">
        <v>117212834</v>
      </c>
      <c r="AK292" s="385">
        <v>27205</v>
      </c>
      <c r="AL292" s="385">
        <v>0</v>
      </c>
      <c r="AM292" s="287">
        <v>0</v>
      </c>
      <c r="AN292" s="542">
        <v>330000</v>
      </c>
      <c r="AO292" s="549">
        <v>0.17</v>
      </c>
      <c r="AP292" s="385">
        <v>5947</v>
      </c>
      <c r="AQ292" s="385">
        <v>6102</v>
      </c>
      <c r="AR292" s="481">
        <v>3204</v>
      </c>
      <c r="AS292" s="481">
        <v>3241</v>
      </c>
      <c r="AT292" s="617"/>
      <c r="AU292" s="618">
        <v>4068</v>
      </c>
      <c r="AV292" s="618">
        <v>67483</v>
      </c>
      <c r="AW292" s="620"/>
      <c r="AX292" s="620"/>
      <c r="AY292" s="625"/>
      <c r="AZ292" s="626"/>
      <c r="BA292" s="624"/>
      <c r="BB292" s="673">
        <v>0</v>
      </c>
      <c r="BC292" s="781">
        <v>2.5000000000000001E-2</v>
      </c>
      <c r="BD292" s="790">
        <v>46</v>
      </c>
      <c r="BE292" s="673">
        <v>14638.17</v>
      </c>
    </row>
    <row r="293" spans="1:57" x14ac:dyDescent="0.2">
      <c r="A293" s="390">
        <v>13</v>
      </c>
      <c r="B293" s="551" t="s">
        <v>366</v>
      </c>
      <c r="C293" t="s">
        <v>1312</v>
      </c>
      <c r="D293" s="406">
        <v>685.1</v>
      </c>
      <c r="E293" s="560">
        <v>6591</v>
      </c>
      <c r="F293" s="561">
        <v>540.48</v>
      </c>
      <c r="G293" s="561">
        <v>55.58</v>
      </c>
      <c r="H293" s="561">
        <v>61.38</v>
      </c>
      <c r="I293" s="561">
        <v>319.72000000000003</v>
      </c>
      <c r="J293" s="561">
        <v>30.24</v>
      </c>
      <c r="K293" s="561">
        <v>9.08</v>
      </c>
      <c r="L293" s="561">
        <v>34.25</v>
      </c>
      <c r="M293" s="343">
        <v>0</v>
      </c>
      <c r="N293" s="477">
        <v>4.7699999999999996</v>
      </c>
      <c r="O293" s="477">
        <v>2.0229999999999997</v>
      </c>
      <c r="P293" s="407">
        <v>0</v>
      </c>
      <c r="Q293" s="477">
        <v>0</v>
      </c>
      <c r="R293" s="483">
        <v>4596563</v>
      </c>
      <c r="S293" s="483">
        <v>376931</v>
      </c>
      <c r="T293" s="483">
        <v>38761</v>
      </c>
      <c r="U293" s="483">
        <v>42806</v>
      </c>
      <c r="V293" s="483">
        <v>222973</v>
      </c>
      <c r="W293" s="483">
        <v>217798</v>
      </c>
      <c r="X293" s="483">
        <v>0</v>
      </c>
      <c r="Y293" s="483">
        <v>33</v>
      </c>
      <c r="Z293" s="406">
        <v>0</v>
      </c>
      <c r="AA293" s="483">
        <v>22363</v>
      </c>
      <c r="AB293" s="483">
        <v>2383</v>
      </c>
      <c r="AC293" s="385">
        <v>10268</v>
      </c>
      <c r="AD293" s="545">
        <v>5.4</v>
      </c>
      <c r="AE293" s="483">
        <v>52727</v>
      </c>
      <c r="AF293" s="483">
        <v>54256</v>
      </c>
      <c r="AG293" s="481">
        <v>7119</v>
      </c>
      <c r="AH293" s="481">
        <v>6009</v>
      </c>
      <c r="AI293">
        <v>15</v>
      </c>
      <c r="AJ293" s="385">
        <v>255555775</v>
      </c>
      <c r="AK293" s="385">
        <v>6670</v>
      </c>
      <c r="AL293" s="385">
        <v>0</v>
      </c>
      <c r="AM293" s="287">
        <v>0</v>
      </c>
      <c r="AN293" s="542">
        <v>330000</v>
      </c>
      <c r="AO293" s="549">
        <v>0.17</v>
      </c>
      <c r="AP293" s="385">
        <v>33337</v>
      </c>
      <c r="AQ293" s="385">
        <v>34304</v>
      </c>
      <c r="AR293" s="481">
        <v>4501</v>
      </c>
      <c r="AS293" s="481">
        <v>3817</v>
      </c>
      <c r="AT293" s="617"/>
      <c r="AU293" s="618">
        <v>0</v>
      </c>
      <c r="AV293" s="618">
        <v>0</v>
      </c>
      <c r="AW293" s="620"/>
      <c r="AX293" s="620"/>
      <c r="AY293" s="625"/>
      <c r="AZ293" s="626"/>
      <c r="BA293" s="624"/>
      <c r="BB293" s="673">
        <v>908887</v>
      </c>
      <c r="BC293" s="781">
        <v>0.05</v>
      </c>
      <c r="BD293" s="790">
        <v>78</v>
      </c>
      <c r="BE293" s="673">
        <v>18831.849999999999</v>
      </c>
    </row>
    <row r="294" spans="1:57" x14ac:dyDescent="0.2">
      <c r="A294" s="390">
        <v>7</v>
      </c>
      <c r="B294" s="551" t="s">
        <v>170</v>
      </c>
      <c r="C294" t="s">
        <v>639</v>
      </c>
      <c r="D294" s="406">
        <v>1102.4000000000001</v>
      </c>
      <c r="E294" s="560">
        <v>6673</v>
      </c>
      <c r="F294" s="561">
        <v>586.55999999999995</v>
      </c>
      <c r="G294" s="561">
        <v>50.95</v>
      </c>
      <c r="H294" s="561">
        <v>61.82</v>
      </c>
      <c r="I294" s="561">
        <v>319.72000000000003</v>
      </c>
      <c r="J294" s="561">
        <v>82.08</v>
      </c>
      <c r="K294" s="561">
        <v>36.31</v>
      </c>
      <c r="L294" s="561">
        <v>52.06</v>
      </c>
      <c r="M294" s="343">
        <v>0</v>
      </c>
      <c r="N294" s="477">
        <v>2.4700000000000002</v>
      </c>
      <c r="O294" s="477">
        <v>4.4009999999999998</v>
      </c>
      <c r="P294" s="407">
        <v>0</v>
      </c>
      <c r="Q294" s="477">
        <v>0</v>
      </c>
      <c r="R294" s="483">
        <v>7517135</v>
      </c>
      <c r="S294" s="483">
        <v>660760</v>
      </c>
      <c r="T294" s="483">
        <v>57395</v>
      </c>
      <c r="U294" s="483">
        <v>69640</v>
      </c>
      <c r="V294" s="483">
        <v>360165</v>
      </c>
      <c r="W294" s="483">
        <v>377344</v>
      </c>
      <c r="X294" s="483">
        <v>12526</v>
      </c>
      <c r="Y294" s="483">
        <v>23</v>
      </c>
      <c r="Z294" s="406">
        <v>0</v>
      </c>
      <c r="AA294" s="483">
        <v>47847</v>
      </c>
      <c r="AB294" s="483">
        <v>5498</v>
      </c>
      <c r="AC294" s="385">
        <v>17828</v>
      </c>
      <c r="AD294" s="545">
        <v>5.4</v>
      </c>
      <c r="AE294" s="483">
        <v>56652</v>
      </c>
      <c r="AF294" s="483">
        <v>57004</v>
      </c>
      <c r="AG294" s="481">
        <v>14961</v>
      </c>
      <c r="AH294" s="481">
        <v>12872</v>
      </c>
      <c r="AI294">
        <v>22.5</v>
      </c>
      <c r="AJ294" s="385">
        <v>397792447</v>
      </c>
      <c r="AK294" s="385">
        <v>74257</v>
      </c>
      <c r="AL294" s="385">
        <v>0</v>
      </c>
      <c r="AM294" s="287">
        <v>0</v>
      </c>
      <c r="AN294" s="542">
        <v>330000</v>
      </c>
      <c r="AO294" s="549">
        <v>0.17</v>
      </c>
      <c r="AP294" s="385">
        <v>39811</v>
      </c>
      <c r="AQ294" s="385">
        <v>40059</v>
      </c>
      <c r="AR294" s="481">
        <v>10514</v>
      </c>
      <c r="AS294" s="481">
        <v>9113</v>
      </c>
      <c r="AT294" s="617"/>
      <c r="AU294" s="618">
        <v>344110</v>
      </c>
      <c r="AV294" s="618">
        <v>123157</v>
      </c>
      <c r="AW294" s="620"/>
      <c r="AX294" s="620"/>
      <c r="AY294" s="625"/>
      <c r="AZ294" s="626"/>
      <c r="BA294" s="624"/>
      <c r="BB294" s="673">
        <v>1491700</v>
      </c>
      <c r="BC294" s="781">
        <v>4.4999999999999998E-2</v>
      </c>
      <c r="BD294" s="790">
        <v>86</v>
      </c>
      <c r="BE294" s="673">
        <v>33961.839999999997</v>
      </c>
    </row>
    <row r="295" spans="1:57" x14ac:dyDescent="0.2">
      <c r="A295" s="390">
        <v>11</v>
      </c>
      <c r="B295" s="551" t="s">
        <v>367</v>
      </c>
      <c r="C295" t="s">
        <v>1313</v>
      </c>
      <c r="D295" s="406">
        <v>361.5</v>
      </c>
      <c r="E295" s="560">
        <v>6591</v>
      </c>
      <c r="F295" s="561">
        <v>491.25</v>
      </c>
      <c r="G295" s="561">
        <v>41.81</v>
      </c>
      <c r="H295" s="561">
        <v>66.580000000000013</v>
      </c>
      <c r="I295" s="561">
        <v>319.72000000000003</v>
      </c>
      <c r="J295" s="561">
        <v>23.759999999999998</v>
      </c>
      <c r="K295" s="561">
        <v>6.05</v>
      </c>
      <c r="L295" s="561">
        <v>13.7</v>
      </c>
      <c r="M295" s="343">
        <v>0</v>
      </c>
      <c r="N295" s="477">
        <v>1.99</v>
      </c>
      <c r="O295" s="477">
        <v>1.4100000000000001</v>
      </c>
      <c r="P295" s="407">
        <v>2.64</v>
      </c>
      <c r="Q295" s="477">
        <v>0</v>
      </c>
      <c r="R295" s="483">
        <v>2258077</v>
      </c>
      <c r="S295" s="483">
        <v>168302</v>
      </c>
      <c r="T295" s="483">
        <v>14324</v>
      </c>
      <c r="U295" s="483">
        <v>22810</v>
      </c>
      <c r="V295" s="483">
        <v>109536</v>
      </c>
      <c r="W295" s="483">
        <v>106334</v>
      </c>
      <c r="X295" s="483">
        <v>0</v>
      </c>
      <c r="Y295" s="483">
        <v>8</v>
      </c>
      <c r="Z295" s="406">
        <v>0</v>
      </c>
      <c r="AA295" s="483">
        <v>8762</v>
      </c>
      <c r="AB295" s="483">
        <v>1114</v>
      </c>
      <c r="AC295" s="385">
        <v>6736</v>
      </c>
      <c r="AD295" s="545">
        <v>5.4</v>
      </c>
      <c r="AE295" s="483">
        <v>50166</v>
      </c>
      <c r="AF295" s="483">
        <v>50364</v>
      </c>
      <c r="AG295" s="481">
        <v>42258</v>
      </c>
      <c r="AH295" s="481">
        <v>33289</v>
      </c>
      <c r="AI295">
        <v>24.5</v>
      </c>
      <c r="AJ295" s="385">
        <v>246434656</v>
      </c>
      <c r="AK295" s="385">
        <v>0</v>
      </c>
      <c r="AL295" s="385">
        <v>0</v>
      </c>
      <c r="AM295" s="287">
        <v>0</v>
      </c>
      <c r="AN295" s="542">
        <v>330000</v>
      </c>
      <c r="AO295" s="549">
        <v>0.17</v>
      </c>
      <c r="AP295" s="385">
        <v>12653</v>
      </c>
      <c r="AQ295" s="385">
        <v>12703</v>
      </c>
      <c r="AR295" s="481">
        <v>10659</v>
      </c>
      <c r="AS295" s="481">
        <v>8657</v>
      </c>
      <c r="AT295" s="617"/>
      <c r="AU295" s="618">
        <v>0</v>
      </c>
      <c r="AV295" s="618">
        <v>0</v>
      </c>
      <c r="AW295" s="620"/>
      <c r="AX295" s="620"/>
      <c r="AY295" s="625"/>
      <c r="AZ295" s="626"/>
      <c r="BA295" s="624"/>
      <c r="BB295" s="673">
        <v>471109</v>
      </c>
      <c r="BC295" s="781">
        <v>2.9000000000000001E-2</v>
      </c>
      <c r="BD295" s="790">
        <v>8</v>
      </c>
      <c r="BE295" s="673">
        <v>70008.66</v>
      </c>
    </row>
    <row r="296" spans="1:57" x14ac:dyDescent="0.2">
      <c r="A296" s="390">
        <v>11</v>
      </c>
      <c r="B296" s="551" t="s">
        <v>368</v>
      </c>
      <c r="C296" t="s">
        <v>1314</v>
      </c>
      <c r="D296" s="406">
        <v>3397.6</v>
      </c>
      <c r="E296" s="560">
        <v>6591</v>
      </c>
      <c r="F296" s="561">
        <v>575.79</v>
      </c>
      <c r="G296" s="561">
        <v>67.97</v>
      </c>
      <c r="H296" s="561">
        <v>65.180000000000007</v>
      </c>
      <c r="I296" s="561">
        <v>319.72000000000003</v>
      </c>
      <c r="J296" s="561">
        <v>113.03999999999999</v>
      </c>
      <c r="K296" s="561">
        <v>103.52000000000001</v>
      </c>
      <c r="L296" s="561">
        <v>105.49</v>
      </c>
      <c r="M296" s="343">
        <v>0</v>
      </c>
      <c r="N296" s="477">
        <v>43.42</v>
      </c>
      <c r="O296" s="477">
        <v>12.602</v>
      </c>
      <c r="P296" s="407">
        <v>41.8</v>
      </c>
      <c r="Q296" s="477">
        <v>0</v>
      </c>
      <c r="R296" s="483">
        <v>22466742</v>
      </c>
      <c r="S296" s="483">
        <v>1962695</v>
      </c>
      <c r="T296" s="483">
        <v>231689</v>
      </c>
      <c r="U296" s="483">
        <v>222179</v>
      </c>
      <c r="V296" s="483">
        <v>1089830</v>
      </c>
      <c r="W296" s="483">
        <v>1046407</v>
      </c>
      <c r="X296" s="483">
        <v>0</v>
      </c>
      <c r="Y296" s="483">
        <v>382</v>
      </c>
      <c r="Z296" s="406">
        <v>2.2000000000000002</v>
      </c>
      <c r="AA296" s="483">
        <v>86222</v>
      </c>
      <c r="AB296" s="483">
        <v>10959</v>
      </c>
      <c r="AC296" s="385">
        <v>46437</v>
      </c>
      <c r="AD296" s="545">
        <v>5.4</v>
      </c>
      <c r="AE296" s="483">
        <v>291416</v>
      </c>
      <c r="AF296" s="483">
        <v>299640</v>
      </c>
      <c r="AG296" s="481">
        <v>211474</v>
      </c>
      <c r="AH296" s="481">
        <v>162517</v>
      </c>
      <c r="AI296">
        <v>112.5</v>
      </c>
      <c r="AJ296" s="385">
        <v>1154098446</v>
      </c>
      <c r="AK296" s="385">
        <v>35420</v>
      </c>
      <c r="AL296" s="385">
        <v>0</v>
      </c>
      <c r="AM296" s="287">
        <v>0</v>
      </c>
      <c r="AN296" s="542">
        <v>330000</v>
      </c>
      <c r="AO296" s="549">
        <v>0.17</v>
      </c>
      <c r="AP296" s="385">
        <v>175484</v>
      </c>
      <c r="AQ296" s="385">
        <v>180436</v>
      </c>
      <c r="AR296" s="481">
        <v>127344</v>
      </c>
      <c r="AS296" s="481">
        <v>100738</v>
      </c>
      <c r="AT296" s="617"/>
      <c r="AU296" s="618">
        <v>108572</v>
      </c>
      <c r="AV296" s="618">
        <v>0</v>
      </c>
      <c r="AW296" s="620"/>
      <c r="AX296" s="620"/>
      <c r="AY296" s="625"/>
      <c r="AZ296" s="626"/>
      <c r="BA296" s="624"/>
      <c r="BB296" s="673">
        <v>3741565</v>
      </c>
      <c r="BC296" s="781">
        <v>0.05</v>
      </c>
      <c r="BD296" s="790">
        <v>77</v>
      </c>
      <c r="BE296" s="673">
        <v>695000.56</v>
      </c>
    </row>
    <row r="297" spans="1:57" x14ac:dyDescent="0.2">
      <c r="A297" s="390">
        <v>1</v>
      </c>
      <c r="B297" s="551" t="s">
        <v>369</v>
      </c>
      <c r="C297" t="s">
        <v>1333</v>
      </c>
      <c r="D297" s="406">
        <v>376.2</v>
      </c>
      <c r="E297" s="560">
        <v>6614</v>
      </c>
      <c r="F297" s="561">
        <v>582.28</v>
      </c>
      <c r="G297" s="561">
        <v>63.27</v>
      </c>
      <c r="H297" s="561">
        <v>66.210000000000008</v>
      </c>
      <c r="I297" s="561">
        <v>319.72000000000003</v>
      </c>
      <c r="J297" s="561">
        <v>21.599999999999998</v>
      </c>
      <c r="K297" s="561">
        <v>12.1</v>
      </c>
      <c r="L297" s="561">
        <v>13.7</v>
      </c>
      <c r="M297" s="343">
        <v>0</v>
      </c>
      <c r="N297" s="477">
        <v>23.83</v>
      </c>
      <c r="O297" s="477">
        <v>1.9670000000000001</v>
      </c>
      <c r="P297" s="407">
        <v>0.44</v>
      </c>
      <c r="Q297" s="477">
        <v>0</v>
      </c>
      <c r="R297" s="483">
        <v>2520595</v>
      </c>
      <c r="S297" s="483">
        <v>221907</v>
      </c>
      <c r="T297" s="483">
        <v>24112</v>
      </c>
      <c r="U297" s="483">
        <v>25233</v>
      </c>
      <c r="V297" s="483">
        <v>121845</v>
      </c>
      <c r="W297" s="483">
        <v>129828</v>
      </c>
      <c r="X297" s="483">
        <v>22189</v>
      </c>
      <c r="Y297" s="483">
        <v>0</v>
      </c>
      <c r="Z297" s="406">
        <v>0</v>
      </c>
      <c r="AA297" s="483">
        <v>12785</v>
      </c>
      <c r="AB297" s="483">
        <v>1371</v>
      </c>
      <c r="AC297" s="385">
        <v>9587</v>
      </c>
      <c r="AD297" s="545">
        <v>5.4</v>
      </c>
      <c r="AE297" s="483">
        <v>17736</v>
      </c>
      <c r="AF297" s="483">
        <v>17596</v>
      </c>
      <c r="AG297" s="481">
        <v>4403</v>
      </c>
      <c r="AH297" s="481">
        <v>4403</v>
      </c>
      <c r="AI297">
        <v>9.5</v>
      </c>
      <c r="AJ297" s="385">
        <v>130853910</v>
      </c>
      <c r="AK297" s="385">
        <v>27894</v>
      </c>
      <c r="AL297" s="385">
        <v>0</v>
      </c>
      <c r="AM297" s="287">
        <v>0</v>
      </c>
      <c r="AN297" s="542">
        <v>330000</v>
      </c>
      <c r="AO297" s="549">
        <v>0.17</v>
      </c>
      <c r="AP297" s="385">
        <v>14468</v>
      </c>
      <c r="AQ297" s="385">
        <v>14354</v>
      </c>
      <c r="AR297" s="481">
        <v>3592</v>
      </c>
      <c r="AS297" s="481">
        <v>3613</v>
      </c>
      <c r="AT297" s="617"/>
      <c r="AU297" s="618">
        <v>0</v>
      </c>
      <c r="AV297" s="618">
        <v>53679</v>
      </c>
      <c r="AW297" s="620"/>
      <c r="AX297" s="620"/>
      <c r="AY297" s="625"/>
      <c r="AZ297" s="626"/>
      <c r="BA297" s="624"/>
      <c r="BB297" s="673">
        <v>282877</v>
      </c>
      <c r="BC297" s="781">
        <v>4.1000000000000002E-2</v>
      </c>
      <c r="BD297" s="790">
        <v>33</v>
      </c>
      <c r="BE297" s="673">
        <v>11528.15</v>
      </c>
    </row>
    <row r="298" spans="1:57" x14ac:dyDescent="0.2">
      <c r="A298" s="390">
        <v>15</v>
      </c>
      <c r="B298" s="551" t="s">
        <v>370</v>
      </c>
      <c r="C298" t="s">
        <v>658</v>
      </c>
      <c r="D298" s="406">
        <v>624</v>
      </c>
      <c r="E298" s="560">
        <v>6592</v>
      </c>
      <c r="F298" s="561">
        <v>572.76</v>
      </c>
      <c r="G298" s="561">
        <v>56.870000000000005</v>
      </c>
      <c r="H298" s="561">
        <v>68.61</v>
      </c>
      <c r="I298" s="561">
        <v>319.72000000000003</v>
      </c>
      <c r="J298" s="561">
        <v>29.52</v>
      </c>
      <c r="K298" s="561">
        <v>22.99</v>
      </c>
      <c r="L298" s="561">
        <v>30.14</v>
      </c>
      <c r="M298" s="343">
        <v>0</v>
      </c>
      <c r="N298" s="477">
        <v>25.5</v>
      </c>
      <c r="O298" s="477">
        <v>3.2839999999999998</v>
      </c>
      <c r="P298" s="407">
        <v>0.22</v>
      </c>
      <c r="Q298" s="477">
        <v>0</v>
      </c>
      <c r="R298" s="483">
        <v>4160211</v>
      </c>
      <c r="S298" s="483">
        <v>361469</v>
      </c>
      <c r="T298" s="483">
        <v>35891</v>
      </c>
      <c r="U298" s="483">
        <v>43300</v>
      </c>
      <c r="V298" s="483">
        <v>201775</v>
      </c>
      <c r="W298" s="483">
        <v>204834</v>
      </c>
      <c r="X298" s="483">
        <v>11925</v>
      </c>
      <c r="Y298" s="483">
        <v>1</v>
      </c>
      <c r="Z298" s="406">
        <v>0</v>
      </c>
      <c r="AA298" s="483">
        <v>20519</v>
      </c>
      <c r="AB298" s="483">
        <v>2226</v>
      </c>
      <c r="AC298" s="385">
        <v>12746</v>
      </c>
      <c r="AD298" s="545">
        <v>5.4</v>
      </c>
      <c r="AE298" s="483">
        <v>19977</v>
      </c>
      <c r="AF298" s="483">
        <v>20187</v>
      </c>
      <c r="AG298" s="481">
        <v>10886</v>
      </c>
      <c r="AH298" s="481">
        <v>10886</v>
      </c>
      <c r="AI298">
        <v>16.5</v>
      </c>
      <c r="AJ298" s="385">
        <v>220416988</v>
      </c>
      <c r="AK298" s="385">
        <v>8345</v>
      </c>
      <c r="AL298" s="385">
        <v>0</v>
      </c>
      <c r="AM298" s="287">
        <v>0</v>
      </c>
      <c r="AN298" s="542">
        <v>330000</v>
      </c>
      <c r="AO298" s="549">
        <v>0.17</v>
      </c>
      <c r="AP298" s="385">
        <v>14444</v>
      </c>
      <c r="AQ298" s="385">
        <v>14596</v>
      </c>
      <c r="AR298" s="481">
        <v>7871</v>
      </c>
      <c r="AS298" s="481">
        <v>7943</v>
      </c>
      <c r="AT298" s="617"/>
      <c r="AU298" s="618">
        <v>0</v>
      </c>
      <c r="AV298" s="618">
        <v>0</v>
      </c>
      <c r="AW298" s="620"/>
      <c r="AX298" s="620"/>
      <c r="AY298" s="625"/>
      <c r="AZ298" s="626"/>
      <c r="BA298" s="624"/>
      <c r="BB298" s="673">
        <v>1646988</v>
      </c>
      <c r="BC298" s="781">
        <v>0.05</v>
      </c>
      <c r="BD298" s="790">
        <v>89</v>
      </c>
      <c r="BE298" s="673">
        <v>26964.51</v>
      </c>
    </row>
    <row r="299" spans="1:57" x14ac:dyDescent="0.2">
      <c r="A299" s="390">
        <v>11</v>
      </c>
      <c r="B299" s="551" t="s">
        <v>371</v>
      </c>
      <c r="C299" t="s">
        <v>1334</v>
      </c>
      <c r="D299" s="406">
        <v>621.6</v>
      </c>
      <c r="E299" s="560">
        <v>6591</v>
      </c>
      <c r="F299" s="561">
        <v>586.07000000000005</v>
      </c>
      <c r="G299" s="561">
        <v>60.36</v>
      </c>
      <c r="H299" s="561">
        <v>63.4</v>
      </c>
      <c r="I299" s="561">
        <v>319.72000000000003</v>
      </c>
      <c r="J299" s="561">
        <v>25.919999999999998</v>
      </c>
      <c r="K299" s="561">
        <v>19.369999999999997</v>
      </c>
      <c r="L299" s="561">
        <v>8.2200000000000006</v>
      </c>
      <c r="M299" s="343">
        <v>0</v>
      </c>
      <c r="N299" s="477">
        <v>4.7300000000000004</v>
      </c>
      <c r="O299" s="477">
        <v>1.7110000000000001</v>
      </c>
      <c r="P299" s="407">
        <v>0.44</v>
      </c>
      <c r="Q299" s="477">
        <v>0</v>
      </c>
      <c r="R299" s="483">
        <v>3993487</v>
      </c>
      <c r="S299" s="483">
        <v>355100</v>
      </c>
      <c r="T299" s="483">
        <v>36572</v>
      </c>
      <c r="U299" s="483">
        <v>38414</v>
      </c>
      <c r="V299" s="483">
        <v>193718</v>
      </c>
      <c r="W299" s="483">
        <v>186010</v>
      </c>
      <c r="X299" s="483">
        <v>0</v>
      </c>
      <c r="Y299" s="483">
        <v>29</v>
      </c>
      <c r="Z299" s="406">
        <v>0</v>
      </c>
      <c r="AA299" s="483">
        <v>15327</v>
      </c>
      <c r="AB299" s="483">
        <v>1948</v>
      </c>
      <c r="AC299" s="385">
        <v>7263</v>
      </c>
      <c r="AD299" s="545">
        <v>5.4</v>
      </c>
      <c r="AE299" s="483">
        <v>88076</v>
      </c>
      <c r="AF299" s="483">
        <v>90679</v>
      </c>
      <c r="AG299" s="481">
        <v>5283</v>
      </c>
      <c r="AH299" s="481">
        <v>4286</v>
      </c>
      <c r="AI299">
        <v>0</v>
      </c>
      <c r="AJ299" s="385">
        <v>197222531</v>
      </c>
      <c r="AK299" s="385">
        <v>0</v>
      </c>
      <c r="AL299" s="385">
        <v>0</v>
      </c>
      <c r="AM299" s="287">
        <v>0</v>
      </c>
      <c r="AN299" s="542">
        <v>330000</v>
      </c>
      <c r="AO299" s="549">
        <v>0.17</v>
      </c>
      <c r="AP299" s="385">
        <v>53483</v>
      </c>
      <c r="AQ299" s="385">
        <v>55064</v>
      </c>
      <c r="AR299" s="481">
        <v>3208</v>
      </c>
      <c r="AS299" s="481">
        <v>2614</v>
      </c>
      <c r="AT299" s="617"/>
      <c r="AU299" s="618">
        <v>64039</v>
      </c>
      <c r="AV299" s="618">
        <v>0</v>
      </c>
      <c r="AW299" s="620"/>
      <c r="AX299" s="620"/>
      <c r="AY299" s="625"/>
      <c r="AZ299" s="626"/>
      <c r="BA299" s="624"/>
      <c r="BB299" s="673">
        <v>285824</v>
      </c>
      <c r="BC299" s="781">
        <v>3.4000000000000002E-2</v>
      </c>
      <c r="BD299" s="790">
        <v>25</v>
      </c>
      <c r="BE299" s="673">
        <v>15632.25</v>
      </c>
    </row>
    <row r="300" spans="1:57" x14ac:dyDescent="0.2">
      <c r="A300" s="390">
        <v>13</v>
      </c>
      <c r="B300" s="551" t="s">
        <v>372</v>
      </c>
      <c r="C300" t="s">
        <v>1335</v>
      </c>
      <c r="D300" s="406">
        <v>304</v>
      </c>
      <c r="E300" s="560">
        <v>6591</v>
      </c>
      <c r="F300" s="561">
        <v>581.86</v>
      </c>
      <c r="G300" s="561">
        <v>62.49</v>
      </c>
      <c r="H300" s="561">
        <v>71.23</v>
      </c>
      <c r="I300" s="561">
        <v>319.72000000000003</v>
      </c>
      <c r="J300" s="561">
        <v>22.32</v>
      </c>
      <c r="K300" s="561">
        <v>3.63</v>
      </c>
      <c r="L300" s="561">
        <v>10.96</v>
      </c>
      <c r="M300" s="343">
        <v>0</v>
      </c>
      <c r="N300" s="477">
        <v>22.9</v>
      </c>
      <c r="O300" s="477">
        <v>1.4339999999999999</v>
      </c>
      <c r="P300" s="407">
        <v>0</v>
      </c>
      <c r="Q300" s="477">
        <v>0</v>
      </c>
      <c r="R300" s="483">
        <v>1997073</v>
      </c>
      <c r="S300" s="483">
        <v>176304</v>
      </c>
      <c r="T300" s="483">
        <v>18934</v>
      </c>
      <c r="U300" s="483">
        <v>21583</v>
      </c>
      <c r="V300" s="483">
        <v>96875</v>
      </c>
      <c r="W300" s="483">
        <v>100178</v>
      </c>
      <c r="X300" s="483">
        <v>12658</v>
      </c>
      <c r="Y300" s="483">
        <v>0</v>
      </c>
      <c r="Z300" s="406">
        <v>0</v>
      </c>
      <c r="AA300" s="483">
        <v>10286</v>
      </c>
      <c r="AB300" s="483">
        <v>1096</v>
      </c>
      <c r="AC300" s="385">
        <v>6975</v>
      </c>
      <c r="AD300" s="545">
        <v>5.4</v>
      </c>
      <c r="AE300" s="483">
        <v>20450</v>
      </c>
      <c r="AF300" s="483">
        <v>21024</v>
      </c>
      <c r="AG300" s="481">
        <v>4191</v>
      </c>
      <c r="AH300" s="481">
        <v>3834</v>
      </c>
      <c r="AI300">
        <v>10</v>
      </c>
      <c r="AJ300" s="385">
        <v>136482547</v>
      </c>
      <c r="AK300" s="385">
        <v>2565</v>
      </c>
      <c r="AL300" s="385">
        <v>0</v>
      </c>
      <c r="AM300" s="287">
        <v>0</v>
      </c>
      <c r="AN300" s="542">
        <v>330000</v>
      </c>
      <c r="AO300" s="549">
        <v>0.17</v>
      </c>
      <c r="AP300" s="385">
        <v>16973</v>
      </c>
      <c r="AQ300" s="385">
        <v>17450</v>
      </c>
      <c r="AR300" s="481">
        <v>3478</v>
      </c>
      <c r="AS300" s="481">
        <v>3198</v>
      </c>
      <c r="AT300" s="617"/>
      <c r="AU300" s="618">
        <v>0</v>
      </c>
      <c r="AV300" s="618">
        <v>196952</v>
      </c>
      <c r="AW300" s="620"/>
      <c r="AX300" s="620"/>
      <c r="AY300" s="625"/>
      <c r="AZ300" s="626"/>
      <c r="BA300" s="624"/>
      <c r="BB300" s="673">
        <v>0</v>
      </c>
      <c r="BC300" s="781">
        <v>3.6999999999999998E-2</v>
      </c>
      <c r="BD300" s="790">
        <v>69</v>
      </c>
      <c r="BE300" s="673">
        <v>12753.54</v>
      </c>
    </row>
    <row r="301" spans="1:57" x14ac:dyDescent="0.2">
      <c r="A301" s="390">
        <v>10</v>
      </c>
      <c r="B301" s="551" t="s">
        <v>373</v>
      </c>
      <c r="C301" t="s">
        <v>652</v>
      </c>
      <c r="D301" s="406">
        <v>1534.5</v>
      </c>
      <c r="E301" s="560">
        <v>6591</v>
      </c>
      <c r="F301" s="561">
        <v>589.74</v>
      </c>
      <c r="G301" s="561">
        <v>66.34</v>
      </c>
      <c r="H301" s="561">
        <v>63.91</v>
      </c>
      <c r="I301" s="561">
        <v>319.72000000000003</v>
      </c>
      <c r="J301" s="561">
        <v>101.52</v>
      </c>
      <c r="K301" s="561">
        <v>52.64</v>
      </c>
      <c r="L301" s="561">
        <v>54.8</v>
      </c>
      <c r="M301" s="343">
        <v>0</v>
      </c>
      <c r="N301" s="477">
        <v>10.36</v>
      </c>
      <c r="O301" s="477">
        <v>6.923</v>
      </c>
      <c r="P301" s="407">
        <v>0.66</v>
      </c>
      <c r="Q301" s="477">
        <v>0</v>
      </c>
      <c r="R301" s="483">
        <v>10486281</v>
      </c>
      <c r="S301" s="483">
        <v>938276</v>
      </c>
      <c r="T301" s="483">
        <v>105547</v>
      </c>
      <c r="U301" s="483">
        <v>101681</v>
      </c>
      <c r="V301" s="483">
        <v>508675</v>
      </c>
      <c r="W301" s="483">
        <v>522481</v>
      </c>
      <c r="X301" s="483">
        <v>14427</v>
      </c>
      <c r="Y301" s="483">
        <v>27</v>
      </c>
      <c r="Z301" s="406">
        <v>0</v>
      </c>
      <c r="AA301" s="483">
        <v>48814</v>
      </c>
      <c r="AB301" s="483">
        <v>5681</v>
      </c>
      <c r="AC301" s="385">
        <v>29476</v>
      </c>
      <c r="AD301" s="545">
        <v>5.4</v>
      </c>
      <c r="AE301" s="483">
        <v>63252</v>
      </c>
      <c r="AF301" s="483">
        <v>63695</v>
      </c>
      <c r="AG301" s="481">
        <v>27013</v>
      </c>
      <c r="AH301" s="481">
        <v>25611</v>
      </c>
      <c r="AI301">
        <v>37</v>
      </c>
      <c r="AJ301" s="385">
        <v>476385830</v>
      </c>
      <c r="AK301" s="385">
        <v>13570</v>
      </c>
      <c r="AL301" s="385">
        <v>0</v>
      </c>
      <c r="AM301" s="287">
        <v>0</v>
      </c>
      <c r="AN301" s="542">
        <v>330000</v>
      </c>
      <c r="AO301" s="549">
        <v>0.17</v>
      </c>
      <c r="AP301" s="385">
        <v>48003</v>
      </c>
      <c r="AQ301" s="385">
        <v>48339</v>
      </c>
      <c r="AR301" s="481">
        <v>20501</v>
      </c>
      <c r="AS301" s="481">
        <v>19620</v>
      </c>
      <c r="AT301" s="617"/>
      <c r="AU301" s="618">
        <v>0</v>
      </c>
      <c r="AV301" s="618">
        <v>0</v>
      </c>
      <c r="AW301" s="620"/>
      <c r="AX301" s="620"/>
      <c r="AY301" s="625"/>
      <c r="AZ301" s="626"/>
      <c r="BA301" s="624"/>
      <c r="BB301" s="673">
        <v>1569059</v>
      </c>
      <c r="BC301" s="781">
        <v>0.03</v>
      </c>
      <c r="BD301" s="790">
        <v>6</v>
      </c>
      <c r="BE301" s="673">
        <v>78026.61</v>
      </c>
    </row>
    <row r="302" spans="1:57" x14ac:dyDescent="0.2">
      <c r="A302" s="390">
        <v>15</v>
      </c>
      <c r="B302" s="551" t="s">
        <v>374</v>
      </c>
      <c r="C302" t="s">
        <v>1336</v>
      </c>
      <c r="D302" s="406">
        <v>481.2</v>
      </c>
      <c r="E302" s="560">
        <v>6715</v>
      </c>
      <c r="F302" s="561">
        <v>640.87</v>
      </c>
      <c r="G302" s="561">
        <v>68.489999999999995</v>
      </c>
      <c r="H302" s="561">
        <v>68.77000000000001</v>
      </c>
      <c r="I302" s="561">
        <v>319.72000000000003</v>
      </c>
      <c r="J302" s="561">
        <v>23.759999999999998</v>
      </c>
      <c r="K302" s="561">
        <v>13.31</v>
      </c>
      <c r="L302" s="561">
        <v>19.18</v>
      </c>
      <c r="M302" s="343">
        <v>0</v>
      </c>
      <c r="N302" s="477">
        <v>24</v>
      </c>
      <c r="O302" s="477">
        <v>2.1559999999999997</v>
      </c>
      <c r="P302" s="407">
        <v>0.88</v>
      </c>
      <c r="Q302" s="477">
        <v>0</v>
      </c>
      <c r="R302" s="483">
        <v>3141277</v>
      </c>
      <c r="S302" s="483">
        <v>299799</v>
      </c>
      <c r="T302" s="483">
        <v>32040</v>
      </c>
      <c r="U302" s="483">
        <v>32171</v>
      </c>
      <c r="V302" s="483">
        <v>149565</v>
      </c>
      <c r="W302" s="483">
        <v>152823</v>
      </c>
      <c r="X302" s="483">
        <v>4994</v>
      </c>
      <c r="Y302" s="483">
        <v>2</v>
      </c>
      <c r="Z302" s="406">
        <v>0</v>
      </c>
      <c r="AA302" s="483">
        <v>15309</v>
      </c>
      <c r="AB302" s="483">
        <v>1661</v>
      </c>
      <c r="AC302" s="385">
        <v>8981</v>
      </c>
      <c r="AD302" s="545">
        <v>5.4</v>
      </c>
      <c r="AE302" s="483">
        <v>24865</v>
      </c>
      <c r="AF302" s="483">
        <v>24646</v>
      </c>
      <c r="AG302" s="481">
        <v>9464</v>
      </c>
      <c r="AH302" s="481">
        <v>9464</v>
      </c>
      <c r="AI302">
        <v>11.5</v>
      </c>
      <c r="AJ302" s="385">
        <v>148004271</v>
      </c>
      <c r="AK302" s="385">
        <v>3060</v>
      </c>
      <c r="AL302" s="385">
        <v>0</v>
      </c>
      <c r="AM302" s="287">
        <v>0</v>
      </c>
      <c r="AN302" s="542">
        <v>330000</v>
      </c>
      <c r="AO302" s="549">
        <v>0.17</v>
      </c>
      <c r="AP302" s="385">
        <v>19509</v>
      </c>
      <c r="AQ302" s="385">
        <v>19337</v>
      </c>
      <c r="AR302" s="481">
        <v>7425</v>
      </c>
      <c r="AS302" s="481">
        <v>7500</v>
      </c>
      <c r="AT302" s="617"/>
      <c r="AU302" s="618">
        <v>0</v>
      </c>
      <c r="AV302" s="618">
        <v>69738</v>
      </c>
      <c r="AW302" s="620"/>
      <c r="AX302" s="620"/>
      <c r="AY302" s="625"/>
      <c r="AZ302" s="626"/>
      <c r="BA302" s="624"/>
      <c r="BB302" s="673">
        <v>0</v>
      </c>
      <c r="BC302" s="781">
        <v>0.05</v>
      </c>
      <c r="BD302" s="790">
        <v>44</v>
      </c>
      <c r="BE302" s="673">
        <v>27245.98</v>
      </c>
    </row>
    <row r="303" spans="1:57" x14ac:dyDescent="0.2">
      <c r="A303" s="390">
        <v>15</v>
      </c>
      <c r="B303" s="551" t="s">
        <v>376</v>
      </c>
      <c r="C303" t="s">
        <v>1337</v>
      </c>
      <c r="D303" s="406">
        <v>646</v>
      </c>
      <c r="E303" s="560">
        <v>6614</v>
      </c>
      <c r="F303" s="561">
        <v>602.85</v>
      </c>
      <c r="G303" s="561">
        <v>62.300000000000004</v>
      </c>
      <c r="H303" s="561">
        <v>75.150000000000006</v>
      </c>
      <c r="I303" s="561">
        <v>319.72000000000003</v>
      </c>
      <c r="J303" s="561">
        <v>44.64</v>
      </c>
      <c r="K303" s="561">
        <v>26.62</v>
      </c>
      <c r="L303" s="561">
        <v>27.4</v>
      </c>
      <c r="M303" s="343">
        <v>0</v>
      </c>
      <c r="N303" s="477">
        <v>27.11</v>
      </c>
      <c r="O303" s="477">
        <v>3.5529999999999999</v>
      </c>
      <c r="P303" s="407">
        <v>2.86</v>
      </c>
      <c r="Q303" s="477">
        <v>0</v>
      </c>
      <c r="R303" s="483">
        <v>4419475</v>
      </c>
      <c r="S303" s="483">
        <v>402824</v>
      </c>
      <c r="T303" s="483">
        <v>41629</v>
      </c>
      <c r="U303" s="483">
        <v>50215</v>
      </c>
      <c r="V303" s="483">
        <v>213637</v>
      </c>
      <c r="W303" s="483">
        <v>221687</v>
      </c>
      <c r="X303" s="483">
        <v>7319</v>
      </c>
      <c r="Y303" s="483">
        <v>1</v>
      </c>
      <c r="Z303" s="406">
        <v>0</v>
      </c>
      <c r="AA303" s="483">
        <v>22207</v>
      </c>
      <c r="AB303" s="483">
        <v>2409</v>
      </c>
      <c r="AC303" s="385">
        <v>11407</v>
      </c>
      <c r="AD303" s="545">
        <v>5.4</v>
      </c>
      <c r="AE303" s="483">
        <v>39049</v>
      </c>
      <c r="AF303" s="483">
        <v>39863</v>
      </c>
      <c r="AG303" s="481">
        <v>10067</v>
      </c>
      <c r="AH303" s="481">
        <v>8729</v>
      </c>
      <c r="AI303">
        <v>9.5</v>
      </c>
      <c r="AJ303" s="385">
        <v>183951082</v>
      </c>
      <c r="AK303" s="385">
        <v>0</v>
      </c>
      <c r="AL303" s="385">
        <v>0</v>
      </c>
      <c r="AM303" s="287">
        <v>0</v>
      </c>
      <c r="AN303" s="542">
        <v>330000</v>
      </c>
      <c r="AO303" s="549">
        <v>0.17</v>
      </c>
      <c r="AP303" s="385">
        <v>34029</v>
      </c>
      <c r="AQ303" s="385">
        <v>34738</v>
      </c>
      <c r="AR303" s="481">
        <v>8773</v>
      </c>
      <c r="AS303" s="481">
        <v>7677</v>
      </c>
      <c r="AT303" s="617"/>
      <c r="AU303" s="618">
        <v>40684</v>
      </c>
      <c r="AV303" s="618">
        <v>16901</v>
      </c>
      <c r="AW303" s="620"/>
      <c r="AX303" s="620"/>
      <c r="AY303" s="625"/>
      <c r="AZ303" s="626"/>
      <c r="BA303" s="624"/>
      <c r="BB303" s="673">
        <v>616522</v>
      </c>
      <c r="BC303" s="781">
        <v>2.5000000000000001E-2</v>
      </c>
      <c r="BD303" s="790">
        <v>58</v>
      </c>
      <c r="BE303" s="673">
        <v>27702.29</v>
      </c>
    </row>
    <row r="304" spans="1:57" x14ac:dyDescent="0.2">
      <c r="A304" s="390">
        <v>7</v>
      </c>
      <c r="B304" s="551" t="s">
        <v>377</v>
      </c>
      <c r="C304" t="s">
        <v>1338</v>
      </c>
      <c r="D304" s="406">
        <v>672</v>
      </c>
      <c r="E304" s="560">
        <v>6637</v>
      </c>
      <c r="F304" s="561">
        <v>618.62</v>
      </c>
      <c r="G304" s="561">
        <v>63.78</v>
      </c>
      <c r="H304" s="561">
        <v>67.100000000000009</v>
      </c>
      <c r="I304" s="561">
        <v>319.72000000000003</v>
      </c>
      <c r="J304" s="561">
        <v>18</v>
      </c>
      <c r="K304" s="561">
        <v>14.52</v>
      </c>
      <c r="L304" s="561">
        <v>23.29</v>
      </c>
      <c r="M304" s="343">
        <v>0</v>
      </c>
      <c r="N304" s="477">
        <v>21.11</v>
      </c>
      <c r="O304" s="477">
        <v>1.8839999999999999</v>
      </c>
      <c r="P304" s="407">
        <v>13.2</v>
      </c>
      <c r="Q304" s="477">
        <v>0</v>
      </c>
      <c r="R304" s="483">
        <v>4578203</v>
      </c>
      <c r="S304" s="483">
        <v>426724</v>
      </c>
      <c r="T304" s="483">
        <v>43995</v>
      </c>
      <c r="U304" s="483">
        <v>46286</v>
      </c>
      <c r="V304" s="483">
        <v>220543</v>
      </c>
      <c r="W304" s="483">
        <v>217515</v>
      </c>
      <c r="X304" s="483">
        <v>3466</v>
      </c>
      <c r="Y304" s="483">
        <v>60</v>
      </c>
      <c r="Z304" s="406">
        <v>0</v>
      </c>
      <c r="AA304" s="483">
        <v>27581</v>
      </c>
      <c r="AB304" s="483">
        <v>3169</v>
      </c>
      <c r="AC304" s="385">
        <v>11101</v>
      </c>
      <c r="AD304" s="545">
        <v>5.4</v>
      </c>
      <c r="AE304" s="483">
        <v>13936</v>
      </c>
      <c r="AF304" s="483">
        <v>13925</v>
      </c>
      <c r="AG304" s="481">
        <v>8184</v>
      </c>
      <c r="AH304" s="481">
        <v>7910</v>
      </c>
      <c r="AI304">
        <v>21</v>
      </c>
      <c r="AJ304" s="385">
        <v>198245972</v>
      </c>
      <c r="AK304" s="385">
        <v>31591</v>
      </c>
      <c r="AL304" s="385">
        <v>0</v>
      </c>
      <c r="AM304" s="287">
        <v>0</v>
      </c>
      <c r="AN304" s="542">
        <v>330000</v>
      </c>
      <c r="AO304" s="549">
        <v>0.17</v>
      </c>
      <c r="AP304" s="385">
        <v>9499</v>
      </c>
      <c r="AQ304" s="385">
        <v>9491</v>
      </c>
      <c r="AR304" s="481">
        <v>5578</v>
      </c>
      <c r="AS304" s="481">
        <v>5469</v>
      </c>
      <c r="AT304" s="617"/>
      <c r="AU304" s="618">
        <v>155453</v>
      </c>
      <c r="AV304" s="618">
        <v>0</v>
      </c>
      <c r="AW304" s="620"/>
      <c r="AX304" s="620"/>
      <c r="AY304" s="625"/>
      <c r="AZ304" s="626"/>
      <c r="BA304" s="624"/>
      <c r="BB304" s="673">
        <v>982457</v>
      </c>
      <c r="BC304" s="781">
        <v>2.5000000000000001E-2</v>
      </c>
      <c r="BD304" s="790">
        <v>9</v>
      </c>
      <c r="BE304" s="673">
        <v>21520.11</v>
      </c>
    </row>
    <row r="305" spans="1:57" x14ac:dyDescent="0.2">
      <c r="A305" s="390">
        <v>10</v>
      </c>
      <c r="B305" s="551" t="s">
        <v>378</v>
      </c>
      <c r="C305" t="s">
        <v>1339</v>
      </c>
      <c r="D305" s="406">
        <v>1745.1</v>
      </c>
      <c r="E305" s="560">
        <v>6591</v>
      </c>
      <c r="F305" s="561">
        <v>570.26</v>
      </c>
      <c r="G305" s="561">
        <v>63.15</v>
      </c>
      <c r="H305" s="561">
        <v>70.180000000000007</v>
      </c>
      <c r="I305" s="561">
        <v>319.72000000000003</v>
      </c>
      <c r="J305" s="561">
        <v>99.36</v>
      </c>
      <c r="K305" s="561">
        <v>81.679999999999993</v>
      </c>
      <c r="L305" s="561">
        <v>60.28</v>
      </c>
      <c r="M305" s="343">
        <v>0</v>
      </c>
      <c r="N305" s="477">
        <v>42.739999999999995</v>
      </c>
      <c r="O305" s="477">
        <v>9.3190000000000008</v>
      </c>
      <c r="P305" s="407">
        <v>16.5</v>
      </c>
      <c r="Q305" s="477">
        <v>0</v>
      </c>
      <c r="R305" s="483">
        <v>11238314</v>
      </c>
      <c r="S305" s="483">
        <v>972350</v>
      </c>
      <c r="T305" s="483">
        <v>107677</v>
      </c>
      <c r="U305" s="483">
        <v>119664</v>
      </c>
      <c r="V305" s="483">
        <v>545155</v>
      </c>
      <c r="W305" s="483">
        <v>561530</v>
      </c>
      <c r="X305" s="483">
        <v>19658</v>
      </c>
      <c r="Y305" s="483">
        <v>67</v>
      </c>
      <c r="Z305" s="406">
        <v>0.2</v>
      </c>
      <c r="AA305" s="483">
        <v>52462</v>
      </c>
      <c r="AB305" s="483">
        <v>6106</v>
      </c>
      <c r="AC305" s="385">
        <v>26376</v>
      </c>
      <c r="AD305" s="545">
        <v>5.4</v>
      </c>
      <c r="AE305" s="483">
        <v>54707</v>
      </c>
      <c r="AF305" s="483">
        <v>54392</v>
      </c>
      <c r="AG305" s="481">
        <v>43130</v>
      </c>
      <c r="AH305" s="481">
        <v>40382</v>
      </c>
      <c r="AI305">
        <v>40.5</v>
      </c>
      <c r="AJ305" s="385">
        <v>427761130</v>
      </c>
      <c r="AK305" s="385">
        <v>28842</v>
      </c>
      <c r="AL305" s="385">
        <v>0</v>
      </c>
      <c r="AM305" s="287">
        <v>0</v>
      </c>
      <c r="AN305" s="542">
        <v>330000</v>
      </c>
      <c r="AO305" s="549">
        <v>0.17</v>
      </c>
      <c r="AP305" s="385">
        <v>50179</v>
      </c>
      <c r="AQ305" s="385">
        <v>49890</v>
      </c>
      <c r="AR305" s="481">
        <v>39560</v>
      </c>
      <c r="AS305" s="481">
        <v>37707</v>
      </c>
      <c r="AT305" s="617"/>
      <c r="AU305" s="618">
        <v>145527</v>
      </c>
      <c r="AV305" s="618">
        <v>203819</v>
      </c>
      <c r="AW305" s="620"/>
      <c r="AX305" s="620"/>
      <c r="AY305" s="625"/>
      <c r="AZ305" s="626"/>
      <c r="BA305" s="624"/>
      <c r="BB305" s="673">
        <v>455154</v>
      </c>
      <c r="BC305" s="781">
        <v>3.5999999999999997E-2</v>
      </c>
      <c r="BD305" s="790">
        <v>92</v>
      </c>
      <c r="BE305" s="673">
        <v>127002.96</v>
      </c>
    </row>
    <row r="306" spans="1:57" x14ac:dyDescent="0.2">
      <c r="A306" s="390">
        <v>7</v>
      </c>
      <c r="B306" s="551" t="s">
        <v>379</v>
      </c>
      <c r="C306" t="s">
        <v>1340</v>
      </c>
      <c r="D306" s="406">
        <v>10834.9</v>
      </c>
      <c r="E306" s="560">
        <v>6591</v>
      </c>
      <c r="F306" s="561">
        <v>558.11</v>
      </c>
      <c r="G306" s="561">
        <v>60.74</v>
      </c>
      <c r="H306" s="561">
        <v>77.830000000000013</v>
      </c>
      <c r="I306" s="561">
        <v>319.72000000000003</v>
      </c>
      <c r="J306" s="561">
        <v>540</v>
      </c>
      <c r="K306" s="561">
        <v>758.17</v>
      </c>
      <c r="L306" s="561">
        <v>937.08</v>
      </c>
      <c r="M306" s="343">
        <v>0</v>
      </c>
      <c r="N306" s="477">
        <v>31.05</v>
      </c>
      <c r="O306" s="477">
        <v>73.091000000000008</v>
      </c>
      <c r="P306" s="407">
        <v>159.06</v>
      </c>
      <c r="Q306" s="477">
        <v>0</v>
      </c>
      <c r="R306" s="483">
        <v>72077199</v>
      </c>
      <c r="S306" s="483">
        <v>6103324</v>
      </c>
      <c r="T306" s="483">
        <v>664234</v>
      </c>
      <c r="U306" s="483">
        <v>851126</v>
      </c>
      <c r="V306" s="483">
        <v>3496362</v>
      </c>
      <c r="W306" s="483">
        <v>3835997</v>
      </c>
      <c r="X306" s="483">
        <v>0</v>
      </c>
      <c r="Y306" s="483">
        <v>1312</v>
      </c>
      <c r="Z306" s="406">
        <v>3.4</v>
      </c>
      <c r="AA306" s="483">
        <v>486404</v>
      </c>
      <c r="AB306" s="483">
        <v>55892</v>
      </c>
      <c r="AC306" s="385">
        <v>180583</v>
      </c>
      <c r="AD306" s="545">
        <v>5.4</v>
      </c>
      <c r="AE306" s="483">
        <v>526070</v>
      </c>
      <c r="AF306" s="483">
        <v>541634</v>
      </c>
      <c r="AG306" s="481">
        <v>516338</v>
      </c>
      <c r="AH306" s="481">
        <v>450475</v>
      </c>
      <c r="AI306">
        <v>273.5</v>
      </c>
      <c r="AJ306" s="385">
        <v>2618750541</v>
      </c>
      <c r="AK306" s="385">
        <v>131486</v>
      </c>
      <c r="AL306" s="385">
        <v>0</v>
      </c>
      <c r="AM306" s="287">
        <v>0</v>
      </c>
      <c r="AN306" s="542">
        <v>330000</v>
      </c>
      <c r="AO306" s="549">
        <v>0.17</v>
      </c>
      <c r="AP306" s="385">
        <v>524356</v>
      </c>
      <c r="AQ306" s="385">
        <v>539870</v>
      </c>
      <c r="AR306" s="481">
        <v>514657</v>
      </c>
      <c r="AS306" s="481">
        <v>463550</v>
      </c>
      <c r="AT306" s="617"/>
      <c r="AU306" s="618">
        <v>0</v>
      </c>
      <c r="AV306" s="618">
        <v>412866</v>
      </c>
      <c r="AW306" s="620"/>
      <c r="AX306" s="620"/>
      <c r="AY306" s="625"/>
      <c r="AZ306" s="626"/>
      <c r="BA306" s="624"/>
      <c r="BB306" s="673">
        <v>14540843</v>
      </c>
      <c r="BC306" s="781">
        <v>0.05</v>
      </c>
      <c r="BD306" s="790">
        <v>7</v>
      </c>
      <c r="BE306" s="673">
        <v>1472518.65</v>
      </c>
    </row>
    <row r="307" spans="1:57" x14ac:dyDescent="0.2">
      <c r="A307" s="390">
        <v>11</v>
      </c>
      <c r="B307" s="551" t="s">
        <v>380</v>
      </c>
      <c r="C307" t="s">
        <v>1341</v>
      </c>
      <c r="D307" s="406">
        <v>10027.4</v>
      </c>
      <c r="E307" s="560">
        <v>6591</v>
      </c>
      <c r="F307" s="561">
        <v>499.72</v>
      </c>
      <c r="G307" s="561">
        <v>51.54</v>
      </c>
      <c r="H307" s="561">
        <v>66.25</v>
      </c>
      <c r="I307" s="561">
        <v>319.72000000000003</v>
      </c>
      <c r="J307" s="561">
        <v>257.03999999999996</v>
      </c>
      <c r="K307" s="561">
        <v>194.38</v>
      </c>
      <c r="L307" s="561">
        <v>289.07</v>
      </c>
      <c r="M307" s="343">
        <v>0</v>
      </c>
      <c r="N307" s="477">
        <v>87.06</v>
      </c>
      <c r="O307" s="477">
        <v>30.820999999999998</v>
      </c>
      <c r="P307" s="407">
        <v>84.04</v>
      </c>
      <c r="Q307" s="477">
        <v>0</v>
      </c>
      <c r="R307" s="483">
        <v>62274404</v>
      </c>
      <c r="S307" s="483">
        <v>4721554</v>
      </c>
      <c r="T307" s="483">
        <v>486971</v>
      </c>
      <c r="U307" s="483">
        <v>625957</v>
      </c>
      <c r="V307" s="483">
        <v>3020842</v>
      </c>
      <c r="W307" s="483">
        <v>2837991</v>
      </c>
      <c r="X307" s="483">
        <v>0</v>
      </c>
      <c r="Y307" s="483">
        <v>1063</v>
      </c>
      <c r="Z307" s="406">
        <v>0.1</v>
      </c>
      <c r="AA307" s="483">
        <v>233846</v>
      </c>
      <c r="AB307" s="483">
        <v>29722</v>
      </c>
      <c r="AC307" s="385">
        <v>34257</v>
      </c>
      <c r="AD307" s="545">
        <v>5.4</v>
      </c>
      <c r="AE307" s="483">
        <v>66510</v>
      </c>
      <c r="AF307" s="483">
        <v>68474</v>
      </c>
      <c r="AG307" s="481">
        <v>750148</v>
      </c>
      <c r="AH307" s="481">
        <v>527921</v>
      </c>
      <c r="AI307">
        <v>0</v>
      </c>
      <c r="AJ307" s="385">
        <v>3172322627</v>
      </c>
      <c r="AK307" s="385">
        <v>433</v>
      </c>
      <c r="AL307" s="385">
        <v>0</v>
      </c>
      <c r="AM307" s="287">
        <v>0</v>
      </c>
      <c r="AN307" s="542">
        <v>330000</v>
      </c>
      <c r="AO307" s="549">
        <v>0.17</v>
      </c>
      <c r="AP307" s="385">
        <v>41278</v>
      </c>
      <c r="AQ307" s="385">
        <v>42497</v>
      </c>
      <c r="AR307" s="481">
        <v>465567</v>
      </c>
      <c r="AS307" s="481">
        <v>339766</v>
      </c>
      <c r="AT307" s="617"/>
      <c r="AU307" s="618">
        <v>0</v>
      </c>
      <c r="AV307" s="618">
        <v>0</v>
      </c>
      <c r="AW307" s="620"/>
      <c r="AX307" s="620"/>
      <c r="AY307" s="625"/>
      <c r="AZ307" s="626"/>
      <c r="BA307" s="624"/>
      <c r="BB307" s="673">
        <v>10969368</v>
      </c>
      <c r="BC307" s="781">
        <v>3.5999999999999997E-2</v>
      </c>
      <c r="BD307" s="790">
        <v>25</v>
      </c>
      <c r="BE307" s="673">
        <v>2451697.06</v>
      </c>
    </row>
    <row r="308" spans="1:57" x14ac:dyDescent="0.2">
      <c r="A308" s="390">
        <v>7</v>
      </c>
      <c r="B308" s="551" t="s">
        <v>381</v>
      </c>
      <c r="C308" t="s">
        <v>1342</v>
      </c>
      <c r="D308" s="406">
        <v>2025.4</v>
      </c>
      <c r="E308" s="560">
        <v>6591</v>
      </c>
      <c r="F308" s="561">
        <v>609.47</v>
      </c>
      <c r="G308" s="561">
        <v>67.650000000000006</v>
      </c>
      <c r="H308" s="561">
        <v>57.08</v>
      </c>
      <c r="I308" s="561">
        <v>319.72000000000003</v>
      </c>
      <c r="J308" s="561">
        <v>79.92</v>
      </c>
      <c r="K308" s="561">
        <v>101.04</v>
      </c>
      <c r="L308" s="561">
        <v>57.54</v>
      </c>
      <c r="M308" s="343">
        <v>0</v>
      </c>
      <c r="N308" s="477">
        <v>10.43</v>
      </c>
      <c r="O308" s="477">
        <v>7.1749999999999998</v>
      </c>
      <c r="P308" s="407">
        <v>2.42</v>
      </c>
      <c r="Q308" s="477">
        <v>0</v>
      </c>
      <c r="R308" s="483">
        <v>13154977</v>
      </c>
      <c r="S308" s="483">
        <v>1216441</v>
      </c>
      <c r="T308" s="483">
        <v>135023</v>
      </c>
      <c r="U308" s="483">
        <v>113926</v>
      </c>
      <c r="V308" s="483">
        <v>638129</v>
      </c>
      <c r="W308" s="483">
        <v>653524</v>
      </c>
      <c r="X308" s="483">
        <v>0</v>
      </c>
      <c r="Y308" s="483">
        <v>119</v>
      </c>
      <c r="Z308" s="406">
        <v>1.4</v>
      </c>
      <c r="AA308" s="483">
        <v>82867</v>
      </c>
      <c r="AB308" s="483">
        <v>9522</v>
      </c>
      <c r="AC308" s="385">
        <v>29793</v>
      </c>
      <c r="AD308" s="545">
        <v>5.4</v>
      </c>
      <c r="AE308" s="483">
        <v>110772</v>
      </c>
      <c r="AF308" s="483">
        <v>106181</v>
      </c>
      <c r="AG308" s="481">
        <v>88476</v>
      </c>
      <c r="AH308" s="481">
        <v>47464</v>
      </c>
      <c r="AI308">
        <v>45</v>
      </c>
      <c r="AJ308" s="385">
        <v>661168347</v>
      </c>
      <c r="AK308" s="385">
        <v>21799</v>
      </c>
      <c r="AL308" s="385">
        <v>0</v>
      </c>
      <c r="AM308" s="287">
        <v>0</v>
      </c>
      <c r="AN308" s="542">
        <v>330000</v>
      </c>
      <c r="AO308" s="549">
        <v>0.17</v>
      </c>
      <c r="AP308" s="385">
        <v>72780</v>
      </c>
      <c r="AQ308" s="385">
        <v>69764</v>
      </c>
      <c r="AR308" s="481">
        <v>58131</v>
      </c>
      <c r="AS308" s="481">
        <v>31959</v>
      </c>
      <c r="AT308" s="617"/>
      <c r="AU308" s="618">
        <v>0</v>
      </c>
      <c r="AV308" s="618">
        <v>28053</v>
      </c>
      <c r="AW308" s="620"/>
      <c r="AX308" s="620"/>
      <c r="AY308" s="625"/>
      <c r="AZ308" s="626"/>
      <c r="BA308" s="624"/>
      <c r="BB308" s="673">
        <v>262003</v>
      </c>
      <c r="BC308" s="781">
        <v>2.5000000000000001E-2</v>
      </c>
      <c r="BD308" s="790">
        <v>9</v>
      </c>
      <c r="BE308" s="673">
        <v>248779.87</v>
      </c>
    </row>
    <row r="309" spans="1:57" x14ac:dyDescent="0.2">
      <c r="A309" s="390">
        <v>15</v>
      </c>
      <c r="B309" s="551" t="s">
        <v>382</v>
      </c>
      <c r="C309" t="s">
        <v>1343</v>
      </c>
      <c r="D309" s="406">
        <v>573</v>
      </c>
      <c r="E309" s="560">
        <v>6614</v>
      </c>
      <c r="F309" s="561">
        <v>670.59</v>
      </c>
      <c r="G309" s="561">
        <v>74.680000000000007</v>
      </c>
      <c r="H309" s="561">
        <v>74.86</v>
      </c>
      <c r="I309" s="561">
        <v>319.72000000000003</v>
      </c>
      <c r="J309" s="561">
        <v>25.2</v>
      </c>
      <c r="K309" s="561">
        <v>6.05</v>
      </c>
      <c r="L309" s="561">
        <v>21.92</v>
      </c>
      <c r="M309" s="343">
        <v>0</v>
      </c>
      <c r="N309" s="477">
        <v>1.82</v>
      </c>
      <c r="O309" s="477">
        <v>3.2880000000000003</v>
      </c>
      <c r="P309" s="407">
        <v>0.88</v>
      </c>
      <c r="Q309" s="477">
        <v>0</v>
      </c>
      <c r="R309" s="483">
        <v>3629763</v>
      </c>
      <c r="S309" s="483">
        <v>368020</v>
      </c>
      <c r="T309" s="483">
        <v>40984</v>
      </c>
      <c r="U309" s="483">
        <v>41083</v>
      </c>
      <c r="V309" s="483">
        <v>175462</v>
      </c>
      <c r="W309" s="483">
        <v>173391</v>
      </c>
      <c r="X309" s="483">
        <v>13861</v>
      </c>
      <c r="Y309" s="483">
        <v>0</v>
      </c>
      <c r="Z309" s="406">
        <v>0</v>
      </c>
      <c r="AA309" s="483">
        <v>17369</v>
      </c>
      <c r="AB309" s="483">
        <v>1884</v>
      </c>
      <c r="AC309" s="385">
        <v>11808</v>
      </c>
      <c r="AD309" s="545">
        <v>5.4</v>
      </c>
      <c r="AE309" s="483">
        <v>22353</v>
      </c>
      <c r="AF309" s="483">
        <v>22380</v>
      </c>
      <c r="AG309" s="481">
        <v>10157</v>
      </c>
      <c r="AH309" s="481">
        <v>10157</v>
      </c>
      <c r="AI309">
        <v>19</v>
      </c>
      <c r="AJ309" s="385">
        <v>197507796</v>
      </c>
      <c r="AK309" s="385">
        <v>14108</v>
      </c>
      <c r="AL309" s="385">
        <v>0</v>
      </c>
      <c r="AM309" s="287">
        <v>0</v>
      </c>
      <c r="AN309" s="542">
        <v>330000</v>
      </c>
      <c r="AO309" s="549">
        <v>0.17</v>
      </c>
      <c r="AP309" s="385">
        <v>15483</v>
      </c>
      <c r="AQ309" s="385">
        <v>15501</v>
      </c>
      <c r="AR309" s="481">
        <v>7035</v>
      </c>
      <c r="AS309" s="481">
        <v>7094</v>
      </c>
      <c r="AT309" s="617"/>
      <c r="AU309" s="618">
        <v>72892</v>
      </c>
      <c r="AV309" s="618">
        <v>0</v>
      </c>
      <c r="AW309" s="620"/>
      <c r="AX309" s="620"/>
      <c r="AY309" s="625"/>
      <c r="AZ309" s="626"/>
      <c r="BA309" s="624"/>
      <c r="BB309" s="673">
        <v>0</v>
      </c>
      <c r="BC309" s="781">
        <v>0.05</v>
      </c>
      <c r="BD309" s="790">
        <v>93</v>
      </c>
      <c r="BE309" s="673">
        <v>20940.5</v>
      </c>
    </row>
    <row r="310" spans="1:57" x14ac:dyDescent="0.2">
      <c r="A310" s="390">
        <v>5</v>
      </c>
      <c r="B310" s="551" t="s">
        <v>383</v>
      </c>
      <c r="C310" t="s">
        <v>1344</v>
      </c>
      <c r="D310" s="406">
        <v>1543.7</v>
      </c>
      <c r="E310" s="560">
        <v>6591</v>
      </c>
      <c r="F310" s="561">
        <v>575.62</v>
      </c>
      <c r="G310" s="561">
        <v>63.7</v>
      </c>
      <c r="H310" s="561">
        <v>72.150000000000006</v>
      </c>
      <c r="I310" s="561">
        <v>319.72000000000003</v>
      </c>
      <c r="J310" s="561">
        <v>84.24</v>
      </c>
      <c r="K310" s="561">
        <v>45.98</v>
      </c>
      <c r="L310" s="561">
        <v>69.87</v>
      </c>
      <c r="M310" s="343">
        <v>5.1100000000000003</v>
      </c>
      <c r="N310" s="477">
        <v>28.65</v>
      </c>
      <c r="O310" s="477">
        <v>8.4409999999999989</v>
      </c>
      <c r="P310" s="407">
        <v>34.1</v>
      </c>
      <c r="Q310" s="477">
        <v>0</v>
      </c>
      <c r="R310" s="483">
        <v>10078957</v>
      </c>
      <c r="S310" s="483">
        <v>880238</v>
      </c>
      <c r="T310" s="483">
        <v>97410</v>
      </c>
      <c r="U310" s="483">
        <v>110332</v>
      </c>
      <c r="V310" s="483">
        <v>488916</v>
      </c>
      <c r="W310" s="483">
        <v>519141</v>
      </c>
      <c r="X310" s="483">
        <v>0</v>
      </c>
      <c r="Y310" s="483">
        <v>65</v>
      </c>
      <c r="Z310" s="406">
        <v>0.4</v>
      </c>
      <c r="AA310" s="483">
        <v>55242</v>
      </c>
      <c r="AB310" s="483">
        <v>6583</v>
      </c>
      <c r="AC310" s="385">
        <v>26606</v>
      </c>
      <c r="AD310" s="545">
        <v>5.4</v>
      </c>
      <c r="AE310" s="483">
        <v>22883</v>
      </c>
      <c r="AF310" s="483">
        <v>23797</v>
      </c>
      <c r="AG310" s="481">
        <v>47096</v>
      </c>
      <c r="AH310" s="481">
        <v>42882</v>
      </c>
      <c r="AI310">
        <v>43.5</v>
      </c>
      <c r="AJ310" s="385">
        <v>412347371</v>
      </c>
      <c r="AK310" s="385">
        <v>11921</v>
      </c>
      <c r="AL310" s="385">
        <v>0</v>
      </c>
      <c r="AM310" s="287">
        <v>0</v>
      </c>
      <c r="AN310" s="542">
        <v>330000</v>
      </c>
      <c r="AO310" s="549">
        <v>0.17</v>
      </c>
      <c r="AP310" s="385">
        <v>21436</v>
      </c>
      <c r="AQ310" s="385">
        <v>22292</v>
      </c>
      <c r="AR310" s="481">
        <v>44119</v>
      </c>
      <c r="AS310" s="481">
        <v>40973</v>
      </c>
      <c r="AT310" s="617"/>
      <c r="AU310" s="618">
        <v>52679</v>
      </c>
      <c r="AV310" s="618">
        <v>0</v>
      </c>
      <c r="AW310" s="620"/>
      <c r="AX310" s="620"/>
      <c r="AY310" s="625"/>
      <c r="AZ310" s="626"/>
      <c r="BA310" s="624"/>
      <c r="BB310" s="673">
        <v>3500416</v>
      </c>
      <c r="BC310" s="781">
        <v>0.05</v>
      </c>
      <c r="BD310" s="790">
        <v>40</v>
      </c>
      <c r="BE310" s="673">
        <v>129369.98</v>
      </c>
    </row>
    <row r="311" spans="1:57" x14ac:dyDescent="0.2">
      <c r="A311" s="390">
        <v>5</v>
      </c>
      <c r="B311" s="551" t="s">
        <v>384</v>
      </c>
      <c r="C311" t="s">
        <v>653</v>
      </c>
      <c r="D311" s="406">
        <v>317.89999999999998</v>
      </c>
      <c r="E311" s="560">
        <v>6643</v>
      </c>
      <c r="F311" s="561">
        <v>646.51</v>
      </c>
      <c r="G311" s="561">
        <v>68.64</v>
      </c>
      <c r="H311" s="561">
        <v>60.22</v>
      </c>
      <c r="I311" s="561">
        <v>319.72000000000003</v>
      </c>
      <c r="J311" s="561">
        <v>18</v>
      </c>
      <c r="K311" s="561">
        <v>17.55</v>
      </c>
      <c r="L311" s="561">
        <v>21.92</v>
      </c>
      <c r="M311" s="343">
        <v>1.1000000000000001</v>
      </c>
      <c r="N311" s="477">
        <v>15.26</v>
      </c>
      <c r="O311" s="477">
        <v>1.365</v>
      </c>
      <c r="P311" s="407">
        <v>0.66</v>
      </c>
      <c r="Q311" s="477">
        <v>0</v>
      </c>
      <c r="R311" s="483">
        <v>2133067</v>
      </c>
      <c r="S311" s="483">
        <v>207594</v>
      </c>
      <c r="T311" s="483">
        <v>22040</v>
      </c>
      <c r="U311" s="483">
        <v>19337</v>
      </c>
      <c r="V311" s="483">
        <v>102662</v>
      </c>
      <c r="W311" s="483">
        <v>112788</v>
      </c>
      <c r="X311" s="483">
        <v>3191</v>
      </c>
      <c r="Y311" s="483">
        <v>28</v>
      </c>
      <c r="Z311" s="406">
        <v>0</v>
      </c>
      <c r="AA311" s="483">
        <v>12002</v>
      </c>
      <c r="AB311" s="483">
        <v>1430</v>
      </c>
      <c r="AC311" s="385">
        <v>6720</v>
      </c>
      <c r="AD311" s="545">
        <v>5.4</v>
      </c>
      <c r="AE311" s="483">
        <v>11173</v>
      </c>
      <c r="AF311" s="483">
        <v>11343</v>
      </c>
      <c r="AG311" s="481">
        <v>12334</v>
      </c>
      <c r="AH311" s="481">
        <v>10301</v>
      </c>
      <c r="AI311">
        <v>7</v>
      </c>
      <c r="AJ311" s="385">
        <v>198647027</v>
      </c>
      <c r="AK311" s="385">
        <v>6937</v>
      </c>
      <c r="AL311" s="385">
        <v>0</v>
      </c>
      <c r="AM311" s="287">
        <v>0</v>
      </c>
      <c r="AN311" s="542">
        <v>330000</v>
      </c>
      <c r="AO311" s="549">
        <v>0.17</v>
      </c>
      <c r="AP311" s="385">
        <v>5898</v>
      </c>
      <c r="AQ311" s="385">
        <v>5988</v>
      </c>
      <c r="AR311" s="481">
        <v>6511</v>
      </c>
      <c r="AS311" s="481">
        <v>5490</v>
      </c>
      <c r="AT311" s="617"/>
      <c r="AU311" s="618">
        <v>0</v>
      </c>
      <c r="AV311" s="618">
        <v>150850</v>
      </c>
      <c r="AW311" s="620"/>
      <c r="AX311" s="620"/>
      <c r="AY311" s="625"/>
      <c r="AZ311" s="626"/>
      <c r="BA311" s="624"/>
      <c r="BB311" s="673">
        <v>0</v>
      </c>
      <c r="BC311" s="781">
        <v>4.2999999999999997E-2</v>
      </c>
      <c r="BD311" s="790">
        <v>74</v>
      </c>
      <c r="BE311" s="673">
        <v>26229.23</v>
      </c>
    </row>
    <row r="312" spans="1:57" x14ac:dyDescent="0.2">
      <c r="A312" s="390">
        <v>10</v>
      </c>
      <c r="B312" s="551" t="s">
        <v>385</v>
      </c>
      <c r="C312" t="s">
        <v>1345</v>
      </c>
      <c r="D312" s="406">
        <v>769.4</v>
      </c>
      <c r="E312" s="560">
        <v>6623</v>
      </c>
      <c r="F312" s="561">
        <v>563.14</v>
      </c>
      <c r="G312" s="561">
        <v>59.65</v>
      </c>
      <c r="H312" s="561">
        <v>60.8</v>
      </c>
      <c r="I312" s="561">
        <v>319.72000000000003</v>
      </c>
      <c r="J312" s="561">
        <v>44.64</v>
      </c>
      <c r="K312" s="561">
        <v>16.34</v>
      </c>
      <c r="L312" s="561">
        <v>21.92</v>
      </c>
      <c r="M312" s="343">
        <v>0</v>
      </c>
      <c r="N312" s="477">
        <v>10.7</v>
      </c>
      <c r="O312" s="477">
        <v>2.8</v>
      </c>
      <c r="P312" s="407">
        <v>0.66</v>
      </c>
      <c r="Q312" s="477">
        <v>0</v>
      </c>
      <c r="R312" s="483">
        <v>5093749</v>
      </c>
      <c r="S312" s="483">
        <v>433111</v>
      </c>
      <c r="T312" s="483">
        <v>45877</v>
      </c>
      <c r="U312" s="483">
        <v>46761</v>
      </c>
      <c r="V312" s="483">
        <v>245897</v>
      </c>
      <c r="W312" s="483">
        <v>247938</v>
      </c>
      <c r="X312" s="483">
        <v>4320</v>
      </c>
      <c r="Y312" s="483">
        <v>12</v>
      </c>
      <c r="Z312" s="406">
        <v>0</v>
      </c>
      <c r="AA312" s="483">
        <v>23164</v>
      </c>
      <c r="AB312" s="483">
        <v>2696</v>
      </c>
      <c r="AC312" s="385">
        <v>11675</v>
      </c>
      <c r="AD312" s="545">
        <v>5.4</v>
      </c>
      <c r="AE312" s="483">
        <v>36419</v>
      </c>
      <c r="AF312" s="483">
        <v>36166</v>
      </c>
      <c r="AG312" s="481">
        <v>59253</v>
      </c>
      <c r="AH312" s="481">
        <v>56256</v>
      </c>
      <c r="AI312">
        <v>25.5</v>
      </c>
      <c r="AJ312" s="385">
        <v>339282154</v>
      </c>
      <c r="AK312" s="385">
        <v>1499</v>
      </c>
      <c r="AL312" s="385">
        <v>0</v>
      </c>
      <c r="AM312" s="287">
        <v>0</v>
      </c>
      <c r="AN312" s="542">
        <v>330000</v>
      </c>
      <c r="AO312" s="549">
        <v>0.17</v>
      </c>
      <c r="AP312" s="385">
        <v>22611</v>
      </c>
      <c r="AQ312" s="385">
        <v>22454</v>
      </c>
      <c r="AR312" s="481">
        <v>36788</v>
      </c>
      <c r="AS312" s="481">
        <v>35939</v>
      </c>
      <c r="AT312" s="617"/>
      <c r="AU312" s="618">
        <v>63411</v>
      </c>
      <c r="AV312" s="618">
        <v>150289</v>
      </c>
      <c r="AW312" s="620"/>
      <c r="AX312" s="620"/>
      <c r="AY312" s="625"/>
      <c r="AZ312" s="626"/>
      <c r="BA312" s="624"/>
      <c r="BB312" s="673">
        <v>324149</v>
      </c>
      <c r="BC312" s="781">
        <v>0.05</v>
      </c>
      <c r="BD312" s="790">
        <v>16</v>
      </c>
      <c r="BE312" s="673">
        <v>155037.68</v>
      </c>
    </row>
    <row r="313" spans="1:57" x14ac:dyDescent="0.2">
      <c r="A313" s="390">
        <v>15</v>
      </c>
      <c r="B313" s="551" t="s">
        <v>386</v>
      </c>
      <c r="C313" t="s">
        <v>1346</v>
      </c>
      <c r="D313" s="406">
        <v>445.8</v>
      </c>
      <c r="E313" s="560">
        <v>6591</v>
      </c>
      <c r="F313" s="561">
        <v>697.19</v>
      </c>
      <c r="G313" s="561">
        <v>90.06</v>
      </c>
      <c r="H313" s="561">
        <v>114.09</v>
      </c>
      <c r="I313" s="561">
        <v>319.72000000000003</v>
      </c>
      <c r="J313" s="561">
        <v>21.599999999999998</v>
      </c>
      <c r="K313" s="561">
        <v>22.99</v>
      </c>
      <c r="L313" s="561">
        <v>10.96</v>
      </c>
      <c r="M313" s="343">
        <v>0</v>
      </c>
      <c r="N313" s="477">
        <v>1.32</v>
      </c>
      <c r="O313" s="477">
        <v>2.2599999999999998</v>
      </c>
      <c r="P313" s="407">
        <v>1.98</v>
      </c>
      <c r="Q313" s="477">
        <v>0</v>
      </c>
      <c r="R313" s="483">
        <v>3112929</v>
      </c>
      <c r="S313" s="483">
        <v>329283</v>
      </c>
      <c r="T313" s="483">
        <v>42535</v>
      </c>
      <c r="U313" s="483">
        <v>53885</v>
      </c>
      <c r="V313" s="483">
        <v>151004</v>
      </c>
      <c r="W313" s="483">
        <v>149926</v>
      </c>
      <c r="X313" s="483">
        <v>0</v>
      </c>
      <c r="Y313" s="483">
        <v>8</v>
      </c>
      <c r="Z313" s="406">
        <v>0</v>
      </c>
      <c r="AA313" s="483">
        <v>15019</v>
      </c>
      <c r="AB313" s="483">
        <v>1629</v>
      </c>
      <c r="AC313" s="385">
        <v>7303</v>
      </c>
      <c r="AD313" s="545">
        <v>5.4</v>
      </c>
      <c r="AE313" s="483">
        <v>24531</v>
      </c>
      <c r="AF313" s="483">
        <v>24434</v>
      </c>
      <c r="AG313" s="481">
        <v>54633</v>
      </c>
      <c r="AH313" s="481">
        <v>50692</v>
      </c>
      <c r="AI313">
        <v>17.5</v>
      </c>
      <c r="AJ313" s="385">
        <v>148807317</v>
      </c>
      <c r="AK313" s="385">
        <v>14784</v>
      </c>
      <c r="AL313" s="385">
        <v>0</v>
      </c>
      <c r="AM313" s="287">
        <v>0</v>
      </c>
      <c r="AN313" s="542">
        <v>330000</v>
      </c>
      <c r="AO313" s="549">
        <v>0.17</v>
      </c>
      <c r="AP313" s="385">
        <v>17527</v>
      </c>
      <c r="AQ313" s="385">
        <v>17458</v>
      </c>
      <c r="AR313" s="481">
        <v>39036</v>
      </c>
      <c r="AS313" s="481">
        <v>38755</v>
      </c>
      <c r="AT313" s="617"/>
      <c r="AU313" s="618">
        <v>92697</v>
      </c>
      <c r="AV313" s="618">
        <v>0</v>
      </c>
      <c r="AW313" s="620"/>
      <c r="AX313" s="620"/>
      <c r="AY313" s="625"/>
      <c r="AZ313" s="626"/>
      <c r="BA313" s="624"/>
      <c r="BB313" s="673">
        <v>71785</v>
      </c>
      <c r="BC313" s="781">
        <v>0.05</v>
      </c>
      <c r="BD313" s="790">
        <v>29</v>
      </c>
      <c r="BE313" s="673">
        <v>139934.37</v>
      </c>
    </row>
    <row r="314" spans="1:57" x14ac:dyDescent="0.2">
      <c r="A314" s="390">
        <v>1</v>
      </c>
      <c r="B314" s="551" t="s">
        <v>387</v>
      </c>
      <c r="C314" t="s">
        <v>1347</v>
      </c>
      <c r="D314" s="406">
        <v>257.2</v>
      </c>
      <c r="E314" s="560">
        <v>6591</v>
      </c>
      <c r="F314" s="561">
        <v>609.11</v>
      </c>
      <c r="G314" s="561">
        <v>63.43</v>
      </c>
      <c r="H314" s="561">
        <v>58.24</v>
      </c>
      <c r="I314" s="561">
        <v>319.72000000000003</v>
      </c>
      <c r="J314" s="561">
        <v>11.52</v>
      </c>
      <c r="K314" s="561">
        <v>12.1</v>
      </c>
      <c r="L314" s="561">
        <v>2.74</v>
      </c>
      <c r="M314" s="343">
        <v>0</v>
      </c>
      <c r="N314" s="477">
        <v>24.21</v>
      </c>
      <c r="O314" s="477">
        <v>1.3439999999999999</v>
      </c>
      <c r="P314" s="407">
        <v>0.66</v>
      </c>
      <c r="Q314" s="477">
        <v>0</v>
      </c>
      <c r="R314" s="483">
        <v>1827025</v>
      </c>
      <c r="S314" s="483">
        <v>168845</v>
      </c>
      <c r="T314" s="483">
        <v>17583</v>
      </c>
      <c r="U314" s="483">
        <v>16144</v>
      </c>
      <c r="V314" s="483">
        <v>88626</v>
      </c>
      <c r="W314" s="483">
        <v>93148</v>
      </c>
      <c r="X314" s="483">
        <v>5112</v>
      </c>
      <c r="Y314" s="483">
        <v>5</v>
      </c>
      <c r="Z314" s="406">
        <v>0</v>
      </c>
      <c r="AA314" s="483">
        <v>9173</v>
      </c>
      <c r="AB314" s="483">
        <v>984</v>
      </c>
      <c r="AC314" s="385">
        <v>5667</v>
      </c>
      <c r="AD314" s="545">
        <v>5.4</v>
      </c>
      <c r="AE314" s="483">
        <v>15980</v>
      </c>
      <c r="AF314" s="483">
        <v>15932</v>
      </c>
      <c r="AG314" s="481">
        <v>2269</v>
      </c>
      <c r="AH314" s="481">
        <v>2269</v>
      </c>
      <c r="AI314">
        <v>3.5</v>
      </c>
      <c r="AJ314" s="385">
        <v>142323114</v>
      </c>
      <c r="AK314" s="385">
        <v>8906</v>
      </c>
      <c r="AL314" s="385">
        <v>0</v>
      </c>
      <c r="AM314" s="287">
        <v>0</v>
      </c>
      <c r="AN314" s="542">
        <v>330000</v>
      </c>
      <c r="AO314" s="549">
        <v>0.17</v>
      </c>
      <c r="AP314" s="385">
        <v>8083</v>
      </c>
      <c r="AQ314" s="385">
        <v>8059</v>
      </c>
      <c r="AR314" s="481">
        <v>1148</v>
      </c>
      <c r="AS314" s="481">
        <v>1151</v>
      </c>
      <c r="AT314" s="617"/>
      <c r="AU314" s="618">
        <v>81819</v>
      </c>
      <c r="AV314" s="618">
        <v>0</v>
      </c>
      <c r="AW314" s="620"/>
      <c r="AX314" s="620"/>
      <c r="AY314" s="625"/>
      <c r="AZ314" s="626"/>
      <c r="BA314" s="624"/>
      <c r="BB314" s="673">
        <v>801175</v>
      </c>
      <c r="BC314" s="781">
        <v>0.05</v>
      </c>
      <c r="BD314" s="790">
        <v>33</v>
      </c>
      <c r="BE314" s="673">
        <v>6854.59</v>
      </c>
    </row>
    <row r="315" spans="1:57" x14ac:dyDescent="0.2">
      <c r="A315" s="390">
        <v>11</v>
      </c>
      <c r="B315" s="551" t="s">
        <v>356</v>
      </c>
      <c r="C315" t="s">
        <v>1299</v>
      </c>
      <c r="D315" s="406">
        <v>899</v>
      </c>
      <c r="E315" s="560">
        <v>6657</v>
      </c>
      <c r="F315" s="561">
        <v>582.73</v>
      </c>
      <c r="G315" s="561">
        <v>56.84</v>
      </c>
      <c r="H315" s="561">
        <v>62.83</v>
      </c>
      <c r="I315" s="561">
        <v>319.72000000000003</v>
      </c>
      <c r="J315" s="561">
        <v>51.12</v>
      </c>
      <c r="K315" s="561">
        <v>38.119999999999997</v>
      </c>
      <c r="L315" s="561">
        <v>49.32</v>
      </c>
      <c r="M315" s="343">
        <v>0</v>
      </c>
      <c r="N315" s="477">
        <v>5.46</v>
      </c>
      <c r="O315" s="477">
        <v>4.1370000000000005</v>
      </c>
      <c r="P315" s="407">
        <v>0</v>
      </c>
      <c r="Q315" s="477">
        <v>0</v>
      </c>
      <c r="R315" s="483">
        <v>6105800</v>
      </c>
      <c r="S315" s="483">
        <v>534480</v>
      </c>
      <c r="T315" s="483">
        <v>52134</v>
      </c>
      <c r="U315" s="483">
        <v>57628</v>
      </c>
      <c r="V315" s="483">
        <v>293247</v>
      </c>
      <c r="W315" s="483">
        <v>295815</v>
      </c>
      <c r="X315" s="483">
        <v>0</v>
      </c>
      <c r="Y315" s="483">
        <v>0</v>
      </c>
      <c r="Z315" s="406">
        <v>0</v>
      </c>
      <c r="AA315" s="483">
        <v>24375</v>
      </c>
      <c r="AB315" s="483">
        <v>3098</v>
      </c>
      <c r="AC315" s="385">
        <v>14734</v>
      </c>
      <c r="AD315" s="545">
        <v>5.4</v>
      </c>
      <c r="AE315" s="483">
        <v>146512</v>
      </c>
      <c r="AF315" s="483">
        <v>149479</v>
      </c>
      <c r="AG315" s="481">
        <v>25870</v>
      </c>
      <c r="AH315" s="481">
        <v>14901</v>
      </c>
      <c r="AI315">
        <v>25</v>
      </c>
      <c r="AJ315" s="385">
        <v>399871036</v>
      </c>
      <c r="AK315" s="385">
        <v>23314</v>
      </c>
      <c r="AL315" s="385">
        <v>0</v>
      </c>
      <c r="AM315" s="287">
        <v>0</v>
      </c>
      <c r="AN315" s="542">
        <v>330000</v>
      </c>
      <c r="AO315" s="549">
        <v>0.17</v>
      </c>
      <c r="AP315" s="385">
        <v>81726</v>
      </c>
      <c r="AQ315" s="385">
        <v>83381</v>
      </c>
      <c r="AR315" s="481">
        <v>14431</v>
      </c>
      <c r="AS315" s="481">
        <v>8391</v>
      </c>
      <c r="AT315" s="617"/>
      <c r="AU315" s="618">
        <v>0</v>
      </c>
      <c r="AV315" s="618">
        <v>122733</v>
      </c>
      <c r="AW315" s="620"/>
      <c r="AX315" s="620"/>
      <c r="AY315" s="625"/>
      <c r="AZ315" s="626"/>
      <c r="BA315" s="624"/>
      <c r="BB315" s="673">
        <v>594976</v>
      </c>
      <c r="BC315" s="781">
        <v>3.5000000000000003E-2</v>
      </c>
      <c r="BD315" s="790">
        <v>25</v>
      </c>
      <c r="BE315" s="673">
        <v>66788.929999999993</v>
      </c>
    </row>
    <row r="316" spans="1:57" x14ac:dyDescent="0.2">
      <c r="A316" s="390">
        <v>1</v>
      </c>
      <c r="B316" s="551" t="s">
        <v>388</v>
      </c>
      <c r="C316" t="s">
        <v>1348</v>
      </c>
      <c r="D316" s="406">
        <v>1490.1</v>
      </c>
      <c r="E316" s="560">
        <v>6594</v>
      </c>
      <c r="F316" s="561">
        <v>568.22</v>
      </c>
      <c r="G316" s="561">
        <v>62.99</v>
      </c>
      <c r="H316" s="561">
        <v>61.699999999999996</v>
      </c>
      <c r="I316" s="561">
        <v>319.72000000000003</v>
      </c>
      <c r="J316" s="561">
        <v>87.84</v>
      </c>
      <c r="K316" s="561">
        <v>42.97</v>
      </c>
      <c r="L316" s="561">
        <v>45.21</v>
      </c>
      <c r="M316" s="343">
        <v>0</v>
      </c>
      <c r="N316" s="477">
        <v>26.12</v>
      </c>
      <c r="O316" s="477">
        <v>6.9719999999999995</v>
      </c>
      <c r="P316" s="407">
        <v>1.32</v>
      </c>
      <c r="Q316" s="477">
        <v>0</v>
      </c>
      <c r="R316" s="483">
        <v>9924629</v>
      </c>
      <c r="S316" s="483">
        <v>855228</v>
      </c>
      <c r="T316" s="483">
        <v>94806</v>
      </c>
      <c r="U316" s="483">
        <v>92865</v>
      </c>
      <c r="V316" s="483">
        <v>481211</v>
      </c>
      <c r="W316" s="483">
        <v>509875</v>
      </c>
      <c r="X316" s="483">
        <v>0</v>
      </c>
      <c r="Y316" s="483">
        <v>144</v>
      </c>
      <c r="Z316" s="406">
        <v>0.3</v>
      </c>
      <c r="AA316" s="483">
        <v>50209</v>
      </c>
      <c r="AB316" s="483">
        <v>5385</v>
      </c>
      <c r="AC316" s="385">
        <v>30768</v>
      </c>
      <c r="AD316" s="545">
        <v>5.4</v>
      </c>
      <c r="AE316" s="483">
        <v>79274</v>
      </c>
      <c r="AF316" s="483">
        <v>79008</v>
      </c>
      <c r="AG316" s="481">
        <v>49798</v>
      </c>
      <c r="AH316" s="481">
        <v>45262</v>
      </c>
      <c r="AI316">
        <v>25.5</v>
      </c>
      <c r="AJ316" s="385">
        <v>529266054</v>
      </c>
      <c r="AK316" s="385">
        <v>21807</v>
      </c>
      <c r="AL316" s="385">
        <v>0</v>
      </c>
      <c r="AM316" s="287">
        <v>0</v>
      </c>
      <c r="AN316" s="542">
        <v>330000</v>
      </c>
      <c r="AO316" s="549">
        <v>0.17</v>
      </c>
      <c r="AP316" s="385">
        <v>50916</v>
      </c>
      <c r="AQ316" s="385">
        <v>50745</v>
      </c>
      <c r="AR316" s="481">
        <v>31984</v>
      </c>
      <c r="AS316" s="481">
        <v>29611</v>
      </c>
      <c r="AT316" s="617"/>
      <c r="AU316" s="618">
        <v>146339</v>
      </c>
      <c r="AV316" s="618">
        <v>0</v>
      </c>
      <c r="AW316" s="620"/>
      <c r="AX316" s="620"/>
      <c r="AY316" s="625"/>
      <c r="AZ316" s="626"/>
      <c r="BA316" s="624"/>
      <c r="BB316" s="673">
        <v>0</v>
      </c>
      <c r="BC316" s="781">
        <v>0.03</v>
      </c>
      <c r="BD316" s="790">
        <v>28</v>
      </c>
      <c r="BE316" s="673">
        <v>106751.39</v>
      </c>
    </row>
    <row r="317" spans="1:57" x14ac:dyDescent="0.2">
      <c r="A317" s="390">
        <v>11</v>
      </c>
      <c r="B317" s="551" t="s">
        <v>389</v>
      </c>
      <c r="C317" t="s">
        <v>1349</v>
      </c>
      <c r="D317" s="406">
        <v>8968.9</v>
      </c>
      <c r="E317" s="560">
        <v>6591</v>
      </c>
      <c r="F317" s="561">
        <v>541.36</v>
      </c>
      <c r="G317" s="561">
        <v>61.7</v>
      </c>
      <c r="H317" s="561">
        <v>60.199999999999996</v>
      </c>
      <c r="I317" s="561">
        <v>319.72000000000003</v>
      </c>
      <c r="J317" s="561">
        <v>339.12</v>
      </c>
      <c r="K317" s="561">
        <v>280.27000000000004</v>
      </c>
      <c r="L317" s="561">
        <v>398.67</v>
      </c>
      <c r="M317" s="343">
        <v>0</v>
      </c>
      <c r="N317" s="477">
        <v>117.53</v>
      </c>
      <c r="O317" s="477">
        <v>41.156000000000006</v>
      </c>
      <c r="P317" s="407">
        <v>161.03999999999996</v>
      </c>
      <c r="Q317" s="477">
        <v>0</v>
      </c>
      <c r="R317" s="483">
        <v>59401388</v>
      </c>
      <c r="S317" s="483">
        <v>4879007</v>
      </c>
      <c r="T317" s="483">
        <v>556071</v>
      </c>
      <c r="U317" s="483">
        <v>542553</v>
      </c>
      <c r="V317" s="483">
        <v>2881477</v>
      </c>
      <c r="W317" s="483">
        <v>2805499</v>
      </c>
      <c r="X317" s="483">
        <v>0</v>
      </c>
      <c r="Y317" s="483">
        <v>1360</v>
      </c>
      <c r="Z317" s="406">
        <v>1.1000000000000001</v>
      </c>
      <c r="AA317" s="483">
        <v>231169</v>
      </c>
      <c r="AB317" s="483">
        <v>29382</v>
      </c>
      <c r="AC317" s="385">
        <v>127770</v>
      </c>
      <c r="AD317" s="545">
        <v>5.4</v>
      </c>
      <c r="AE317" s="483">
        <v>401145</v>
      </c>
      <c r="AF317" s="483">
        <v>412496</v>
      </c>
      <c r="AG317" s="481">
        <v>1003472</v>
      </c>
      <c r="AH317" s="481">
        <v>902762</v>
      </c>
      <c r="AI317">
        <v>201.5</v>
      </c>
      <c r="AJ317" s="385">
        <v>4297900148</v>
      </c>
      <c r="AK317" s="385">
        <v>0</v>
      </c>
      <c r="AL317" s="385">
        <v>0</v>
      </c>
      <c r="AM317" s="287">
        <v>1035</v>
      </c>
      <c r="AN317" s="542">
        <v>330000</v>
      </c>
      <c r="AO317" s="549">
        <v>0.17</v>
      </c>
      <c r="AP317" s="385">
        <v>208057</v>
      </c>
      <c r="AQ317" s="385">
        <v>213944</v>
      </c>
      <c r="AR317" s="481">
        <v>520458</v>
      </c>
      <c r="AS317" s="481">
        <v>485482</v>
      </c>
      <c r="AT317" s="617"/>
      <c r="AU317" s="618">
        <v>0</v>
      </c>
      <c r="AV317" s="618">
        <v>143931</v>
      </c>
      <c r="AW317" s="620"/>
      <c r="AX317" s="620"/>
      <c r="AY317" s="625"/>
      <c r="AZ317" s="626">
        <v>-1.76</v>
      </c>
      <c r="BA317" s="624"/>
      <c r="BB317" s="673">
        <v>8467215</v>
      </c>
      <c r="BC317" s="781">
        <v>0.05</v>
      </c>
      <c r="BD317" s="790">
        <v>77</v>
      </c>
      <c r="BE317" s="673">
        <v>2465702.0499999998</v>
      </c>
    </row>
    <row r="318" spans="1:57" x14ac:dyDescent="0.2">
      <c r="A318" s="390">
        <v>7</v>
      </c>
      <c r="B318" s="551" t="s">
        <v>333</v>
      </c>
      <c r="C318" t="s">
        <v>1483</v>
      </c>
      <c r="D318" s="406">
        <v>703.1</v>
      </c>
      <c r="E318" s="560">
        <v>6647</v>
      </c>
      <c r="F318" s="561">
        <v>628.88</v>
      </c>
      <c r="G318" s="561">
        <v>72.17</v>
      </c>
      <c r="H318" s="561">
        <v>57.94</v>
      </c>
      <c r="I318" s="561">
        <v>319.72000000000003</v>
      </c>
      <c r="J318" s="561">
        <v>40.32</v>
      </c>
      <c r="K318" s="561">
        <v>30.25</v>
      </c>
      <c r="L318" s="561">
        <v>35.619999999999997</v>
      </c>
      <c r="M318" s="343">
        <v>0</v>
      </c>
      <c r="N318" s="477">
        <v>2.72</v>
      </c>
      <c r="O318" s="477">
        <v>3.1539999999999999</v>
      </c>
      <c r="P318" s="407">
        <v>0.88</v>
      </c>
      <c r="Q318" s="477">
        <v>0</v>
      </c>
      <c r="R318" s="483">
        <v>4494037</v>
      </c>
      <c r="S318" s="483">
        <v>425186</v>
      </c>
      <c r="T318" s="483">
        <v>48794</v>
      </c>
      <c r="U318" s="483">
        <v>39173</v>
      </c>
      <c r="V318" s="483">
        <v>216163</v>
      </c>
      <c r="W318" s="483">
        <v>228355</v>
      </c>
      <c r="X318" s="483">
        <v>14167</v>
      </c>
      <c r="Y318" s="483">
        <v>39</v>
      </c>
      <c r="Z318" s="406">
        <v>0</v>
      </c>
      <c r="AA318" s="483">
        <v>28955</v>
      </c>
      <c r="AB318" s="483">
        <v>3327</v>
      </c>
      <c r="AC318" s="385">
        <v>14671</v>
      </c>
      <c r="AD318" s="545">
        <v>5.4</v>
      </c>
      <c r="AE318" s="483">
        <v>37742</v>
      </c>
      <c r="AF318" s="483">
        <v>38066</v>
      </c>
      <c r="AG318" s="481">
        <v>17199</v>
      </c>
      <c r="AH318" s="481">
        <v>17199</v>
      </c>
      <c r="AI318">
        <v>20</v>
      </c>
      <c r="AJ318" s="385">
        <v>355855786</v>
      </c>
      <c r="AK318" s="385">
        <v>20077</v>
      </c>
      <c r="AL318" s="385">
        <v>0</v>
      </c>
      <c r="AM318" s="287">
        <v>0</v>
      </c>
      <c r="AN318" s="542">
        <v>330000</v>
      </c>
      <c r="AO318" s="549">
        <v>0.17</v>
      </c>
      <c r="AP318" s="385">
        <v>18881</v>
      </c>
      <c r="AQ318" s="385">
        <v>19043</v>
      </c>
      <c r="AR318" s="481">
        <v>8604</v>
      </c>
      <c r="AS318" s="481">
        <v>8677</v>
      </c>
      <c r="AT318" s="617"/>
      <c r="AU318" s="618">
        <v>0</v>
      </c>
      <c r="AV318" s="618">
        <v>60191</v>
      </c>
      <c r="AW318" s="620"/>
      <c r="AX318" s="620"/>
      <c r="AY318" s="625"/>
      <c r="AZ318" s="626"/>
      <c r="BA318" s="624"/>
      <c r="BB318" s="673">
        <v>0</v>
      </c>
      <c r="BC318" s="781">
        <v>3.3000000000000002E-2</v>
      </c>
      <c r="BD318" s="790">
        <v>35</v>
      </c>
      <c r="BE318" s="673">
        <v>33180.660000000003</v>
      </c>
    </row>
    <row r="319" spans="1:57" x14ac:dyDescent="0.2">
      <c r="A319" s="390">
        <v>7</v>
      </c>
      <c r="B319" s="551" t="s">
        <v>113</v>
      </c>
      <c r="C319" t="s">
        <v>1038</v>
      </c>
      <c r="D319" s="406">
        <v>564.70000000000005</v>
      </c>
      <c r="E319" s="560">
        <v>6609</v>
      </c>
      <c r="F319" s="561">
        <v>573.16999999999996</v>
      </c>
      <c r="G319" s="561">
        <v>58.7</v>
      </c>
      <c r="H319" s="561">
        <v>65.86</v>
      </c>
      <c r="I319" s="561">
        <v>319.72000000000003</v>
      </c>
      <c r="J319" s="561">
        <v>25.2</v>
      </c>
      <c r="K319" s="561">
        <v>10.29</v>
      </c>
      <c r="L319" s="561">
        <v>8.2200000000000006</v>
      </c>
      <c r="M319" s="343">
        <v>0</v>
      </c>
      <c r="N319" s="477">
        <v>10.129999999999999</v>
      </c>
      <c r="O319" s="477">
        <v>2.7109999999999999</v>
      </c>
      <c r="P319" s="407">
        <v>5.94</v>
      </c>
      <c r="Q319" s="477">
        <v>0</v>
      </c>
      <c r="R319" s="483">
        <v>3978618</v>
      </c>
      <c r="S319" s="483">
        <v>345048</v>
      </c>
      <c r="T319" s="483">
        <v>35337</v>
      </c>
      <c r="U319" s="483">
        <v>39648</v>
      </c>
      <c r="V319" s="483">
        <v>192471</v>
      </c>
      <c r="W319" s="483">
        <v>190296</v>
      </c>
      <c r="X319" s="483">
        <v>1912</v>
      </c>
      <c r="Y319" s="483">
        <v>21</v>
      </c>
      <c r="Z319" s="406">
        <v>1.4</v>
      </c>
      <c r="AA319" s="483">
        <v>24129</v>
      </c>
      <c r="AB319" s="483">
        <v>2773</v>
      </c>
      <c r="AC319" s="385">
        <v>10853</v>
      </c>
      <c r="AD319" s="545">
        <v>5.4</v>
      </c>
      <c r="AE319" s="483">
        <v>29649</v>
      </c>
      <c r="AF319" s="483">
        <v>29968</v>
      </c>
      <c r="AG319" s="481">
        <v>28065</v>
      </c>
      <c r="AH319" s="481">
        <v>25467</v>
      </c>
      <c r="AI319">
        <v>15.5</v>
      </c>
      <c r="AJ319" s="385">
        <v>281404532</v>
      </c>
      <c r="AK319" s="385">
        <v>14092</v>
      </c>
      <c r="AL319" s="385">
        <v>0</v>
      </c>
      <c r="AM319" s="287">
        <v>0</v>
      </c>
      <c r="AN319" s="542">
        <v>330000</v>
      </c>
      <c r="AO319" s="549">
        <v>0.17</v>
      </c>
      <c r="AP319" s="385">
        <v>15866</v>
      </c>
      <c r="AQ319" s="385">
        <v>16037</v>
      </c>
      <c r="AR319" s="481">
        <v>15232</v>
      </c>
      <c r="AS319" s="481">
        <v>15278</v>
      </c>
      <c r="AT319" s="617"/>
      <c r="AU319" s="618">
        <v>0</v>
      </c>
      <c r="AV319" s="618">
        <v>58693</v>
      </c>
      <c r="AW319" s="620"/>
      <c r="AX319" s="620"/>
      <c r="AY319" s="625"/>
      <c r="AZ319" s="626"/>
      <c r="BA319" s="624"/>
      <c r="BB319" s="673">
        <v>0</v>
      </c>
      <c r="BC319" s="781">
        <v>0.05</v>
      </c>
      <c r="BD319" s="790">
        <v>41</v>
      </c>
      <c r="BE319" s="673">
        <v>57594.69</v>
      </c>
    </row>
    <row r="320" spans="1:57" x14ac:dyDescent="0.2">
      <c r="A320" s="390">
        <v>13</v>
      </c>
      <c r="B320" s="551" t="s">
        <v>391</v>
      </c>
      <c r="C320" t="s">
        <v>1393</v>
      </c>
      <c r="D320" s="406">
        <v>343.7</v>
      </c>
      <c r="E320" s="560">
        <v>6761</v>
      </c>
      <c r="F320" s="561">
        <v>584.78</v>
      </c>
      <c r="G320" s="561">
        <v>63.79</v>
      </c>
      <c r="H320" s="561">
        <v>53.39</v>
      </c>
      <c r="I320" s="561">
        <v>319.72000000000003</v>
      </c>
      <c r="J320" s="561">
        <v>31.68</v>
      </c>
      <c r="K320" s="561">
        <v>9.6900000000000013</v>
      </c>
      <c r="L320" s="561">
        <v>35.619999999999997</v>
      </c>
      <c r="M320" s="343">
        <v>0</v>
      </c>
      <c r="N320" s="477">
        <v>22.2</v>
      </c>
      <c r="O320" s="477">
        <v>1.69</v>
      </c>
      <c r="P320" s="407">
        <v>0.44</v>
      </c>
      <c r="Q320" s="477">
        <v>0</v>
      </c>
      <c r="R320" s="483">
        <v>2309558</v>
      </c>
      <c r="S320" s="483">
        <v>199761</v>
      </c>
      <c r="T320" s="483">
        <v>21791</v>
      </c>
      <c r="U320" s="483">
        <v>18238</v>
      </c>
      <c r="V320" s="483">
        <v>109216</v>
      </c>
      <c r="W320" s="483">
        <v>121187</v>
      </c>
      <c r="X320" s="483">
        <v>26773</v>
      </c>
      <c r="Y320" s="483">
        <v>0</v>
      </c>
      <c r="Z320" s="406">
        <v>0</v>
      </c>
      <c r="AA320" s="483">
        <v>12443</v>
      </c>
      <c r="AB320" s="483">
        <v>1326</v>
      </c>
      <c r="AC320" s="385">
        <v>8352</v>
      </c>
      <c r="AD320" s="545">
        <v>5.4</v>
      </c>
      <c r="AE320" s="483">
        <v>25288</v>
      </c>
      <c r="AF320" s="483">
        <v>25772</v>
      </c>
      <c r="AG320" s="481">
        <v>4829</v>
      </c>
      <c r="AH320" s="481">
        <v>4829</v>
      </c>
      <c r="AI320">
        <v>3</v>
      </c>
      <c r="AJ320" s="385">
        <v>239926310</v>
      </c>
      <c r="AK320" s="385">
        <v>45714</v>
      </c>
      <c r="AL320" s="385">
        <v>0</v>
      </c>
      <c r="AM320" s="287">
        <v>0</v>
      </c>
      <c r="AN320" s="542">
        <v>330000</v>
      </c>
      <c r="AO320" s="549">
        <v>0.17</v>
      </c>
      <c r="AP320" s="385">
        <v>13577</v>
      </c>
      <c r="AQ320" s="385">
        <v>13837</v>
      </c>
      <c r="AR320" s="481">
        <v>2593</v>
      </c>
      <c r="AS320" s="481">
        <v>2602</v>
      </c>
      <c r="AT320" s="617"/>
      <c r="AU320" s="618">
        <v>71161</v>
      </c>
      <c r="AV320" s="618">
        <v>162173</v>
      </c>
      <c r="AW320" s="620"/>
      <c r="AX320" s="620"/>
      <c r="AY320" s="625"/>
      <c r="AZ320" s="626"/>
      <c r="BA320" s="624"/>
      <c r="BB320" s="673">
        <v>0</v>
      </c>
      <c r="BC320" s="781">
        <v>3.7999999999999999E-2</v>
      </c>
      <c r="BD320" s="790">
        <v>43</v>
      </c>
      <c r="BE320" s="673">
        <v>9542.75</v>
      </c>
    </row>
    <row r="321" spans="1:57" x14ac:dyDescent="0.2">
      <c r="A321" s="390">
        <v>9</v>
      </c>
      <c r="B321" s="551" t="s">
        <v>392</v>
      </c>
      <c r="C321" t="s">
        <v>1394</v>
      </c>
      <c r="D321" s="406">
        <v>1307.3</v>
      </c>
      <c r="E321" s="560">
        <v>6591</v>
      </c>
      <c r="F321" s="561">
        <v>574.76</v>
      </c>
      <c r="G321" s="561">
        <v>59.940000000000005</v>
      </c>
      <c r="H321" s="561">
        <v>79.2</v>
      </c>
      <c r="I321" s="561">
        <v>319.72000000000003</v>
      </c>
      <c r="J321" s="561">
        <v>54</v>
      </c>
      <c r="K321" s="561">
        <v>32.67</v>
      </c>
      <c r="L321" s="561">
        <v>35.620000000000005</v>
      </c>
      <c r="M321" s="343">
        <v>0</v>
      </c>
      <c r="N321" s="477">
        <v>7.41</v>
      </c>
      <c r="O321" s="477">
        <v>7.7779999999999996</v>
      </c>
      <c r="P321" s="407">
        <v>42.46</v>
      </c>
      <c r="Q321" s="477">
        <v>0</v>
      </c>
      <c r="R321" s="483">
        <v>8308615</v>
      </c>
      <c r="S321" s="483">
        <v>724542</v>
      </c>
      <c r="T321" s="483">
        <v>75560</v>
      </c>
      <c r="U321" s="483">
        <v>99840</v>
      </c>
      <c r="V321" s="483">
        <v>403039</v>
      </c>
      <c r="W321" s="483">
        <v>398149</v>
      </c>
      <c r="X321" s="483">
        <v>0</v>
      </c>
      <c r="Y321" s="483">
        <v>5</v>
      </c>
      <c r="Z321" s="406">
        <v>0</v>
      </c>
      <c r="AA321" s="483">
        <v>35925</v>
      </c>
      <c r="AB321" s="483">
        <v>4218</v>
      </c>
      <c r="AC321" s="385">
        <v>17406</v>
      </c>
      <c r="AD321" s="545">
        <v>5.4</v>
      </c>
      <c r="AE321" s="483">
        <v>25206</v>
      </c>
      <c r="AF321" s="483">
        <v>25619</v>
      </c>
      <c r="AG321" s="481">
        <v>14303</v>
      </c>
      <c r="AH321" s="481">
        <v>14303</v>
      </c>
      <c r="AI321">
        <v>50</v>
      </c>
      <c r="AJ321" s="385">
        <v>289228533</v>
      </c>
      <c r="AK321" s="385">
        <v>16333</v>
      </c>
      <c r="AL321" s="385">
        <v>0</v>
      </c>
      <c r="AM321" s="287">
        <v>0</v>
      </c>
      <c r="AN321" s="542">
        <v>330000</v>
      </c>
      <c r="AO321" s="549">
        <v>0.17</v>
      </c>
      <c r="AP321" s="385">
        <v>19726</v>
      </c>
      <c r="AQ321" s="385">
        <v>20049</v>
      </c>
      <c r="AR321" s="481">
        <v>11193</v>
      </c>
      <c r="AS321" s="481">
        <v>11296</v>
      </c>
      <c r="AT321" s="617"/>
      <c r="AU321" s="618">
        <v>0</v>
      </c>
      <c r="AV321" s="618">
        <v>0</v>
      </c>
      <c r="AW321" s="620"/>
      <c r="AX321" s="620"/>
      <c r="AY321" s="625"/>
      <c r="AZ321" s="626">
        <v>-0.66</v>
      </c>
      <c r="BA321" s="624"/>
      <c r="BB321" s="673">
        <v>886933</v>
      </c>
      <c r="BC321" s="781">
        <v>3.5999999999999997E-2</v>
      </c>
      <c r="BD321" s="790">
        <v>70</v>
      </c>
      <c r="BE321" s="673">
        <v>43740.89</v>
      </c>
    </row>
    <row r="322" spans="1:57" x14ac:dyDescent="0.2">
      <c r="A322" s="390">
        <v>12</v>
      </c>
      <c r="B322" s="551" t="s">
        <v>393</v>
      </c>
      <c r="C322" t="s">
        <v>1395</v>
      </c>
      <c r="D322" s="406">
        <v>929</v>
      </c>
      <c r="E322" s="560">
        <v>6591</v>
      </c>
      <c r="F322" s="561">
        <v>534.14</v>
      </c>
      <c r="G322" s="561">
        <v>60.06</v>
      </c>
      <c r="H322" s="561">
        <v>61.14</v>
      </c>
      <c r="I322" s="561">
        <v>319.72000000000003</v>
      </c>
      <c r="J322" s="561">
        <v>50.4</v>
      </c>
      <c r="K322" s="561">
        <v>21.189999999999998</v>
      </c>
      <c r="L322" s="561">
        <v>8.2200000000000006</v>
      </c>
      <c r="M322" s="343">
        <v>0</v>
      </c>
      <c r="N322" s="477">
        <v>0.41000000000000003</v>
      </c>
      <c r="O322" s="477">
        <v>2.9630000000000001</v>
      </c>
      <c r="P322" s="407">
        <v>1.54</v>
      </c>
      <c r="Q322" s="477">
        <v>0</v>
      </c>
      <c r="R322" s="483">
        <v>5984628</v>
      </c>
      <c r="S322" s="483">
        <v>484999</v>
      </c>
      <c r="T322" s="483">
        <v>54534</v>
      </c>
      <c r="U322" s="483">
        <v>55515</v>
      </c>
      <c r="V322" s="483">
        <v>290306</v>
      </c>
      <c r="W322" s="483">
        <v>290480</v>
      </c>
      <c r="X322" s="483">
        <v>0</v>
      </c>
      <c r="Y322" s="483">
        <v>125</v>
      </c>
      <c r="Z322" s="406">
        <v>0</v>
      </c>
      <c r="AA322" s="483">
        <v>29183</v>
      </c>
      <c r="AB322" s="483">
        <v>3490</v>
      </c>
      <c r="AC322" s="385">
        <v>13224</v>
      </c>
      <c r="AD322" s="545">
        <v>5.4</v>
      </c>
      <c r="AE322" s="483">
        <v>18093</v>
      </c>
      <c r="AF322" s="483">
        <v>18475</v>
      </c>
      <c r="AG322" s="481">
        <v>57483</v>
      </c>
      <c r="AH322" s="481">
        <v>40488</v>
      </c>
      <c r="AI322">
        <v>24.5</v>
      </c>
      <c r="AJ322" s="385">
        <v>369675928</v>
      </c>
      <c r="AK322" s="385">
        <v>4338</v>
      </c>
      <c r="AL322" s="385">
        <v>0</v>
      </c>
      <c r="AM322" s="287">
        <v>0</v>
      </c>
      <c r="AN322" s="542">
        <v>330000</v>
      </c>
      <c r="AO322" s="549">
        <v>0.17</v>
      </c>
      <c r="AP322" s="385">
        <v>9377</v>
      </c>
      <c r="AQ322" s="385">
        <v>9575</v>
      </c>
      <c r="AR322" s="481">
        <v>29792</v>
      </c>
      <c r="AS322" s="481">
        <v>21572</v>
      </c>
      <c r="AT322" s="617"/>
      <c r="AU322" s="618">
        <v>0</v>
      </c>
      <c r="AV322" s="618">
        <v>0</v>
      </c>
      <c r="AW322" s="620"/>
      <c r="AX322" s="620"/>
      <c r="AY322" s="625"/>
      <c r="AZ322" s="626"/>
      <c r="BA322" s="624"/>
      <c r="BB322" s="673">
        <v>0</v>
      </c>
      <c r="BC322" s="781">
        <v>3.7999999999999999E-2</v>
      </c>
      <c r="BD322" s="790">
        <v>60</v>
      </c>
      <c r="BE322" s="673">
        <v>106610.27</v>
      </c>
    </row>
    <row r="323" spans="1:57" x14ac:dyDescent="0.2">
      <c r="A323" s="390">
        <v>7</v>
      </c>
      <c r="B323" s="551" t="s">
        <v>394</v>
      </c>
      <c r="C323" t="s">
        <v>1396</v>
      </c>
      <c r="D323" s="406">
        <v>874.6</v>
      </c>
      <c r="E323" s="560">
        <v>6598</v>
      </c>
      <c r="F323" s="561">
        <v>568.69000000000005</v>
      </c>
      <c r="G323" s="561">
        <v>55.34</v>
      </c>
      <c r="H323" s="561">
        <v>68.38000000000001</v>
      </c>
      <c r="I323" s="561">
        <v>319.72000000000003</v>
      </c>
      <c r="J323" s="561">
        <v>34.56</v>
      </c>
      <c r="K323" s="561">
        <v>25.41</v>
      </c>
      <c r="L323" s="561">
        <v>30.14</v>
      </c>
      <c r="M323" s="343">
        <v>0</v>
      </c>
      <c r="N323" s="477">
        <v>9.01</v>
      </c>
      <c r="O323" s="477">
        <v>3.6989999999999998</v>
      </c>
      <c r="P323" s="407">
        <v>2.64</v>
      </c>
      <c r="Q323" s="477">
        <v>0</v>
      </c>
      <c r="R323" s="483">
        <v>5736301</v>
      </c>
      <c r="S323" s="483">
        <v>494419</v>
      </c>
      <c r="T323" s="483">
        <v>48113</v>
      </c>
      <c r="U323" s="483">
        <v>59450</v>
      </c>
      <c r="V323" s="483">
        <v>277965</v>
      </c>
      <c r="W323" s="483">
        <v>283187</v>
      </c>
      <c r="X323" s="483">
        <v>0</v>
      </c>
      <c r="Y323" s="483">
        <v>2</v>
      </c>
      <c r="Z323" s="406">
        <v>0</v>
      </c>
      <c r="AA323" s="483">
        <v>35908</v>
      </c>
      <c r="AB323" s="483">
        <v>4126</v>
      </c>
      <c r="AC323" s="385">
        <v>12841</v>
      </c>
      <c r="AD323" s="545">
        <v>5.4</v>
      </c>
      <c r="AE323" s="483">
        <v>30106</v>
      </c>
      <c r="AF323" s="483">
        <v>30022</v>
      </c>
      <c r="AG323" s="481">
        <v>6580</v>
      </c>
      <c r="AH323" s="481">
        <v>5807</v>
      </c>
      <c r="AI323">
        <v>27.5</v>
      </c>
      <c r="AJ323" s="385">
        <v>246477712</v>
      </c>
      <c r="AK323" s="385">
        <v>29263</v>
      </c>
      <c r="AL323" s="385">
        <v>0</v>
      </c>
      <c r="AM323" s="287">
        <v>0</v>
      </c>
      <c r="AN323" s="542">
        <v>330000</v>
      </c>
      <c r="AO323" s="549">
        <v>0.17</v>
      </c>
      <c r="AP323" s="385">
        <v>21341</v>
      </c>
      <c r="AQ323" s="385">
        <v>21281</v>
      </c>
      <c r="AR323" s="481">
        <v>4664</v>
      </c>
      <c r="AS323" s="481">
        <v>4133</v>
      </c>
      <c r="AT323" s="617"/>
      <c r="AU323" s="618">
        <v>158892</v>
      </c>
      <c r="AV323" s="618">
        <v>0</v>
      </c>
      <c r="AW323" s="620"/>
      <c r="AX323" s="620"/>
      <c r="AY323" s="625"/>
      <c r="AZ323" s="626"/>
      <c r="BA323" s="624"/>
      <c r="BB323" s="673">
        <v>0</v>
      </c>
      <c r="BC323" s="781">
        <v>2.5000000000000001E-2</v>
      </c>
      <c r="BD323" s="790">
        <v>64</v>
      </c>
      <c r="BE323" s="673">
        <v>13554.09</v>
      </c>
    </row>
    <row r="324" spans="1:57" x14ac:dyDescent="0.2">
      <c r="A324" s="390">
        <v>12</v>
      </c>
      <c r="B324" s="551" t="s">
        <v>395</v>
      </c>
      <c r="C324" t="s">
        <v>1397</v>
      </c>
      <c r="D324" s="406">
        <v>649</v>
      </c>
      <c r="E324" s="560">
        <v>6600</v>
      </c>
      <c r="F324" s="561">
        <v>589.9</v>
      </c>
      <c r="G324" s="561">
        <v>62.29</v>
      </c>
      <c r="H324" s="561">
        <v>66.64</v>
      </c>
      <c r="I324" s="561">
        <v>319.72000000000003</v>
      </c>
      <c r="J324" s="561">
        <v>36</v>
      </c>
      <c r="K324" s="561">
        <v>32.67</v>
      </c>
      <c r="L324" s="561">
        <v>52.06</v>
      </c>
      <c r="M324" s="343">
        <v>0</v>
      </c>
      <c r="N324" s="477">
        <v>11.04</v>
      </c>
      <c r="O324" s="477">
        <v>3.3410000000000002</v>
      </c>
      <c r="P324" s="407">
        <v>0</v>
      </c>
      <c r="Q324" s="477">
        <v>0</v>
      </c>
      <c r="R324" s="483">
        <v>4566540</v>
      </c>
      <c r="S324" s="483">
        <v>408152</v>
      </c>
      <c r="T324" s="483">
        <v>43098</v>
      </c>
      <c r="U324" s="483">
        <v>46108</v>
      </c>
      <c r="V324" s="483">
        <v>221214</v>
      </c>
      <c r="W324" s="483">
        <v>240612</v>
      </c>
      <c r="X324" s="483">
        <v>0</v>
      </c>
      <c r="Y324" s="483">
        <v>0</v>
      </c>
      <c r="Z324" s="406">
        <v>0</v>
      </c>
      <c r="AA324" s="483">
        <v>24173</v>
      </c>
      <c r="AB324" s="483">
        <v>2891</v>
      </c>
      <c r="AC324" s="385">
        <v>10936</v>
      </c>
      <c r="AD324" s="545">
        <v>5.4</v>
      </c>
      <c r="AE324" s="483">
        <v>17380</v>
      </c>
      <c r="AF324" s="483">
        <v>17564</v>
      </c>
      <c r="AG324" s="481">
        <v>18748</v>
      </c>
      <c r="AH324" s="481">
        <v>15672</v>
      </c>
      <c r="AI324">
        <v>17</v>
      </c>
      <c r="AJ324" s="385">
        <v>254020072</v>
      </c>
      <c r="AK324" s="385">
        <v>1351</v>
      </c>
      <c r="AL324" s="385">
        <v>0</v>
      </c>
      <c r="AM324" s="287">
        <v>0</v>
      </c>
      <c r="AN324" s="542">
        <v>330000</v>
      </c>
      <c r="AO324" s="549">
        <v>0.17</v>
      </c>
      <c r="AP324" s="385">
        <v>11416</v>
      </c>
      <c r="AQ324" s="385">
        <v>11537</v>
      </c>
      <c r="AR324" s="481">
        <v>12315</v>
      </c>
      <c r="AS324" s="481">
        <v>10411</v>
      </c>
      <c r="AT324" s="617"/>
      <c r="AU324" s="618">
        <v>0</v>
      </c>
      <c r="AV324" s="618">
        <v>0</v>
      </c>
      <c r="AW324" s="620"/>
      <c r="AX324" s="620"/>
      <c r="AY324" s="625"/>
      <c r="AZ324" s="626"/>
      <c r="BA324" s="624"/>
      <c r="BB324" s="673">
        <v>271925</v>
      </c>
      <c r="BC324" s="781">
        <v>3.6999999999999998E-2</v>
      </c>
      <c r="BD324" s="790">
        <v>67</v>
      </c>
      <c r="BE324" s="673">
        <v>53939.42</v>
      </c>
    </row>
    <row r="325" spans="1:57" x14ac:dyDescent="0.2">
      <c r="A325" s="390">
        <v>12</v>
      </c>
      <c r="B325" s="551" t="s">
        <v>396</v>
      </c>
      <c r="C325" t="s">
        <v>1398</v>
      </c>
      <c r="D325" s="406">
        <v>829</v>
      </c>
      <c r="E325" s="560">
        <v>6614</v>
      </c>
      <c r="F325" s="561">
        <v>600.26</v>
      </c>
      <c r="G325" s="561">
        <v>68.989999999999995</v>
      </c>
      <c r="H325" s="561">
        <v>71.050000000000011</v>
      </c>
      <c r="I325" s="561">
        <v>319.72000000000003</v>
      </c>
      <c r="J325" s="561">
        <v>45.36</v>
      </c>
      <c r="K325" s="561">
        <v>21.79</v>
      </c>
      <c r="L325" s="561">
        <v>30.14</v>
      </c>
      <c r="M325" s="343">
        <v>0</v>
      </c>
      <c r="N325" s="477">
        <v>15.09</v>
      </c>
      <c r="O325" s="477">
        <v>4.9480000000000004</v>
      </c>
      <c r="P325" s="407">
        <v>25.08</v>
      </c>
      <c r="Q325" s="477">
        <v>0</v>
      </c>
      <c r="R325" s="483">
        <v>5417527</v>
      </c>
      <c r="S325" s="483">
        <v>491673</v>
      </c>
      <c r="T325" s="483">
        <v>56510</v>
      </c>
      <c r="U325" s="483">
        <v>58197</v>
      </c>
      <c r="V325" s="483">
        <v>261883</v>
      </c>
      <c r="W325" s="483">
        <v>269497</v>
      </c>
      <c r="X325" s="483">
        <v>0</v>
      </c>
      <c r="Y325" s="483">
        <v>108</v>
      </c>
      <c r="Z325" s="406">
        <v>0</v>
      </c>
      <c r="AA325" s="483">
        <v>27075</v>
      </c>
      <c r="AB325" s="483">
        <v>3238</v>
      </c>
      <c r="AC325" s="385">
        <v>12475</v>
      </c>
      <c r="AD325" s="545">
        <v>5.4</v>
      </c>
      <c r="AE325" s="483">
        <v>20342</v>
      </c>
      <c r="AF325" s="483">
        <v>20420</v>
      </c>
      <c r="AG325" s="481">
        <v>16369</v>
      </c>
      <c r="AH325" s="481">
        <v>10887</v>
      </c>
      <c r="AI325">
        <v>18</v>
      </c>
      <c r="AJ325" s="385">
        <v>202547887</v>
      </c>
      <c r="AK325" s="385">
        <v>24530</v>
      </c>
      <c r="AL325" s="385">
        <v>0</v>
      </c>
      <c r="AM325" s="287">
        <v>0</v>
      </c>
      <c r="AN325" s="542">
        <v>330000</v>
      </c>
      <c r="AO325" s="549">
        <v>0.17</v>
      </c>
      <c r="AP325" s="385">
        <v>19262</v>
      </c>
      <c r="AQ325" s="385">
        <v>19336</v>
      </c>
      <c r="AR325" s="481">
        <v>15500</v>
      </c>
      <c r="AS325" s="481">
        <v>10455</v>
      </c>
      <c r="AT325" s="617"/>
      <c r="AU325" s="618">
        <v>0</v>
      </c>
      <c r="AV325" s="618">
        <v>0</v>
      </c>
      <c r="AW325" s="620"/>
      <c r="AX325" s="620"/>
      <c r="AY325" s="625"/>
      <c r="AZ325" s="626"/>
      <c r="BA325" s="624"/>
      <c r="BB325" s="673">
        <v>528379</v>
      </c>
      <c r="BC325" s="781">
        <v>0.05</v>
      </c>
      <c r="BD325" s="790">
        <v>84</v>
      </c>
      <c r="BE325" s="673">
        <v>49631.27</v>
      </c>
    </row>
    <row r="326" spans="1:57" x14ac:dyDescent="0.2">
      <c r="A326" s="390">
        <v>1</v>
      </c>
      <c r="B326" s="551" t="s">
        <v>390</v>
      </c>
      <c r="C326" t="s">
        <v>1350</v>
      </c>
      <c r="D326" s="406">
        <v>3149</v>
      </c>
      <c r="E326" s="560">
        <v>6646</v>
      </c>
      <c r="F326" s="561">
        <v>563.28</v>
      </c>
      <c r="G326" s="561">
        <v>62.56</v>
      </c>
      <c r="H326" s="561">
        <v>64.39</v>
      </c>
      <c r="I326" s="561">
        <v>319.72000000000003</v>
      </c>
      <c r="J326" s="561">
        <v>200.16</v>
      </c>
      <c r="K326" s="561">
        <v>82.28</v>
      </c>
      <c r="L326" s="561">
        <v>76.72</v>
      </c>
      <c r="M326" s="343">
        <v>0</v>
      </c>
      <c r="N326" s="477">
        <v>34.06</v>
      </c>
      <c r="O326" s="477">
        <v>13.358000000000001</v>
      </c>
      <c r="P326" s="407">
        <v>12.32</v>
      </c>
      <c r="Q326" s="477">
        <v>0</v>
      </c>
      <c r="R326" s="483">
        <v>20274952</v>
      </c>
      <c r="S326" s="483">
        <v>1718398</v>
      </c>
      <c r="T326" s="483">
        <v>190852</v>
      </c>
      <c r="U326" s="483">
        <v>196435</v>
      </c>
      <c r="V326" s="483">
        <v>975370</v>
      </c>
      <c r="W326" s="483">
        <v>1037353</v>
      </c>
      <c r="X326" s="483">
        <v>0</v>
      </c>
      <c r="Y326" s="483">
        <v>1303</v>
      </c>
      <c r="Z326" s="406">
        <v>5.5</v>
      </c>
      <c r="AA326" s="483">
        <v>102152</v>
      </c>
      <c r="AB326" s="483">
        <v>10956</v>
      </c>
      <c r="AC326" s="385">
        <v>47511</v>
      </c>
      <c r="AD326" s="545">
        <v>5.4</v>
      </c>
      <c r="AE326" s="483">
        <v>118241</v>
      </c>
      <c r="AF326" s="483">
        <v>117235</v>
      </c>
      <c r="AG326" s="481">
        <v>166865</v>
      </c>
      <c r="AH326" s="481">
        <v>130774</v>
      </c>
      <c r="AI326">
        <v>140.5</v>
      </c>
      <c r="AJ326" s="385">
        <v>1273493250</v>
      </c>
      <c r="AK326" s="385">
        <v>86563</v>
      </c>
      <c r="AL326" s="385">
        <v>0</v>
      </c>
      <c r="AM326" s="287">
        <v>0</v>
      </c>
      <c r="AN326" s="542">
        <v>330000</v>
      </c>
      <c r="AO326" s="549">
        <v>0.17</v>
      </c>
      <c r="AP326" s="385">
        <v>71546</v>
      </c>
      <c r="AQ326" s="385">
        <v>70937</v>
      </c>
      <c r="AR326" s="481">
        <v>100968</v>
      </c>
      <c r="AS326" s="481">
        <v>80995</v>
      </c>
      <c r="AT326" s="617"/>
      <c r="AU326" s="618">
        <v>0</v>
      </c>
      <c r="AV326" s="618">
        <v>0</v>
      </c>
      <c r="AW326" s="620"/>
      <c r="AX326" s="620"/>
      <c r="AY326" s="625"/>
      <c r="AZ326" s="626"/>
      <c r="BA326" s="624"/>
      <c r="BB326" s="673">
        <v>0</v>
      </c>
      <c r="BC326" s="781">
        <v>4.1000000000000002E-2</v>
      </c>
      <c r="BD326" s="790">
        <v>31</v>
      </c>
      <c r="BE326" s="673">
        <v>372262.7</v>
      </c>
    </row>
    <row r="327" spans="1:57" x14ac:dyDescent="0.2">
      <c r="A327" s="390">
        <v>12</v>
      </c>
      <c r="B327" s="551" t="s">
        <v>397</v>
      </c>
      <c r="C327" t="s">
        <v>1399</v>
      </c>
      <c r="D327" s="406">
        <v>541</v>
      </c>
      <c r="E327" s="560">
        <v>6620</v>
      </c>
      <c r="F327" s="561">
        <v>603.51</v>
      </c>
      <c r="G327" s="561">
        <v>69.650000000000006</v>
      </c>
      <c r="H327" s="561">
        <v>68.36</v>
      </c>
      <c r="I327" s="561">
        <v>319.72000000000003</v>
      </c>
      <c r="J327" s="561">
        <v>33.119999999999997</v>
      </c>
      <c r="K327" s="561">
        <v>32.67</v>
      </c>
      <c r="L327" s="561">
        <v>21.92</v>
      </c>
      <c r="M327" s="343">
        <v>0</v>
      </c>
      <c r="N327" s="477">
        <v>3.54</v>
      </c>
      <c r="O327" s="477">
        <v>2.254</v>
      </c>
      <c r="P327" s="407">
        <v>2.2000000000000002</v>
      </c>
      <c r="Q327" s="477">
        <v>0</v>
      </c>
      <c r="R327" s="483">
        <v>3482120</v>
      </c>
      <c r="S327" s="483">
        <v>317446</v>
      </c>
      <c r="T327" s="483">
        <v>36636</v>
      </c>
      <c r="U327" s="483">
        <v>35957</v>
      </c>
      <c r="V327" s="483">
        <v>168173</v>
      </c>
      <c r="W327" s="483">
        <v>179875</v>
      </c>
      <c r="X327" s="483">
        <v>0</v>
      </c>
      <c r="Y327" s="483">
        <v>3</v>
      </c>
      <c r="Z327" s="406">
        <v>0</v>
      </c>
      <c r="AA327" s="483">
        <v>18071</v>
      </c>
      <c r="AB327" s="483">
        <v>2161</v>
      </c>
      <c r="AC327" s="385">
        <v>10805</v>
      </c>
      <c r="AD327" s="545">
        <v>5.4</v>
      </c>
      <c r="AE327" s="483">
        <v>416824</v>
      </c>
      <c r="AF327" s="483">
        <v>423703</v>
      </c>
      <c r="AG327" s="481">
        <v>21340</v>
      </c>
      <c r="AH327" s="481">
        <v>21063</v>
      </c>
      <c r="AI327">
        <v>11</v>
      </c>
      <c r="AJ327" s="385">
        <v>334933459</v>
      </c>
      <c r="AK327" s="385">
        <v>0</v>
      </c>
      <c r="AL327" s="385">
        <v>0</v>
      </c>
      <c r="AM327" s="287">
        <v>0</v>
      </c>
      <c r="AN327" s="542">
        <v>330000</v>
      </c>
      <c r="AO327" s="549">
        <v>0.17</v>
      </c>
      <c r="AP327" s="385">
        <v>169691</v>
      </c>
      <c r="AQ327" s="385">
        <v>172491</v>
      </c>
      <c r="AR327" s="481">
        <v>8687</v>
      </c>
      <c r="AS327" s="481">
        <v>8671</v>
      </c>
      <c r="AT327" s="617"/>
      <c r="AU327" s="618">
        <v>0</v>
      </c>
      <c r="AV327" s="618">
        <v>0</v>
      </c>
      <c r="AW327" s="620"/>
      <c r="AX327" s="620"/>
      <c r="AY327" s="625"/>
      <c r="AZ327" s="626"/>
      <c r="BA327" s="624"/>
      <c r="BB327" s="673">
        <v>0</v>
      </c>
      <c r="BC327" s="781">
        <v>0.05</v>
      </c>
      <c r="BD327" s="790">
        <v>97</v>
      </c>
      <c r="BE327" s="673">
        <v>43404.57</v>
      </c>
    </row>
    <row r="328" spans="1:57" x14ac:dyDescent="0.2">
      <c r="A328" s="390">
        <v>12</v>
      </c>
      <c r="B328" s="551" t="s">
        <v>398</v>
      </c>
      <c r="C328" t="s">
        <v>1400</v>
      </c>
      <c r="D328" s="406">
        <v>192</v>
      </c>
      <c r="E328" s="560">
        <v>6591</v>
      </c>
      <c r="F328" s="561">
        <v>703.88</v>
      </c>
      <c r="G328" s="561">
        <v>79.350000000000009</v>
      </c>
      <c r="H328" s="561">
        <v>87.38000000000001</v>
      </c>
      <c r="I328" s="561">
        <v>319.72000000000003</v>
      </c>
      <c r="J328" s="561">
        <v>10.08</v>
      </c>
      <c r="K328" s="561">
        <v>4.84</v>
      </c>
      <c r="L328" s="561">
        <v>8.2200000000000006</v>
      </c>
      <c r="M328" s="343">
        <v>0</v>
      </c>
      <c r="N328" s="477">
        <v>22.11</v>
      </c>
      <c r="O328" s="477">
        <v>1.143</v>
      </c>
      <c r="P328" s="407">
        <v>0.44</v>
      </c>
      <c r="Q328" s="477">
        <v>0</v>
      </c>
      <c r="R328" s="483">
        <v>1223290</v>
      </c>
      <c r="S328" s="483">
        <v>130640</v>
      </c>
      <c r="T328" s="483">
        <v>14727</v>
      </c>
      <c r="U328" s="483">
        <v>16218</v>
      </c>
      <c r="V328" s="483">
        <v>59340</v>
      </c>
      <c r="W328" s="483">
        <v>61795</v>
      </c>
      <c r="X328" s="483">
        <v>1348</v>
      </c>
      <c r="Y328" s="483">
        <v>0</v>
      </c>
      <c r="Z328" s="406">
        <v>0</v>
      </c>
      <c r="AA328" s="483">
        <v>6208</v>
      </c>
      <c r="AB328" s="483">
        <v>742</v>
      </c>
      <c r="AC328" s="385">
        <v>3721</v>
      </c>
      <c r="AD328" s="545">
        <v>5.4</v>
      </c>
      <c r="AE328" s="483">
        <v>6167</v>
      </c>
      <c r="AF328" s="483">
        <v>6268</v>
      </c>
      <c r="AG328" s="481">
        <v>4015</v>
      </c>
      <c r="AH328" s="481">
        <v>4015</v>
      </c>
      <c r="AI328">
        <v>5</v>
      </c>
      <c r="AJ328" s="385">
        <v>108911445</v>
      </c>
      <c r="AK328" s="385">
        <v>0</v>
      </c>
      <c r="AL328" s="385">
        <v>0</v>
      </c>
      <c r="AM328" s="287">
        <v>0</v>
      </c>
      <c r="AN328" s="542">
        <v>330000</v>
      </c>
      <c r="AO328" s="549">
        <v>0.17</v>
      </c>
      <c r="AP328" s="385">
        <v>2540</v>
      </c>
      <c r="AQ328" s="385">
        <v>2582</v>
      </c>
      <c r="AR328" s="481">
        <v>1654</v>
      </c>
      <c r="AS328" s="481">
        <v>1664</v>
      </c>
      <c r="AT328" s="617"/>
      <c r="AU328" s="618">
        <v>0</v>
      </c>
      <c r="AV328" s="618">
        <v>0</v>
      </c>
      <c r="AW328" s="620"/>
      <c r="AX328" s="620"/>
      <c r="AY328" s="625"/>
      <c r="AZ328" s="626"/>
      <c r="BA328" s="624"/>
      <c r="BB328" s="673">
        <v>197717</v>
      </c>
      <c r="BC328" s="781">
        <v>0.05</v>
      </c>
      <c r="BD328" s="790">
        <v>67</v>
      </c>
      <c r="BE328" s="673">
        <v>8665.15</v>
      </c>
    </row>
    <row r="329" spans="1:57" x14ac:dyDescent="0.2">
      <c r="A329" s="390">
        <v>10</v>
      </c>
      <c r="B329" s="551" t="s">
        <v>399</v>
      </c>
      <c r="C329" t="s">
        <v>1401</v>
      </c>
      <c r="D329" s="406">
        <v>1127.5999999999999</v>
      </c>
      <c r="E329" s="560">
        <v>6607</v>
      </c>
      <c r="F329" s="561">
        <v>569.23</v>
      </c>
      <c r="G329" s="561">
        <v>62.190000000000005</v>
      </c>
      <c r="H329" s="561">
        <v>53.67</v>
      </c>
      <c r="I329" s="561">
        <v>319.72000000000003</v>
      </c>
      <c r="J329" s="561">
        <v>48.96</v>
      </c>
      <c r="K329" s="561">
        <v>29.049999999999997</v>
      </c>
      <c r="L329" s="561">
        <v>8.2200000000000006</v>
      </c>
      <c r="M329" s="343">
        <v>0</v>
      </c>
      <c r="N329" s="477">
        <v>11.29</v>
      </c>
      <c r="O329" s="477">
        <v>4.3049999999999997</v>
      </c>
      <c r="P329" s="407">
        <v>6.6</v>
      </c>
      <c r="Q329" s="477">
        <v>0</v>
      </c>
      <c r="R329" s="483">
        <v>7572283</v>
      </c>
      <c r="S329" s="483">
        <v>652395</v>
      </c>
      <c r="T329" s="483">
        <v>71276</v>
      </c>
      <c r="U329" s="483">
        <v>61511</v>
      </c>
      <c r="V329" s="483">
        <v>366431</v>
      </c>
      <c r="W329" s="483">
        <v>356392</v>
      </c>
      <c r="X329" s="483">
        <v>0</v>
      </c>
      <c r="Y329" s="483">
        <v>86</v>
      </c>
      <c r="Z329" s="406">
        <v>0.3</v>
      </c>
      <c r="AA329" s="483">
        <v>33297</v>
      </c>
      <c r="AB329" s="483">
        <v>3875</v>
      </c>
      <c r="AC329" s="385">
        <v>16981</v>
      </c>
      <c r="AD329" s="545">
        <v>5.4</v>
      </c>
      <c r="AE329" s="483">
        <v>40603</v>
      </c>
      <c r="AF329" s="483">
        <v>40820</v>
      </c>
      <c r="AG329" s="481">
        <v>48020</v>
      </c>
      <c r="AH329" s="481">
        <v>36709</v>
      </c>
      <c r="AI329">
        <v>33.5</v>
      </c>
      <c r="AJ329" s="385">
        <v>371575351</v>
      </c>
      <c r="AK329" s="385">
        <v>22915</v>
      </c>
      <c r="AL329" s="385">
        <v>0</v>
      </c>
      <c r="AM329" s="287">
        <v>0</v>
      </c>
      <c r="AN329" s="542">
        <v>330000</v>
      </c>
      <c r="AO329" s="549">
        <v>0.17</v>
      </c>
      <c r="AP329" s="385">
        <v>29039</v>
      </c>
      <c r="AQ329" s="385">
        <v>29194</v>
      </c>
      <c r="AR329" s="481">
        <v>34344</v>
      </c>
      <c r="AS329" s="481">
        <v>26935</v>
      </c>
      <c r="AT329" s="617"/>
      <c r="AU329" s="618">
        <v>2821</v>
      </c>
      <c r="AV329" s="618">
        <v>0</v>
      </c>
      <c r="AW329" s="620"/>
      <c r="AX329" s="620"/>
      <c r="AY329" s="625"/>
      <c r="AZ329" s="626"/>
      <c r="BA329" s="624"/>
      <c r="BB329" s="673">
        <v>1521331</v>
      </c>
      <c r="BC329" s="781">
        <v>4.3999999999999997E-2</v>
      </c>
      <c r="BD329" s="790">
        <v>48</v>
      </c>
      <c r="BE329" s="673">
        <v>129882.97</v>
      </c>
    </row>
    <row r="330" spans="1:57" x14ac:dyDescent="0.2">
      <c r="A330" s="390">
        <v>9</v>
      </c>
      <c r="B330" s="551" t="s">
        <v>400</v>
      </c>
      <c r="C330" t="s">
        <v>1402</v>
      </c>
      <c r="D330" s="406">
        <v>817.7</v>
      </c>
      <c r="E330" s="560">
        <v>6591</v>
      </c>
      <c r="F330" s="561">
        <v>583.25</v>
      </c>
      <c r="G330" s="561">
        <v>65.099999999999994</v>
      </c>
      <c r="H330" s="561">
        <v>65.940000000000012</v>
      </c>
      <c r="I330" s="561">
        <v>319.72000000000003</v>
      </c>
      <c r="J330" s="561">
        <v>25.2</v>
      </c>
      <c r="K330" s="561">
        <v>30.25</v>
      </c>
      <c r="L330" s="561">
        <v>10.96</v>
      </c>
      <c r="M330" s="343">
        <v>0</v>
      </c>
      <c r="N330" s="477">
        <v>17.73</v>
      </c>
      <c r="O330" s="477">
        <v>3.2109999999999999</v>
      </c>
      <c r="P330" s="407">
        <v>0</v>
      </c>
      <c r="Q330" s="477">
        <v>0</v>
      </c>
      <c r="R330" s="483">
        <v>5266868</v>
      </c>
      <c r="S330" s="483">
        <v>466075</v>
      </c>
      <c r="T330" s="483">
        <v>52021</v>
      </c>
      <c r="U330" s="483">
        <v>52693</v>
      </c>
      <c r="V330" s="483">
        <v>255488</v>
      </c>
      <c r="W330" s="483">
        <v>254278</v>
      </c>
      <c r="X330" s="483">
        <v>0</v>
      </c>
      <c r="Y330" s="483">
        <v>2</v>
      </c>
      <c r="Z330" s="406">
        <v>0</v>
      </c>
      <c r="AA330" s="483">
        <v>22944</v>
      </c>
      <c r="AB330" s="483">
        <v>2694</v>
      </c>
      <c r="AC330" s="385">
        <v>13610</v>
      </c>
      <c r="AD330" s="545">
        <v>5.4</v>
      </c>
      <c r="AE330" s="483">
        <v>22093</v>
      </c>
      <c r="AF330" s="483">
        <v>22537</v>
      </c>
      <c r="AG330" s="481">
        <v>23795</v>
      </c>
      <c r="AH330" s="481">
        <v>20750</v>
      </c>
      <c r="AI330">
        <v>22</v>
      </c>
      <c r="AJ330" s="385">
        <v>239566943</v>
      </c>
      <c r="AK330" s="385">
        <v>8772</v>
      </c>
      <c r="AL330" s="385">
        <v>0</v>
      </c>
      <c r="AM330" s="287">
        <v>0</v>
      </c>
      <c r="AN330" s="542">
        <v>330000</v>
      </c>
      <c r="AO330" s="549">
        <v>0.17</v>
      </c>
      <c r="AP330" s="385">
        <v>17819</v>
      </c>
      <c r="AQ330" s="385">
        <v>18177</v>
      </c>
      <c r="AR330" s="481">
        <v>19192</v>
      </c>
      <c r="AS330" s="481">
        <v>17036</v>
      </c>
      <c r="AT330" s="617"/>
      <c r="AU330" s="618">
        <v>0</v>
      </c>
      <c r="AV330" s="618">
        <v>0</v>
      </c>
      <c r="AW330" s="620"/>
      <c r="AX330" s="620"/>
      <c r="AY330" s="625"/>
      <c r="AZ330" s="626"/>
      <c r="BA330" s="624"/>
      <c r="BB330" s="673">
        <v>0</v>
      </c>
      <c r="BC330" s="781">
        <v>0.05</v>
      </c>
      <c r="BD330" s="790">
        <v>70</v>
      </c>
      <c r="BE330" s="673">
        <v>65516.43</v>
      </c>
    </row>
    <row r="331" spans="1:57" x14ac:dyDescent="0.2">
      <c r="A331" s="390">
        <v>15</v>
      </c>
      <c r="B331" s="551" t="s">
        <v>401</v>
      </c>
      <c r="C331" t="s">
        <v>1403</v>
      </c>
      <c r="D331" s="406">
        <v>355.5</v>
      </c>
      <c r="E331" s="560">
        <v>6621</v>
      </c>
      <c r="F331" s="561">
        <v>596.11</v>
      </c>
      <c r="G331" s="561">
        <v>64.56</v>
      </c>
      <c r="H331" s="561">
        <v>73.37</v>
      </c>
      <c r="I331" s="561">
        <v>319.72000000000003</v>
      </c>
      <c r="J331" s="561">
        <v>19.439999999999998</v>
      </c>
      <c r="K331" s="561">
        <v>11.5</v>
      </c>
      <c r="L331" s="561">
        <v>2.74</v>
      </c>
      <c r="M331" s="343">
        <v>0</v>
      </c>
      <c r="N331" s="477">
        <v>2.61</v>
      </c>
      <c r="O331" s="477">
        <v>1.9409999999999998</v>
      </c>
      <c r="P331" s="407">
        <v>0.44</v>
      </c>
      <c r="Q331" s="477">
        <v>0</v>
      </c>
      <c r="R331" s="483">
        <v>2370980</v>
      </c>
      <c r="S331" s="483">
        <v>213467</v>
      </c>
      <c r="T331" s="483">
        <v>23119</v>
      </c>
      <c r="U331" s="483">
        <v>26274</v>
      </c>
      <c r="V331" s="483">
        <v>114492</v>
      </c>
      <c r="W331" s="483">
        <v>111650</v>
      </c>
      <c r="X331" s="483">
        <v>4078</v>
      </c>
      <c r="Y331" s="483">
        <v>0</v>
      </c>
      <c r="Z331" s="406">
        <v>0</v>
      </c>
      <c r="AA331" s="483">
        <v>11184</v>
      </c>
      <c r="AB331" s="483">
        <v>1213</v>
      </c>
      <c r="AC331" s="385">
        <v>6179</v>
      </c>
      <c r="AD331" s="545">
        <v>5.4</v>
      </c>
      <c r="AE331" s="483">
        <v>12134</v>
      </c>
      <c r="AF331" s="483">
        <v>12016</v>
      </c>
      <c r="AG331" s="481">
        <v>5264</v>
      </c>
      <c r="AH331" s="481">
        <v>5264</v>
      </c>
      <c r="AI331">
        <v>10</v>
      </c>
      <c r="AJ331" s="385">
        <v>118915516</v>
      </c>
      <c r="AK331" s="385">
        <v>0</v>
      </c>
      <c r="AL331" s="385">
        <v>8789</v>
      </c>
      <c r="AM331" s="287">
        <v>0</v>
      </c>
      <c r="AN331" s="542">
        <v>330000</v>
      </c>
      <c r="AO331" s="549">
        <v>0.17</v>
      </c>
      <c r="AP331" s="385">
        <v>9846</v>
      </c>
      <c r="AQ331" s="385">
        <v>9750</v>
      </c>
      <c r="AR331" s="481">
        <v>4271</v>
      </c>
      <c r="AS331" s="481">
        <v>4304</v>
      </c>
      <c r="AT331" s="617"/>
      <c r="AU331" s="618">
        <v>48988</v>
      </c>
      <c r="AV331" s="618">
        <v>43868</v>
      </c>
      <c r="AW331" s="620"/>
      <c r="AX331" s="620"/>
      <c r="AY331" s="625"/>
      <c r="AZ331" s="626"/>
      <c r="BA331" s="624"/>
      <c r="BB331" s="673">
        <v>38635</v>
      </c>
      <c r="BC331" s="781">
        <v>4.7E-2</v>
      </c>
      <c r="BD331" s="790">
        <v>44</v>
      </c>
      <c r="BE331" s="673">
        <v>11922.42</v>
      </c>
    </row>
    <row r="332" spans="1:57" x14ac:dyDescent="0.2">
      <c r="A332" s="390">
        <v>11</v>
      </c>
      <c r="B332" s="551" t="s">
        <v>402</v>
      </c>
      <c r="C332" t="s">
        <v>1404</v>
      </c>
      <c r="D332" s="406">
        <v>1703.7</v>
      </c>
      <c r="E332" s="560">
        <v>6591</v>
      </c>
      <c r="F332" s="561">
        <v>550.04999999999995</v>
      </c>
      <c r="G332" s="561">
        <v>59.42</v>
      </c>
      <c r="H332" s="561">
        <v>71.490000000000009</v>
      </c>
      <c r="I332" s="561">
        <v>319.72000000000003</v>
      </c>
      <c r="J332" s="561">
        <v>88.56</v>
      </c>
      <c r="K332" s="561">
        <v>61.14</v>
      </c>
      <c r="L332" s="561">
        <v>53.43</v>
      </c>
      <c r="M332" s="343">
        <v>0</v>
      </c>
      <c r="N332" s="477">
        <v>26.16</v>
      </c>
      <c r="O332" s="477">
        <v>6.8339999999999996</v>
      </c>
      <c r="P332" s="407">
        <v>2.2000000000000002</v>
      </c>
      <c r="Q332" s="477">
        <v>0</v>
      </c>
      <c r="R332" s="483">
        <v>11353657</v>
      </c>
      <c r="S332" s="483">
        <v>947516</v>
      </c>
      <c r="T332" s="483">
        <v>102357</v>
      </c>
      <c r="U332" s="483">
        <v>123149</v>
      </c>
      <c r="V332" s="483">
        <v>550750</v>
      </c>
      <c r="W332" s="483">
        <v>541640</v>
      </c>
      <c r="X332" s="483">
        <v>0</v>
      </c>
      <c r="Y332" s="483">
        <v>19</v>
      </c>
      <c r="Z332" s="406">
        <v>0</v>
      </c>
      <c r="AA332" s="483">
        <v>44630</v>
      </c>
      <c r="AB332" s="483">
        <v>5673</v>
      </c>
      <c r="AC332" s="385">
        <v>23405</v>
      </c>
      <c r="AD332" s="545">
        <v>5.4</v>
      </c>
      <c r="AE332" s="483">
        <v>61726</v>
      </c>
      <c r="AF332" s="483">
        <v>63423</v>
      </c>
      <c r="AG332" s="481">
        <v>33308</v>
      </c>
      <c r="AH332" s="481">
        <v>20149</v>
      </c>
      <c r="AI332">
        <v>47</v>
      </c>
      <c r="AJ332" s="385">
        <v>421970524</v>
      </c>
      <c r="AK332" s="385">
        <v>15668</v>
      </c>
      <c r="AL332" s="385">
        <v>0</v>
      </c>
      <c r="AM332" s="287">
        <v>0</v>
      </c>
      <c r="AN332" s="542">
        <v>330000</v>
      </c>
      <c r="AO332" s="549">
        <v>0.17</v>
      </c>
      <c r="AP332" s="385">
        <v>55508</v>
      </c>
      <c r="AQ332" s="385">
        <v>57034</v>
      </c>
      <c r="AR332" s="481">
        <v>29953</v>
      </c>
      <c r="AS332" s="481">
        <v>18366</v>
      </c>
      <c r="AT332" s="617"/>
      <c r="AU332" s="618">
        <v>0</v>
      </c>
      <c r="AV332" s="618">
        <v>0</v>
      </c>
      <c r="AW332" s="620"/>
      <c r="AX332" s="620"/>
      <c r="AY332" s="625"/>
      <c r="AZ332" s="626"/>
      <c r="BA332" s="624"/>
      <c r="BB332" s="673">
        <v>0</v>
      </c>
      <c r="BC332" s="781">
        <v>0.04</v>
      </c>
      <c r="BD332" s="790">
        <v>61</v>
      </c>
      <c r="BE332" s="673">
        <v>107882.17</v>
      </c>
    </row>
    <row r="333" spans="1:57" x14ac:dyDescent="0.2">
      <c r="A333" s="390">
        <v>13</v>
      </c>
      <c r="B333" s="551" t="s">
        <v>403</v>
      </c>
      <c r="C333" t="s">
        <v>1405</v>
      </c>
      <c r="D333" s="406">
        <v>479.1</v>
      </c>
      <c r="E333" s="560">
        <v>6591</v>
      </c>
      <c r="F333" s="561">
        <v>619.91999999999996</v>
      </c>
      <c r="G333" s="561">
        <v>69.400000000000006</v>
      </c>
      <c r="H333" s="561">
        <v>72.02000000000001</v>
      </c>
      <c r="I333" s="561">
        <v>319.72000000000003</v>
      </c>
      <c r="J333" s="561">
        <v>20.16</v>
      </c>
      <c r="K333" s="561">
        <v>13.31</v>
      </c>
      <c r="L333" s="561">
        <v>13.7</v>
      </c>
      <c r="M333" s="343">
        <v>0</v>
      </c>
      <c r="N333" s="477">
        <v>21.35</v>
      </c>
      <c r="O333" s="477">
        <v>2.069</v>
      </c>
      <c r="P333" s="407">
        <v>0</v>
      </c>
      <c r="Q333" s="477">
        <v>0</v>
      </c>
      <c r="R333" s="483">
        <v>3137975</v>
      </c>
      <c r="S333" s="483">
        <v>295144</v>
      </c>
      <c r="T333" s="483">
        <v>33041</v>
      </c>
      <c r="U333" s="483">
        <v>34289</v>
      </c>
      <c r="V333" s="483">
        <v>152219</v>
      </c>
      <c r="W333" s="483">
        <v>154486</v>
      </c>
      <c r="X333" s="483">
        <v>0</v>
      </c>
      <c r="Y333" s="483">
        <v>6</v>
      </c>
      <c r="Z333" s="406">
        <v>0</v>
      </c>
      <c r="AA333" s="483">
        <v>15862</v>
      </c>
      <c r="AB333" s="483">
        <v>1690</v>
      </c>
      <c r="AC333" s="385">
        <v>8667</v>
      </c>
      <c r="AD333" s="545">
        <v>5.4</v>
      </c>
      <c r="AE333" s="483">
        <v>7581</v>
      </c>
      <c r="AF333" s="483">
        <v>7664</v>
      </c>
      <c r="AG333" s="481">
        <v>6753</v>
      </c>
      <c r="AH333" s="481">
        <v>6566</v>
      </c>
      <c r="AI333">
        <v>12</v>
      </c>
      <c r="AJ333" s="385">
        <v>161106214</v>
      </c>
      <c r="AK333" s="385">
        <v>0</v>
      </c>
      <c r="AL333" s="385">
        <v>0</v>
      </c>
      <c r="AM333" s="287">
        <v>0</v>
      </c>
      <c r="AN333" s="542">
        <v>330000</v>
      </c>
      <c r="AO333" s="549">
        <v>0.17</v>
      </c>
      <c r="AP333" s="385">
        <v>5045</v>
      </c>
      <c r="AQ333" s="385">
        <v>5100</v>
      </c>
      <c r="AR333" s="481">
        <v>4493</v>
      </c>
      <c r="AS333" s="481">
        <v>4399</v>
      </c>
      <c r="AT333" s="617"/>
      <c r="AU333" s="618">
        <v>0</v>
      </c>
      <c r="AV333" s="618">
        <v>0</v>
      </c>
      <c r="AW333" s="620"/>
      <c r="AX333" s="620"/>
      <c r="AY333" s="625"/>
      <c r="AZ333" s="626"/>
      <c r="BA333" s="624"/>
      <c r="BB333" s="673">
        <v>553805</v>
      </c>
      <c r="BC333" s="781">
        <v>2.5000000000000001E-2</v>
      </c>
      <c r="BD333" s="790">
        <v>43</v>
      </c>
      <c r="BE333" s="673">
        <v>19141.84</v>
      </c>
    </row>
    <row r="334" spans="1:57" x14ac:dyDescent="0.2">
      <c r="A334" s="390">
        <v>12</v>
      </c>
      <c r="B334" s="551" t="s">
        <v>404</v>
      </c>
      <c r="C334" t="s">
        <v>1406</v>
      </c>
      <c r="D334" s="406">
        <v>559.29999999999995</v>
      </c>
      <c r="E334" s="560">
        <v>6591</v>
      </c>
      <c r="F334" s="561">
        <v>571.25</v>
      </c>
      <c r="G334" s="561">
        <v>62.15</v>
      </c>
      <c r="H334" s="561">
        <v>64.84</v>
      </c>
      <c r="I334" s="561">
        <v>319.72000000000003</v>
      </c>
      <c r="J334" s="561">
        <v>26.64</v>
      </c>
      <c r="K334" s="561">
        <v>14.52</v>
      </c>
      <c r="L334" s="561">
        <v>43.84</v>
      </c>
      <c r="M334" s="343">
        <v>0</v>
      </c>
      <c r="N334" s="477">
        <v>18.73</v>
      </c>
      <c r="O334" s="477">
        <v>2.1719999999999997</v>
      </c>
      <c r="P334" s="407">
        <v>0</v>
      </c>
      <c r="Q334" s="477">
        <v>0</v>
      </c>
      <c r="R334" s="483">
        <v>3634277</v>
      </c>
      <c r="S334" s="483">
        <v>314987</v>
      </c>
      <c r="T334" s="483">
        <v>34270</v>
      </c>
      <c r="U334" s="483">
        <v>35753</v>
      </c>
      <c r="V334" s="483">
        <v>176294</v>
      </c>
      <c r="W334" s="483">
        <v>187817</v>
      </c>
      <c r="X334" s="483">
        <v>0</v>
      </c>
      <c r="Y334" s="483">
        <v>1</v>
      </c>
      <c r="Z334" s="406">
        <v>0</v>
      </c>
      <c r="AA334" s="483">
        <v>18869</v>
      </c>
      <c r="AB334" s="483">
        <v>2256</v>
      </c>
      <c r="AC334" s="385">
        <v>9326</v>
      </c>
      <c r="AD334" s="545">
        <v>5.4</v>
      </c>
      <c r="AE334" s="483">
        <v>19037</v>
      </c>
      <c r="AF334" s="483">
        <v>19598</v>
      </c>
      <c r="AG334" s="481">
        <v>4774</v>
      </c>
      <c r="AH334" s="481">
        <v>4691</v>
      </c>
      <c r="AI334">
        <v>12</v>
      </c>
      <c r="AJ334" s="385">
        <v>175582580</v>
      </c>
      <c r="AK334" s="385">
        <v>4142</v>
      </c>
      <c r="AL334" s="385">
        <v>0</v>
      </c>
      <c r="AM334" s="287">
        <v>0</v>
      </c>
      <c r="AN334" s="542">
        <v>330000</v>
      </c>
      <c r="AO334" s="549">
        <v>0.17</v>
      </c>
      <c r="AP334" s="385">
        <v>13845</v>
      </c>
      <c r="AQ334" s="385">
        <v>14253</v>
      </c>
      <c r="AR334" s="481">
        <v>3472</v>
      </c>
      <c r="AS334" s="481">
        <v>3428</v>
      </c>
      <c r="AT334" s="617"/>
      <c r="AU334" s="618">
        <v>67467</v>
      </c>
      <c r="AV334" s="618">
        <v>0</v>
      </c>
      <c r="AW334" s="620"/>
      <c r="AX334" s="620"/>
      <c r="AY334" s="625"/>
      <c r="AZ334" s="626"/>
      <c r="BA334" s="624"/>
      <c r="BB334" s="673">
        <v>233510</v>
      </c>
      <c r="BC334" s="781">
        <v>2.5999999999999999E-2</v>
      </c>
      <c r="BD334" s="790">
        <v>97</v>
      </c>
      <c r="BE334" s="673">
        <v>10789.79</v>
      </c>
    </row>
    <row r="335" spans="1:57" x14ac:dyDescent="0.2">
      <c r="A335" s="390">
        <v>11</v>
      </c>
      <c r="B335" s="551" t="s">
        <v>405</v>
      </c>
      <c r="C335" t="s">
        <v>1407</v>
      </c>
      <c r="D335" s="406">
        <v>950.3</v>
      </c>
      <c r="E335" s="560">
        <v>6683</v>
      </c>
      <c r="F335" s="561">
        <v>564.15</v>
      </c>
      <c r="G335" s="561">
        <v>58.96</v>
      </c>
      <c r="H335" s="561">
        <v>62.23</v>
      </c>
      <c r="I335" s="561">
        <v>319.72000000000003</v>
      </c>
      <c r="J335" s="561">
        <v>30.24</v>
      </c>
      <c r="K335" s="561">
        <v>30.86</v>
      </c>
      <c r="L335" s="561">
        <v>21.92</v>
      </c>
      <c r="M335" s="343">
        <v>0</v>
      </c>
      <c r="N335" s="477">
        <v>5.1400000000000006</v>
      </c>
      <c r="O335" s="477">
        <v>2.9329999999999998</v>
      </c>
      <c r="P335" s="407">
        <v>0.22</v>
      </c>
      <c r="Q335" s="477">
        <v>0</v>
      </c>
      <c r="R335" s="483">
        <v>6195809</v>
      </c>
      <c r="S335" s="483">
        <v>523023</v>
      </c>
      <c r="T335" s="483">
        <v>54662</v>
      </c>
      <c r="U335" s="483">
        <v>57693</v>
      </c>
      <c r="V335" s="483">
        <v>296412</v>
      </c>
      <c r="W335" s="483">
        <v>286857</v>
      </c>
      <c r="X335" s="483">
        <v>0</v>
      </c>
      <c r="Y335" s="483">
        <v>39</v>
      </c>
      <c r="Z335" s="406">
        <v>0</v>
      </c>
      <c r="AA335" s="483">
        <v>23637</v>
      </c>
      <c r="AB335" s="483">
        <v>3004</v>
      </c>
      <c r="AC335" s="385">
        <v>10074</v>
      </c>
      <c r="AD335" s="545">
        <v>5.4</v>
      </c>
      <c r="AE335" s="483">
        <v>47699</v>
      </c>
      <c r="AF335" s="483">
        <v>48496</v>
      </c>
      <c r="AG335" s="481">
        <v>11900</v>
      </c>
      <c r="AH335" s="481">
        <v>10755</v>
      </c>
      <c r="AI335">
        <v>35.5</v>
      </c>
      <c r="AJ335" s="385">
        <v>255288020</v>
      </c>
      <c r="AK335" s="385">
        <v>7732</v>
      </c>
      <c r="AL335" s="385">
        <v>0</v>
      </c>
      <c r="AM335" s="287">
        <v>0</v>
      </c>
      <c r="AN335" s="542">
        <v>330000</v>
      </c>
      <c r="AO335" s="549">
        <v>0.17</v>
      </c>
      <c r="AP335" s="385">
        <v>38022</v>
      </c>
      <c r="AQ335" s="385">
        <v>38657</v>
      </c>
      <c r="AR335" s="481">
        <v>9485</v>
      </c>
      <c r="AS335" s="481">
        <v>8640</v>
      </c>
      <c r="AT335" s="617"/>
      <c r="AU335" s="618">
        <v>0</v>
      </c>
      <c r="AV335" s="618">
        <v>0</v>
      </c>
      <c r="AW335" s="620"/>
      <c r="AX335" s="620"/>
      <c r="AY335" s="625"/>
      <c r="AZ335" s="626"/>
      <c r="BA335" s="624"/>
      <c r="BB335" s="673">
        <v>1012787</v>
      </c>
      <c r="BC335" s="781">
        <v>3.6999999999999998E-2</v>
      </c>
      <c r="BD335" s="790">
        <v>25</v>
      </c>
      <c r="BE335" s="673">
        <v>41822.300000000003</v>
      </c>
    </row>
    <row r="337" spans="4:57" x14ac:dyDescent="0.2">
      <c r="D337" s="542">
        <f t="shared" ref="D337:K337" si="0">SUM(D3:D335)</f>
        <v>485147.3000000001</v>
      </c>
      <c r="E337" s="542">
        <f t="shared" si="0"/>
        <v>2205187</v>
      </c>
      <c r="F337" s="542">
        <f t="shared" si="0"/>
        <v>196217.5500000001</v>
      </c>
      <c r="G337" s="542">
        <f t="shared" si="0"/>
        <v>21335.400000000034</v>
      </c>
      <c r="H337" s="542">
        <f t="shared" si="0"/>
        <v>22312.090000000011</v>
      </c>
      <c r="I337" s="542">
        <f t="shared" si="0"/>
        <v>106466.76000000031</v>
      </c>
      <c r="J337" s="543">
        <f t="shared" si="0"/>
        <v>24236.640000000021</v>
      </c>
      <c r="K337" s="543">
        <f t="shared" si="0"/>
        <v>16842.14</v>
      </c>
      <c r="L337" s="543">
        <f t="shared" ref="L337" si="1">SUM(L3:L335)</f>
        <v>23257.119999999992</v>
      </c>
      <c r="M337" s="659">
        <f>SUM(SNAME[line 3.7 x259])</f>
        <v>100.08999999999999</v>
      </c>
      <c r="N337">
        <f>SUM(SNAME[line 3.9 x268])</f>
        <v>6389.8199999999988</v>
      </c>
      <c r="O337">
        <f>SUM(SNAME[line 3.10 x273])</f>
        <v>2392.1799999999985</v>
      </c>
      <c r="P337">
        <f>SUM(SNAME[line 3.11 x269])</f>
        <v>4500.54</v>
      </c>
      <c r="Q337" s="659">
        <f>SUM(SNAME[line 3.12 x446])</f>
        <v>382.49999999999994</v>
      </c>
      <c r="R337" s="542">
        <f t="shared" ref="R337:AC337" si="2">SUM(R3:R335)</f>
        <v>3197430828</v>
      </c>
      <c r="S337" s="542">
        <f t="shared" si="2"/>
        <v>274402500</v>
      </c>
      <c r="T337" s="542">
        <f t="shared" si="2"/>
        <v>31103659</v>
      </c>
      <c r="U337" s="542">
        <f t="shared" si="2"/>
        <v>33854722</v>
      </c>
      <c r="V337" s="542">
        <f t="shared" si="2"/>
        <v>154568927</v>
      </c>
      <c r="W337" s="542">
        <f t="shared" si="2"/>
        <v>158235997</v>
      </c>
      <c r="X337" s="542">
        <f t="shared" si="2"/>
        <v>1383612</v>
      </c>
      <c r="Y337" s="542">
        <f t="shared" si="2"/>
        <v>34226</v>
      </c>
      <c r="Z337" s="547">
        <f t="shared" si="2"/>
        <v>244.4</v>
      </c>
      <c r="AA337" s="547">
        <f t="shared" si="2"/>
        <v>15435682</v>
      </c>
      <c r="AB337" s="547">
        <f t="shared" si="2"/>
        <v>1808046</v>
      </c>
      <c r="AC337" s="547">
        <f t="shared" si="2"/>
        <v>7500000</v>
      </c>
      <c r="AE337" s="547">
        <f>SUM(AE3:AE335)</f>
        <v>26000159</v>
      </c>
      <c r="AF337" s="547">
        <f>SUM(AF3:AF335)</f>
        <v>26357625</v>
      </c>
      <c r="AG337" s="547">
        <f t="shared" ref="AG337:BB337" si="3">SUM(AG3:AG335)</f>
        <v>21502502</v>
      </c>
      <c r="AH337" s="547">
        <f t="shared" si="3"/>
        <v>17732376</v>
      </c>
      <c r="AI337" s="547">
        <f t="shared" si="3"/>
        <v>11712.5</v>
      </c>
      <c r="AJ337" s="547">
        <f t="shared" si="3"/>
        <v>153537709312</v>
      </c>
      <c r="AK337" s="547">
        <f t="shared" si="3"/>
        <v>8780537</v>
      </c>
      <c r="AL337" s="547">
        <f t="shared" si="3"/>
        <v>302471</v>
      </c>
      <c r="AM337" s="547">
        <f t="shared" si="3"/>
        <v>160511</v>
      </c>
      <c r="AN337" s="547">
        <f t="shared" si="3"/>
        <v>109890000</v>
      </c>
      <c r="AO337" s="547">
        <f t="shared" si="3"/>
        <v>56.610000000000397</v>
      </c>
      <c r="AP337" s="547">
        <f t="shared" si="3"/>
        <v>19023853</v>
      </c>
      <c r="AQ337" s="547">
        <f t="shared" si="3"/>
        <v>19315875</v>
      </c>
      <c r="AR337" s="547">
        <f t="shared" si="3"/>
        <v>15964319</v>
      </c>
      <c r="AS337" s="547">
        <f t="shared" si="3"/>
        <v>13565603</v>
      </c>
      <c r="AT337" s="547">
        <f t="shared" si="3"/>
        <v>0</v>
      </c>
      <c r="AU337" s="547">
        <f t="shared" si="3"/>
        <v>16323775</v>
      </c>
      <c r="AV337" s="547">
        <f t="shared" si="3"/>
        <v>10432414</v>
      </c>
      <c r="AW337" s="547">
        <f t="shared" si="3"/>
        <v>0</v>
      </c>
      <c r="AX337" s="547">
        <f t="shared" si="3"/>
        <v>0</v>
      </c>
      <c r="AY337" s="547">
        <f t="shared" si="3"/>
        <v>-0.80000000000000016</v>
      </c>
      <c r="AZ337" s="547">
        <f t="shared" si="3"/>
        <v>-4.6960000000000006</v>
      </c>
      <c r="BA337" s="547">
        <f t="shared" si="3"/>
        <v>0.5</v>
      </c>
      <c r="BB337" s="547">
        <f t="shared" si="3"/>
        <v>408812190</v>
      </c>
      <c r="BE337" s="547">
        <f t="shared" ref="BE337" si="4">SUM(BE3:BE335)</f>
        <v>59634105.390000023</v>
      </c>
    </row>
  </sheetData>
  <sheetProtection password="C47C" sheet="1" objects="1" scenarios="1"/>
  <printOptions headings="1" gridLines="1"/>
  <pageMargins left="0.25" right="0.25" top="0.25" bottom="0.25" header="0.5" footer="0.5"/>
  <pageSetup paperSize="5" orientation="landscape" horizontalDpi="300" verticalDpi="300" r:id="rId1"/>
  <headerFooter alignWithMargins="0"/>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1"/>
  </sheetPr>
  <dimension ref="A1:BB349"/>
  <sheetViews>
    <sheetView workbookViewId="0">
      <pane xSplit="2" ySplit="2" topLeftCell="C327" activePane="bottomRight" state="frozen"/>
      <selection activeCell="A2" sqref="A2"/>
      <selection pane="topRight" activeCell="A2" sqref="A2"/>
      <selection pane="bottomLeft" activeCell="A2" sqref="A2"/>
      <selection pane="bottomRight" activeCell="A2" sqref="A2"/>
    </sheetView>
  </sheetViews>
  <sheetFormatPr defaultColWidth="10.7109375" defaultRowHeight="11.25" x14ac:dyDescent="0.2"/>
  <cols>
    <col min="1" max="1" width="9.140625" style="282" customWidth="1"/>
    <col min="2" max="2" width="9.140625" style="305" customWidth="1"/>
    <col min="3" max="3" width="10.140625" style="305" customWidth="1"/>
    <col min="4" max="4" width="28" style="282" customWidth="1"/>
    <col min="5" max="5" width="23.140625" style="284" customWidth="1"/>
    <col min="6" max="6" width="24.140625" style="284" customWidth="1"/>
    <col min="7" max="7" width="26.140625" style="284" customWidth="1"/>
    <col min="8" max="8" width="20.140625" style="284" customWidth="1"/>
    <col min="9" max="9" width="47.140625" style="284" customWidth="1"/>
    <col min="10" max="10" width="42.140625" style="284" customWidth="1"/>
    <col min="11" max="11" width="25.140625" style="284" customWidth="1"/>
    <col min="12" max="12" width="20.140625" style="284" customWidth="1"/>
    <col min="13" max="13" width="30.140625" style="284" customWidth="1"/>
    <col min="14" max="14" width="28.140625" style="284" customWidth="1"/>
    <col min="15" max="15" width="25.140625" style="284" customWidth="1"/>
    <col min="16" max="16" width="31.140625" style="284" customWidth="1"/>
    <col min="17" max="17" width="21.140625" style="284" customWidth="1"/>
    <col min="18" max="18" width="23.140625" style="284" customWidth="1"/>
    <col min="19" max="19" width="40.140625" style="284" customWidth="1"/>
    <col min="20" max="20" width="24.140625" style="284" customWidth="1"/>
    <col min="21" max="21" width="32.140625" style="284" customWidth="1"/>
    <col min="22" max="22" width="19.140625" style="284" customWidth="1"/>
    <col min="23" max="23" width="20.140625" style="284" customWidth="1"/>
    <col min="24" max="24" width="21.140625" style="284" customWidth="1"/>
    <col min="25" max="25" width="29.140625" style="284" customWidth="1"/>
    <col min="26" max="26" width="23.140625" style="284" customWidth="1"/>
    <col min="27" max="27" width="20.140625" style="284" customWidth="1"/>
    <col min="28" max="28" width="31.140625" style="284" customWidth="1"/>
    <col min="29" max="29" width="22.140625" style="284" customWidth="1"/>
    <col min="30" max="30" width="47.140625" style="284" customWidth="1"/>
    <col min="31" max="31" width="18.140625" style="284" customWidth="1"/>
    <col min="32" max="32" width="25.140625" style="284" customWidth="1"/>
    <col min="33" max="33" width="17.140625" style="284" customWidth="1"/>
    <col min="34" max="34" width="33.140625" style="284" customWidth="1"/>
    <col min="35" max="35" width="30.140625" style="284" customWidth="1"/>
    <col min="36" max="36" width="26.140625" style="284" customWidth="1"/>
    <col min="37" max="37" width="32.140625" style="284" customWidth="1"/>
    <col min="38" max="38" width="25.140625" style="282" customWidth="1"/>
    <col min="39" max="40" width="27.140625" style="282" customWidth="1"/>
    <col min="41" max="41" width="28.140625" style="282" customWidth="1"/>
    <col min="42" max="42" width="25.140625" style="282" customWidth="1"/>
    <col min="43" max="43" width="26.140625" style="282" customWidth="1"/>
    <col min="44" max="44" width="35.140625" style="282" customWidth="1"/>
    <col min="45" max="45" width="32.140625" style="282" customWidth="1"/>
    <col min="46" max="46" width="25.140625" style="282" customWidth="1"/>
    <col min="47" max="48" width="32.140625" style="282" customWidth="1"/>
    <col min="49" max="49" width="15.140625" style="282" customWidth="1"/>
    <col min="50" max="50" width="15.140625" style="282" bestFit="1" customWidth="1"/>
    <col min="51" max="51" width="31.140625" style="633" customWidth="1"/>
    <col min="52" max="52" width="22.140625" style="282" customWidth="1"/>
    <col min="53" max="53" width="12" style="282" customWidth="1"/>
    <col min="54" max="54" width="13.5703125" style="282" customWidth="1"/>
    <col min="55" max="16384" width="10.7109375" style="282"/>
  </cols>
  <sheetData>
    <row r="1" spans="1:54" x14ac:dyDescent="0.2">
      <c r="A1" s="281"/>
      <c r="C1" s="630"/>
      <c r="E1" s="636"/>
      <c r="F1" s="636"/>
      <c r="G1" s="636"/>
      <c r="H1" s="636"/>
      <c r="I1" s="636"/>
      <c r="J1" s="636"/>
      <c r="K1" s="636"/>
      <c r="L1" s="636"/>
      <c r="M1" s="636"/>
      <c r="N1" s="636"/>
      <c r="O1" s="636"/>
      <c r="P1" s="636"/>
      <c r="Q1" s="443"/>
      <c r="R1" s="443"/>
      <c r="S1" s="443"/>
      <c r="T1" s="443"/>
      <c r="U1" s="443"/>
      <c r="V1" s="443"/>
      <c r="W1" s="443"/>
      <c r="X1" s="443"/>
      <c r="Y1" s="443"/>
      <c r="Z1" s="443"/>
      <c r="AA1" s="443"/>
      <c r="AB1" s="443"/>
      <c r="AC1" s="443"/>
      <c r="AD1" s="443"/>
      <c r="AE1" s="443"/>
      <c r="AF1" s="443"/>
      <c r="AG1" s="443"/>
      <c r="AH1" s="443"/>
      <c r="AI1" s="443"/>
      <c r="AJ1" s="443"/>
      <c r="AK1" s="443"/>
      <c r="AL1" s="633"/>
      <c r="AM1" s="633"/>
      <c r="AN1" s="633"/>
      <c r="AO1" s="633"/>
      <c r="AP1" s="633"/>
      <c r="AQ1" s="633"/>
      <c r="AR1" s="633"/>
      <c r="AS1" s="633"/>
      <c r="AT1" s="633"/>
      <c r="AU1" s="633"/>
      <c r="AV1" s="633"/>
      <c r="AW1" s="633"/>
      <c r="AX1" s="633"/>
      <c r="AZ1" s="633"/>
      <c r="BA1" s="968" t="s">
        <v>1969</v>
      </c>
      <c r="BB1" s="968"/>
    </row>
    <row r="2" spans="1:54" ht="63" customHeight="1" x14ac:dyDescent="0.2">
      <c r="A2" s="281" t="s">
        <v>999</v>
      </c>
      <c r="B2" s="305" t="s">
        <v>1000</v>
      </c>
      <c r="C2" s="630" t="s">
        <v>1916</v>
      </c>
      <c r="D2" s="282" t="s">
        <v>1001</v>
      </c>
      <c r="E2" s="634" t="s">
        <v>1919</v>
      </c>
      <c r="F2" s="634" t="s">
        <v>1920</v>
      </c>
      <c r="G2" s="634" t="s">
        <v>1921</v>
      </c>
      <c r="H2" s="634" t="s">
        <v>1922</v>
      </c>
      <c r="I2" s="634" t="s">
        <v>1923</v>
      </c>
      <c r="J2" s="634" t="s">
        <v>1924</v>
      </c>
      <c r="K2" s="634" t="s">
        <v>1925</v>
      </c>
      <c r="L2" s="634" t="s">
        <v>1926</v>
      </c>
      <c r="M2" s="634" t="s">
        <v>1927</v>
      </c>
      <c r="N2" s="634" t="s">
        <v>1928</v>
      </c>
      <c r="O2" s="634" t="s">
        <v>1929</v>
      </c>
      <c r="P2" s="634" t="s">
        <v>1930</v>
      </c>
      <c r="Q2" s="634" t="s">
        <v>1931</v>
      </c>
      <c r="R2" s="634" t="s">
        <v>1932</v>
      </c>
      <c r="S2" s="634" t="s">
        <v>1933</v>
      </c>
      <c r="T2" s="634" t="s">
        <v>1934</v>
      </c>
      <c r="U2" s="634" t="s">
        <v>1935</v>
      </c>
      <c r="V2" s="634" t="s">
        <v>1936</v>
      </c>
      <c r="W2" s="634" t="s">
        <v>1937</v>
      </c>
      <c r="X2" s="634" t="s">
        <v>1938</v>
      </c>
      <c r="Y2" s="634" t="s">
        <v>1939</v>
      </c>
      <c r="Z2" s="634" t="s">
        <v>1940</v>
      </c>
      <c r="AA2" s="634" t="s">
        <v>1941</v>
      </c>
      <c r="AB2" s="634" t="s">
        <v>1942</v>
      </c>
      <c r="AC2" s="634" t="s">
        <v>1943</v>
      </c>
      <c r="AD2" s="634" t="s">
        <v>1944</v>
      </c>
      <c r="AE2" s="634" t="s">
        <v>1945</v>
      </c>
      <c r="AF2" s="634" t="s">
        <v>1946</v>
      </c>
      <c r="AG2" s="634" t="s">
        <v>1947</v>
      </c>
      <c r="AH2" s="634" t="s">
        <v>1948</v>
      </c>
      <c r="AI2" s="634" t="s">
        <v>1949</v>
      </c>
      <c r="AJ2" s="634" t="s">
        <v>1950</v>
      </c>
      <c r="AK2" s="634" t="s">
        <v>1951</v>
      </c>
      <c r="AL2" s="635" t="s">
        <v>1952</v>
      </c>
      <c r="AM2" s="635" t="s">
        <v>1953</v>
      </c>
      <c r="AN2" s="635" t="s">
        <v>1954</v>
      </c>
      <c r="AO2" s="635" t="s">
        <v>1955</v>
      </c>
      <c r="AP2" s="635" t="s">
        <v>1956</v>
      </c>
      <c r="AQ2" s="635" t="s">
        <v>1957</v>
      </c>
      <c r="AR2" s="635" t="s">
        <v>1958</v>
      </c>
      <c r="AS2" s="635" t="s">
        <v>1959</v>
      </c>
      <c r="AT2" s="635" t="s">
        <v>1960</v>
      </c>
      <c r="AU2" s="635" t="s">
        <v>1961</v>
      </c>
      <c r="AV2" s="635" t="s">
        <v>1962</v>
      </c>
      <c r="AW2" s="635" t="s">
        <v>880</v>
      </c>
      <c r="AX2" s="635" t="s">
        <v>1963</v>
      </c>
      <c r="AY2" s="635" t="s">
        <v>1964</v>
      </c>
      <c r="AZ2" s="635" t="s">
        <v>820</v>
      </c>
      <c r="BA2" s="640" t="s">
        <v>1967</v>
      </c>
      <c r="BB2" s="640" t="s">
        <v>1968</v>
      </c>
    </row>
    <row r="3" spans="1:54" x14ac:dyDescent="0.2">
      <c r="A3" s="390">
        <v>11</v>
      </c>
      <c r="B3" s="391" t="s">
        <v>75</v>
      </c>
      <c r="C3" s="631">
        <v>18</v>
      </c>
      <c r="D3" t="s">
        <v>1007</v>
      </c>
      <c r="E3" s="392">
        <v>1346855</v>
      </c>
      <c r="F3" s="392">
        <v>43668</v>
      </c>
      <c r="G3" s="392">
        <v>181813</v>
      </c>
      <c r="H3" s="392">
        <v>0</v>
      </c>
      <c r="I3" s="392">
        <v>0</v>
      </c>
      <c r="J3" s="392">
        <v>0</v>
      </c>
      <c r="K3" s="392">
        <v>645803</v>
      </c>
      <c r="L3" s="392">
        <v>835466</v>
      </c>
      <c r="M3" s="392">
        <v>0</v>
      </c>
      <c r="N3" s="392">
        <v>6</v>
      </c>
      <c r="O3" s="392">
        <v>16979</v>
      </c>
      <c r="P3" s="392">
        <v>0</v>
      </c>
      <c r="Q3" s="392">
        <v>3070589</v>
      </c>
      <c r="R3" s="392">
        <v>1634391</v>
      </c>
      <c r="S3" s="392">
        <v>194815</v>
      </c>
      <c r="T3" s="392">
        <v>164381</v>
      </c>
      <c r="U3" s="392">
        <v>52117</v>
      </c>
      <c r="V3" s="392">
        <v>7451</v>
      </c>
      <c r="W3" s="392">
        <v>93285</v>
      </c>
      <c r="X3" s="392">
        <v>82988</v>
      </c>
      <c r="Y3" s="392">
        <v>148254</v>
      </c>
      <c r="Z3" s="392">
        <v>0</v>
      </c>
      <c r="AA3" s="392">
        <v>1666574</v>
      </c>
      <c r="AB3" s="392">
        <v>0</v>
      </c>
      <c r="AC3" s="392">
        <v>347937</v>
      </c>
      <c r="AD3" s="392">
        <v>63305</v>
      </c>
      <c r="AE3" s="392">
        <v>83719</v>
      </c>
      <c r="AF3" s="392">
        <v>138280</v>
      </c>
      <c r="AG3" s="392">
        <v>4677498</v>
      </c>
      <c r="AH3" s="392">
        <v>0</v>
      </c>
      <c r="AI3" s="392">
        <v>124437</v>
      </c>
      <c r="AJ3" s="392">
        <v>67234</v>
      </c>
      <c r="AK3" s="392">
        <v>4869168</v>
      </c>
      <c r="AL3" s="392">
        <v>2525318</v>
      </c>
      <c r="AM3" s="392">
        <v>2596780</v>
      </c>
      <c r="AN3" s="392">
        <v>43108</v>
      </c>
      <c r="AO3" s="392">
        <v>144195</v>
      </c>
      <c r="AP3" s="392">
        <v>67281</v>
      </c>
      <c r="AQ3" s="392">
        <v>147528</v>
      </c>
      <c r="AR3" s="392">
        <v>103857</v>
      </c>
      <c r="AS3" s="392">
        <v>352448</v>
      </c>
      <c r="AT3" s="392">
        <v>201305</v>
      </c>
      <c r="AU3" s="392">
        <v>181128</v>
      </c>
      <c r="AV3" s="392">
        <v>115927</v>
      </c>
      <c r="AW3" s="392">
        <v>117744</v>
      </c>
      <c r="AX3" s="392">
        <v>134926</v>
      </c>
      <c r="AY3" s="786">
        <v>117670</v>
      </c>
      <c r="AZ3" s="392">
        <v>3070589</v>
      </c>
      <c r="BA3" s="639">
        <f>SUM(SNAMEB[[#This Row],[Instruction Expenditures]:[Transfers Out/OtherFinancing]])+SUM(SNAMEB[[#This Row],[General Fund Balance]:[Other Enterprise FundBalance]])</f>
        <v>7394487</v>
      </c>
      <c r="BB3" s="639">
        <f>SUM(SNAMEB[[#This Row],[Property Tax Revenue]:[IDEA/Other Fed Revenue]])+SNAMEB[General Long-term DebtProceeds]+SNAMEB[TransfersIn/Other Financing]+SNAMEB[Fixed Asset Disposition]+SNAMEB[Beginning Fund Balance]</f>
        <v>7394486</v>
      </c>
    </row>
    <row r="4" spans="1:54" x14ac:dyDescent="0.2">
      <c r="A4" s="390">
        <v>11</v>
      </c>
      <c r="B4" s="391" t="s">
        <v>76</v>
      </c>
      <c r="C4" s="631">
        <v>27</v>
      </c>
      <c r="D4" t="s">
        <v>654</v>
      </c>
      <c r="E4" s="392">
        <v>3726128</v>
      </c>
      <c r="F4" s="392">
        <v>255239</v>
      </c>
      <c r="G4" s="392">
        <v>1763564</v>
      </c>
      <c r="H4" s="392">
        <v>0</v>
      </c>
      <c r="I4" s="392">
        <v>0</v>
      </c>
      <c r="J4" s="392">
        <v>0</v>
      </c>
      <c r="K4" s="392">
        <v>5346124</v>
      </c>
      <c r="L4" s="392">
        <v>466236</v>
      </c>
      <c r="M4" s="392">
        <v>1073132</v>
      </c>
      <c r="N4" s="392">
        <v>55043</v>
      </c>
      <c r="O4" s="392">
        <v>202236</v>
      </c>
      <c r="P4" s="392">
        <v>146481</v>
      </c>
      <c r="Q4" s="392">
        <v>13034183</v>
      </c>
      <c r="R4" s="392">
        <v>6919242</v>
      </c>
      <c r="S4" s="392">
        <v>261666</v>
      </c>
      <c r="T4" s="392">
        <v>0</v>
      </c>
      <c r="U4" s="392">
        <v>1715159</v>
      </c>
      <c r="V4" s="392">
        <v>64874</v>
      </c>
      <c r="W4" s="392">
        <v>583970</v>
      </c>
      <c r="X4" s="392">
        <v>301550</v>
      </c>
      <c r="Y4" s="392">
        <v>587050</v>
      </c>
      <c r="Z4" s="392">
        <v>0</v>
      </c>
      <c r="AA4" s="392">
        <v>8909982</v>
      </c>
      <c r="AB4" s="392">
        <v>0</v>
      </c>
      <c r="AC4" s="392">
        <v>1543506</v>
      </c>
      <c r="AD4" s="392">
        <v>135009</v>
      </c>
      <c r="AE4" s="392">
        <v>126239</v>
      </c>
      <c r="AF4" s="392">
        <v>534108</v>
      </c>
      <c r="AG4" s="392">
        <v>21682355</v>
      </c>
      <c r="AH4" s="392">
        <v>3160000</v>
      </c>
      <c r="AI4" s="392">
        <v>310439</v>
      </c>
      <c r="AJ4" s="392">
        <v>21339</v>
      </c>
      <c r="AK4" s="392">
        <v>25174133</v>
      </c>
      <c r="AL4" s="392">
        <v>17293631</v>
      </c>
      <c r="AM4" s="392">
        <v>11506035</v>
      </c>
      <c r="AN4" s="392">
        <v>543413</v>
      </c>
      <c r="AO4" s="392">
        <v>688787</v>
      </c>
      <c r="AP4" s="392">
        <v>471502</v>
      </c>
      <c r="AQ4" s="392">
        <v>1134551</v>
      </c>
      <c r="AR4" s="392">
        <v>487490</v>
      </c>
      <c r="AS4" s="392">
        <v>1662424</v>
      </c>
      <c r="AT4" s="392">
        <v>733730</v>
      </c>
      <c r="AU4" s="392">
        <v>864820</v>
      </c>
      <c r="AV4" s="392">
        <v>8016441</v>
      </c>
      <c r="AW4" s="392">
        <v>2399443</v>
      </c>
      <c r="AX4" s="392">
        <v>613779</v>
      </c>
      <c r="AY4" s="786">
        <v>311167</v>
      </c>
      <c r="AZ4" s="392">
        <v>13034183</v>
      </c>
      <c r="BA4" s="639">
        <f>SUM(SNAMEB[[#This Row],[Instruction Expenditures]:[Transfers Out/OtherFinancing]])+SUM(SNAMEB[[#This Row],[General Fund Balance]:[Other Enterprise FundBalance]])</f>
        <v>42467765</v>
      </c>
      <c r="BB4" s="639">
        <f>SUM(SNAMEB[[#This Row],[Property Tax Revenue]:[IDEA/Other Fed Revenue]])+SNAMEB[General Long-term DebtProceeds]+SNAMEB[TransfersIn/Other Financing]+SNAMEB[Fixed Asset Disposition]+SNAMEB[Beginning Fund Balance]</f>
        <v>42467764</v>
      </c>
    </row>
    <row r="5" spans="1:54" x14ac:dyDescent="0.2">
      <c r="A5" s="390">
        <v>7</v>
      </c>
      <c r="B5" s="391" t="s">
        <v>77</v>
      </c>
      <c r="C5" s="631">
        <v>9</v>
      </c>
      <c r="D5" t="s">
        <v>998</v>
      </c>
      <c r="E5" s="392">
        <v>884112</v>
      </c>
      <c r="F5" s="392">
        <v>120322</v>
      </c>
      <c r="G5" s="392">
        <v>784399</v>
      </c>
      <c r="H5" s="392">
        <v>0</v>
      </c>
      <c r="I5" s="392">
        <v>0</v>
      </c>
      <c r="J5" s="392">
        <v>0</v>
      </c>
      <c r="K5" s="392">
        <v>200674</v>
      </c>
      <c r="L5" s="392">
        <v>758810</v>
      </c>
      <c r="M5" s="392">
        <v>0</v>
      </c>
      <c r="N5" s="392">
        <v>499528</v>
      </c>
      <c r="O5" s="392">
        <v>94940</v>
      </c>
      <c r="P5" s="392">
        <v>-52023</v>
      </c>
      <c r="Q5" s="392">
        <v>3290761</v>
      </c>
      <c r="R5" s="392">
        <v>3400305</v>
      </c>
      <c r="S5" s="392">
        <v>164866</v>
      </c>
      <c r="T5" s="392">
        <v>313783</v>
      </c>
      <c r="U5" s="392">
        <v>207385</v>
      </c>
      <c r="V5" s="392">
        <v>15967</v>
      </c>
      <c r="W5" s="392">
        <v>126739</v>
      </c>
      <c r="X5" s="392">
        <v>180066</v>
      </c>
      <c r="Y5" s="392">
        <v>576389</v>
      </c>
      <c r="Z5" s="392">
        <v>0</v>
      </c>
      <c r="AA5" s="392">
        <v>3044509</v>
      </c>
      <c r="AB5" s="392">
        <v>0</v>
      </c>
      <c r="AC5" s="392">
        <v>631478</v>
      </c>
      <c r="AD5" s="392">
        <v>31750</v>
      </c>
      <c r="AE5" s="392">
        <v>90398</v>
      </c>
      <c r="AF5" s="392">
        <v>317649</v>
      </c>
      <c r="AG5" s="392">
        <v>9101284</v>
      </c>
      <c r="AH5" s="392">
        <v>0</v>
      </c>
      <c r="AI5" s="392">
        <v>559807</v>
      </c>
      <c r="AJ5" s="392">
        <v>560</v>
      </c>
      <c r="AK5" s="392">
        <v>9661651</v>
      </c>
      <c r="AL5" s="392">
        <v>3492272</v>
      </c>
      <c r="AM5" s="392">
        <v>5381108</v>
      </c>
      <c r="AN5" s="392">
        <v>103664</v>
      </c>
      <c r="AO5" s="392">
        <v>334208</v>
      </c>
      <c r="AP5" s="392">
        <v>167589</v>
      </c>
      <c r="AQ5" s="392">
        <v>255772</v>
      </c>
      <c r="AR5" s="392">
        <v>188554</v>
      </c>
      <c r="AS5" s="392">
        <v>725179</v>
      </c>
      <c r="AT5" s="392">
        <v>569385</v>
      </c>
      <c r="AU5" s="392">
        <v>619500</v>
      </c>
      <c r="AV5" s="392">
        <v>84065</v>
      </c>
      <c r="AW5" s="392">
        <v>559866</v>
      </c>
      <c r="AX5" s="392">
        <v>267312</v>
      </c>
      <c r="AY5" s="786">
        <v>606960</v>
      </c>
      <c r="AZ5" s="392">
        <v>3290761</v>
      </c>
      <c r="BA5" s="639">
        <f>SUM(SNAMEB[[#This Row],[Instruction Expenditures]:[Transfers Out/OtherFinancing]])+SUM(SNAMEB[[#This Row],[General Fund Balance]:[Other Enterprise FundBalance]])</f>
        <v>13153924</v>
      </c>
      <c r="BB5" s="639">
        <f>SUM(SNAMEB[[#This Row],[Property Tax Revenue]:[IDEA/Other Fed Revenue]])+SNAMEB[General Long-term DebtProceeds]+SNAMEB[TransfersIn/Other Financing]+SNAMEB[Fixed Asset Disposition]+SNAMEB[Beginning Fund Balance]</f>
        <v>13153923</v>
      </c>
    </row>
    <row r="6" spans="1:54" x14ac:dyDescent="0.2">
      <c r="A6" s="390">
        <v>13</v>
      </c>
      <c r="B6" s="391" t="s">
        <v>78</v>
      </c>
      <c r="C6" s="631">
        <v>441</v>
      </c>
      <c r="D6" t="s">
        <v>1785</v>
      </c>
      <c r="E6" s="392">
        <v>1333668</v>
      </c>
      <c r="F6" s="392">
        <v>22465</v>
      </c>
      <c r="G6" s="392">
        <v>603087</v>
      </c>
      <c r="H6" s="392">
        <v>0</v>
      </c>
      <c r="I6" s="392">
        <v>0</v>
      </c>
      <c r="J6" s="392">
        <v>0</v>
      </c>
      <c r="K6" s="392">
        <v>2583857</v>
      </c>
      <c r="L6" s="392">
        <v>624288</v>
      </c>
      <c r="M6" s="392">
        <v>0</v>
      </c>
      <c r="N6" s="392">
        <v>19123</v>
      </c>
      <c r="O6" s="392">
        <v>67410</v>
      </c>
      <c r="P6" s="392">
        <v>0</v>
      </c>
      <c r="Q6" s="392">
        <v>5253899</v>
      </c>
      <c r="R6" s="392">
        <v>5092201</v>
      </c>
      <c r="S6" s="392">
        <v>403858</v>
      </c>
      <c r="T6" s="392">
        <v>390453</v>
      </c>
      <c r="U6" s="392">
        <v>706215</v>
      </c>
      <c r="V6" s="392">
        <v>4893</v>
      </c>
      <c r="W6" s="392">
        <v>177509</v>
      </c>
      <c r="X6" s="392">
        <v>206115</v>
      </c>
      <c r="Y6" s="392">
        <v>187421</v>
      </c>
      <c r="Z6" s="392">
        <v>86619</v>
      </c>
      <c r="AA6" s="392">
        <v>3364397</v>
      </c>
      <c r="AB6" s="392">
        <v>0</v>
      </c>
      <c r="AC6" s="392">
        <v>801696</v>
      </c>
      <c r="AD6" s="392">
        <v>237679</v>
      </c>
      <c r="AE6" s="392">
        <v>128154</v>
      </c>
      <c r="AF6" s="392">
        <v>319538</v>
      </c>
      <c r="AG6" s="392">
        <v>12106747</v>
      </c>
      <c r="AH6" s="392">
        <v>5355000</v>
      </c>
      <c r="AI6" s="392">
        <v>229376</v>
      </c>
      <c r="AJ6" s="392">
        <v>0</v>
      </c>
      <c r="AK6" s="392">
        <v>17691123</v>
      </c>
      <c r="AL6" s="392">
        <v>3415308</v>
      </c>
      <c r="AM6" s="392">
        <v>6900367</v>
      </c>
      <c r="AN6" s="392">
        <v>133350</v>
      </c>
      <c r="AO6" s="392">
        <v>197731</v>
      </c>
      <c r="AP6" s="392">
        <v>439689</v>
      </c>
      <c r="AQ6" s="392">
        <v>468878</v>
      </c>
      <c r="AR6" s="392">
        <v>299050</v>
      </c>
      <c r="AS6" s="392">
        <v>729969</v>
      </c>
      <c r="AT6" s="392">
        <v>422070</v>
      </c>
      <c r="AU6" s="392">
        <v>350632</v>
      </c>
      <c r="AV6" s="392">
        <v>4307667</v>
      </c>
      <c r="AW6" s="392">
        <v>1081049</v>
      </c>
      <c r="AX6" s="392">
        <v>322209</v>
      </c>
      <c r="AY6" s="786">
        <v>199872</v>
      </c>
      <c r="AZ6" s="392">
        <v>5253899</v>
      </c>
      <c r="BA6" s="639">
        <f>SUM(SNAMEB[[#This Row],[Instruction Expenditures]:[Transfers Out/OtherFinancing]])+SUM(SNAMEB[[#This Row],[General Fund Balance]:[Other Enterprise FundBalance]])</f>
        <v>21106431</v>
      </c>
      <c r="BB6" s="639">
        <f>SUM(SNAMEB[[#This Row],[Property Tax Revenue]:[IDEA/Other Fed Revenue]])+SNAMEB[General Long-term DebtProceeds]+SNAMEB[TransfersIn/Other Financing]+SNAMEB[Fixed Asset Disposition]+SNAMEB[Beginning Fund Balance]</f>
        <v>21106432</v>
      </c>
    </row>
    <row r="7" spans="1:54" x14ac:dyDescent="0.2">
      <c r="A7" s="390">
        <v>12</v>
      </c>
      <c r="B7" s="391" t="s">
        <v>79</v>
      </c>
      <c r="C7" s="631">
        <v>63</v>
      </c>
      <c r="D7" t="s">
        <v>1008</v>
      </c>
      <c r="E7" s="392">
        <v>1823808</v>
      </c>
      <c r="F7" s="392">
        <v>179261</v>
      </c>
      <c r="G7" s="392">
        <v>245507</v>
      </c>
      <c r="H7" s="392">
        <v>0</v>
      </c>
      <c r="I7" s="392">
        <v>0</v>
      </c>
      <c r="J7" s="392">
        <v>0</v>
      </c>
      <c r="K7" s="392">
        <v>865358</v>
      </c>
      <c r="L7" s="392">
        <v>139192</v>
      </c>
      <c r="M7" s="392">
        <v>0</v>
      </c>
      <c r="N7" s="392">
        <v>27801</v>
      </c>
      <c r="O7" s="392">
        <v>106403</v>
      </c>
      <c r="P7" s="392">
        <v>0</v>
      </c>
      <c r="Q7" s="392">
        <v>3387331</v>
      </c>
      <c r="R7" s="392">
        <v>2339869</v>
      </c>
      <c r="S7" s="392">
        <v>21353</v>
      </c>
      <c r="T7" s="392">
        <v>112883</v>
      </c>
      <c r="U7" s="392">
        <v>647050</v>
      </c>
      <c r="V7" s="392">
        <v>5001</v>
      </c>
      <c r="W7" s="392">
        <v>203573</v>
      </c>
      <c r="X7" s="392">
        <v>269218</v>
      </c>
      <c r="Y7" s="392">
        <v>266353</v>
      </c>
      <c r="Z7" s="392">
        <v>0</v>
      </c>
      <c r="AA7" s="392">
        <v>2935988</v>
      </c>
      <c r="AB7" s="392">
        <v>0</v>
      </c>
      <c r="AC7" s="392">
        <v>509554</v>
      </c>
      <c r="AD7" s="392">
        <v>17700</v>
      </c>
      <c r="AE7" s="392">
        <v>57420</v>
      </c>
      <c r="AF7" s="392">
        <v>246972</v>
      </c>
      <c r="AG7" s="392">
        <v>7632934</v>
      </c>
      <c r="AH7" s="392">
        <v>0</v>
      </c>
      <c r="AI7" s="392">
        <v>252996</v>
      </c>
      <c r="AJ7" s="392">
        <v>21467</v>
      </c>
      <c r="AK7" s="392">
        <v>7907397</v>
      </c>
      <c r="AL7" s="392">
        <v>3078919</v>
      </c>
      <c r="AM7" s="392">
        <v>4536746</v>
      </c>
      <c r="AN7" s="392">
        <v>171768</v>
      </c>
      <c r="AO7" s="392">
        <v>132729</v>
      </c>
      <c r="AP7" s="392">
        <v>173765</v>
      </c>
      <c r="AQ7" s="392">
        <v>374008</v>
      </c>
      <c r="AR7" s="392">
        <v>240568</v>
      </c>
      <c r="AS7" s="392">
        <v>504748</v>
      </c>
      <c r="AT7" s="392">
        <v>290901</v>
      </c>
      <c r="AU7" s="392">
        <v>373200</v>
      </c>
      <c r="AV7" s="392">
        <v>174207</v>
      </c>
      <c r="AW7" s="392">
        <v>160251</v>
      </c>
      <c r="AX7" s="392">
        <v>214750</v>
      </c>
      <c r="AY7" s="786">
        <v>251345</v>
      </c>
      <c r="AZ7" s="392">
        <v>3387331</v>
      </c>
      <c r="BA7" s="639">
        <f>SUM(SNAMEB[[#This Row],[Instruction Expenditures]:[Transfers Out/OtherFinancing]])+SUM(SNAMEB[[#This Row],[General Fund Balance]:[Other Enterprise FundBalance]])</f>
        <v>10986316</v>
      </c>
      <c r="BB7" s="639">
        <f>SUM(SNAMEB[[#This Row],[Property Tax Revenue]:[IDEA/Other Fed Revenue]])+SNAMEB[General Long-term DebtProceeds]+SNAMEB[TransfersIn/Other Financing]+SNAMEB[Fixed Asset Disposition]+SNAMEB[Beginning Fund Balance]</f>
        <v>10986316</v>
      </c>
    </row>
    <row r="8" spans="1:54" x14ac:dyDescent="0.2">
      <c r="A8" s="390">
        <v>5</v>
      </c>
      <c r="B8" s="391" t="s">
        <v>80</v>
      </c>
      <c r="C8" s="631">
        <v>72</v>
      </c>
      <c r="D8" t="s">
        <v>1009</v>
      </c>
      <c r="E8" s="392">
        <v>423818</v>
      </c>
      <c r="F8" s="392">
        <v>18246</v>
      </c>
      <c r="G8" s="392">
        <v>322007</v>
      </c>
      <c r="H8" s="392">
        <v>0</v>
      </c>
      <c r="I8" s="392">
        <v>0</v>
      </c>
      <c r="J8" s="392">
        <v>0</v>
      </c>
      <c r="K8" s="392">
        <v>746375</v>
      </c>
      <c r="L8" s="392">
        <v>603239</v>
      </c>
      <c r="M8" s="392">
        <v>0</v>
      </c>
      <c r="N8" s="392">
        <v>0</v>
      </c>
      <c r="O8" s="392">
        <v>15338</v>
      </c>
      <c r="P8" s="392">
        <v>0</v>
      </c>
      <c r="Q8" s="392">
        <v>2129023</v>
      </c>
      <c r="R8" s="392">
        <v>1448843</v>
      </c>
      <c r="S8" s="392">
        <v>135830</v>
      </c>
      <c r="T8" s="392">
        <v>0</v>
      </c>
      <c r="U8" s="392">
        <v>77838</v>
      </c>
      <c r="V8" s="392">
        <v>6767</v>
      </c>
      <c r="W8" s="392">
        <v>28610</v>
      </c>
      <c r="X8" s="392">
        <v>4384</v>
      </c>
      <c r="Y8" s="392">
        <v>17858</v>
      </c>
      <c r="Z8" s="392">
        <v>0</v>
      </c>
      <c r="AA8" s="392">
        <v>882185</v>
      </c>
      <c r="AB8" s="392">
        <v>0</v>
      </c>
      <c r="AC8" s="392">
        <v>210827</v>
      </c>
      <c r="AD8" s="392">
        <v>22423</v>
      </c>
      <c r="AE8" s="392">
        <v>42896</v>
      </c>
      <c r="AF8" s="392">
        <v>97182</v>
      </c>
      <c r="AG8" s="392">
        <v>2975643</v>
      </c>
      <c r="AH8" s="392">
        <v>0</v>
      </c>
      <c r="AI8" s="392">
        <v>26544</v>
      </c>
      <c r="AJ8" s="392">
        <v>2000</v>
      </c>
      <c r="AK8" s="392">
        <v>3004187</v>
      </c>
      <c r="AL8" s="392">
        <v>2084899</v>
      </c>
      <c r="AM8" s="392">
        <v>1705245</v>
      </c>
      <c r="AN8" s="392">
        <v>39314</v>
      </c>
      <c r="AO8" s="392">
        <v>30294</v>
      </c>
      <c r="AP8" s="392">
        <v>56729</v>
      </c>
      <c r="AQ8" s="392">
        <v>148173</v>
      </c>
      <c r="AR8" s="392">
        <v>28230</v>
      </c>
      <c r="AS8" s="392">
        <v>202171</v>
      </c>
      <c r="AT8" s="392">
        <v>192654</v>
      </c>
      <c r="AU8" s="392">
        <v>75694</v>
      </c>
      <c r="AV8" s="392">
        <v>389958</v>
      </c>
      <c r="AW8" s="392">
        <v>0</v>
      </c>
      <c r="AX8" s="392">
        <v>91601</v>
      </c>
      <c r="AY8" s="786">
        <v>0</v>
      </c>
      <c r="AZ8" s="392">
        <v>2129023</v>
      </c>
      <c r="BA8" s="639">
        <f>SUM(SNAMEB[[#This Row],[Instruction Expenditures]:[Transfers Out/OtherFinancing]])+SUM(SNAMEB[[#This Row],[General Fund Balance]:[Other Enterprise FundBalance]])</f>
        <v>5089086</v>
      </c>
      <c r="BB8" s="639">
        <f>SUM(SNAMEB[[#This Row],[Property Tax Revenue]:[IDEA/Other Fed Revenue]])+SNAMEB[General Long-term DebtProceeds]+SNAMEB[TransfersIn/Other Financing]+SNAMEB[Fixed Asset Disposition]+SNAMEB[Beginning Fund Balance]</f>
        <v>5089086</v>
      </c>
    </row>
    <row r="9" spans="1:54" x14ac:dyDescent="0.2">
      <c r="A9" s="390">
        <v>15</v>
      </c>
      <c r="B9" s="391" t="s">
        <v>81</v>
      </c>
      <c r="C9" s="631">
        <v>81</v>
      </c>
      <c r="D9" t="s">
        <v>1010</v>
      </c>
      <c r="E9" s="392">
        <v>1937788</v>
      </c>
      <c r="F9" s="392">
        <v>110133</v>
      </c>
      <c r="G9" s="392">
        <v>426291</v>
      </c>
      <c r="H9" s="392">
        <v>0</v>
      </c>
      <c r="I9" s="392">
        <v>0</v>
      </c>
      <c r="J9" s="392">
        <v>0</v>
      </c>
      <c r="K9" s="392">
        <v>185864</v>
      </c>
      <c r="L9" s="392">
        <v>45185</v>
      </c>
      <c r="M9" s="392">
        <v>0</v>
      </c>
      <c r="N9" s="392">
        <v>628200</v>
      </c>
      <c r="O9" s="392">
        <v>1043</v>
      </c>
      <c r="P9" s="392">
        <v>0</v>
      </c>
      <c r="Q9" s="392">
        <v>3334505</v>
      </c>
      <c r="R9" s="392">
        <v>3730946</v>
      </c>
      <c r="S9" s="392">
        <v>76356</v>
      </c>
      <c r="T9" s="392">
        <v>484684</v>
      </c>
      <c r="U9" s="392">
        <v>307129</v>
      </c>
      <c r="V9" s="392">
        <v>2964</v>
      </c>
      <c r="W9" s="392">
        <v>341116</v>
      </c>
      <c r="X9" s="392">
        <v>158372</v>
      </c>
      <c r="Y9" s="392">
        <v>506537</v>
      </c>
      <c r="Z9" s="392">
        <v>0</v>
      </c>
      <c r="AA9" s="392">
        <v>7644404</v>
      </c>
      <c r="AB9" s="392">
        <v>0</v>
      </c>
      <c r="AC9" s="392">
        <v>1610709</v>
      </c>
      <c r="AD9" s="392">
        <v>62037</v>
      </c>
      <c r="AE9" s="392">
        <v>196004</v>
      </c>
      <c r="AF9" s="392">
        <v>638038</v>
      </c>
      <c r="AG9" s="392">
        <v>15759296</v>
      </c>
      <c r="AH9" s="392">
        <v>0</v>
      </c>
      <c r="AI9" s="392">
        <v>837778</v>
      </c>
      <c r="AJ9" s="392">
        <v>0</v>
      </c>
      <c r="AK9" s="392">
        <v>16597075</v>
      </c>
      <c r="AL9" s="392">
        <v>2727800</v>
      </c>
      <c r="AM9" s="392">
        <v>8765377</v>
      </c>
      <c r="AN9" s="392">
        <v>197825</v>
      </c>
      <c r="AO9" s="392">
        <v>472281</v>
      </c>
      <c r="AP9" s="392">
        <v>258810</v>
      </c>
      <c r="AQ9" s="392">
        <v>923680</v>
      </c>
      <c r="AR9" s="392">
        <v>230485</v>
      </c>
      <c r="AS9" s="392">
        <v>1052331</v>
      </c>
      <c r="AT9" s="392">
        <v>714886</v>
      </c>
      <c r="AU9" s="392">
        <v>716385</v>
      </c>
      <c r="AV9" s="392">
        <v>390486</v>
      </c>
      <c r="AW9" s="392">
        <v>800976</v>
      </c>
      <c r="AX9" s="392">
        <v>487477</v>
      </c>
      <c r="AY9" s="786">
        <v>979371</v>
      </c>
      <c r="AZ9" s="392">
        <v>3334505</v>
      </c>
      <c r="BA9" s="639">
        <f>SUM(SNAMEB[[#This Row],[Instruction Expenditures]:[Transfers Out/OtherFinancing]])+SUM(SNAMEB[[#This Row],[General Fund Balance]:[Other Enterprise FundBalance]])</f>
        <v>19324874</v>
      </c>
      <c r="BB9" s="639">
        <f>SUM(SNAMEB[[#This Row],[Property Tax Revenue]:[IDEA/Other Fed Revenue]])+SNAMEB[General Long-term DebtProceeds]+SNAMEB[TransfersIn/Other Financing]+SNAMEB[Fixed Asset Disposition]+SNAMEB[Beginning Fund Balance]</f>
        <v>19324874</v>
      </c>
    </row>
    <row r="10" spans="1:54" x14ac:dyDescent="0.2">
      <c r="A10" s="390">
        <v>10</v>
      </c>
      <c r="B10" s="391" t="s">
        <v>82</v>
      </c>
      <c r="C10" s="631">
        <v>99</v>
      </c>
      <c r="D10" t="s">
        <v>1011</v>
      </c>
      <c r="E10" s="392">
        <v>2295318</v>
      </c>
      <c r="F10" s="392">
        <v>81530</v>
      </c>
      <c r="G10" s="392">
        <v>99437</v>
      </c>
      <c r="H10" s="392">
        <v>0</v>
      </c>
      <c r="I10" s="392">
        <v>16889</v>
      </c>
      <c r="J10" s="392">
        <v>0</v>
      </c>
      <c r="K10" s="392">
        <v>121319</v>
      </c>
      <c r="L10" s="392">
        <v>192754</v>
      </c>
      <c r="M10" s="392">
        <v>861178</v>
      </c>
      <c r="N10" s="392">
        <v>345367</v>
      </c>
      <c r="O10" s="392">
        <v>-9562</v>
      </c>
      <c r="P10" s="392">
        <v>0</v>
      </c>
      <c r="Q10" s="392">
        <v>4004231</v>
      </c>
      <c r="R10" s="392">
        <v>3256843</v>
      </c>
      <c r="S10" s="392">
        <v>58928</v>
      </c>
      <c r="T10" s="392">
        <v>0</v>
      </c>
      <c r="U10" s="392">
        <v>1064303</v>
      </c>
      <c r="V10" s="392">
        <v>8435</v>
      </c>
      <c r="W10" s="392">
        <v>182197</v>
      </c>
      <c r="X10" s="392">
        <v>322599</v>
      </c>
      <c r="Y10" s="392">
        <v>248066</v>
      </c>
      <c r="Z10" s="392">
        <v>0</v>
      </c>
      <c r="AA10" s="392">
        <v>2912877</v>
      </c>
      <c r="AB10" s="392">
        <v>0</v>
      </c>
      <c r="AC10" s="392">
        <v>537275</v>
      </c>
      <c r="AD10" s="392">
        <v>36103</v>
      </c>
      <c r="AE10" s="392">
        <v>34395</v>
      </c>
      <c r="AF10" s="392">
        <v>201201</v>
      </c>
      <c r="AG10" s="392">
        <v>8863221</v>
      </c>
      <c r="AH10" s="392">
        <v>4655000</v>
      </c>
      <c r="AI10" s="392">
        <v>4790772</v>
      </c>
      <c r="AJ10" s="392">
        <v>2000</v>
      </c>
      <c r="AK10" s="392">
        <v>18310992</v>
      </c>
      <c r="AL10" s="392">
        <v>2030553</v>
      </c>
      <c r="AM10" s="392">
        <v>4393858</v>
      </c>
      <c r="AN10" s="392">
        <v>172280</v>
      </c>
      <c r="AO10" s="392">
        <v>235536</v>
      </c>
      <c r="AP10" s="392">
        <v>345446</v>
      </c>
      <c r="AQ10" s="392">
        <v>328641</v>
      </c>
      <c r="AR10" s="392">
        <v>94172</v>
      </c>
      <c r="AS10" s="392">
        <v>707499</v>
      </c>
      <c r="AT10" s="392">
        <v>329287</v>
      </c>
      <c r="AU10" s="392">
        <v>300822</v>
      </c>
      <c r="AV10" s="392">
        <v>3555269</v>
      </c>
      <c r="AW10" s="392">
        <v>865917</v>
      </c>
      <c r="AX10" s="392">
        <v>217815</v>
      </c>
      <c r="AY10" s="786">
        <v>4790772</v>
      </c>
      <c r="AZ10" s="392">
        <v>4004231</v>
      </c>
      <c r="BA10" s="639">
        <f>SUM(SNAMEB[[#This Row],[Instruction Expenditures]:[Transfers Out/OtherFinancing]])+SUM(SNAMEB[[#This Row],[General Fund Balance]:[Other Enterprise FundBalance]])</f>
        <v>20341544</v>
      </c>
      <c r="BB10" s="639">
        <f>SUM(SNAMEB[[#This Row],[Property Tax Revenue]:[IDEA/Other Fed Revenue]])+SNAMEB[General Long-term DebtProceeds]+SNAMEB[TransfersIn/Other Financing]+SNAMEB[Fixed Asset Disposition]+SNAMEB[Beginning Fund Balance]</f>
        <v>20341547</v>
      </c>
    </row>
    <row r="11" spans="1:54" x14ac:dyDescent="0.2">
      <c r="A11" s="390">
        <v>7</v>
      </c>
      <c r="B11" s="391" t="s">
        <v>83</v>
      </c>
      <c r="C11" s="631">
        <v>108</v>
      </c>
      <c r="D11" t="s">
        <v>1012</v>
      </c>
      <c r="E11" s="392">
        <v>1295645</v>
      </c>
      <c r="F11" s="392">
        <v>11833</v>
      </c>
      <c r="G11" s="392">
        <v>136131</v>
      </c>
      <c r="H11" s="392">
        <v>0</v>
      </c>
      <c r="I11" s="392">
        <v>0</v>
      </c>
      <c r="J11" s="392">
        <v>0</v>
      </c>
      <c r="K11" s="392">
        <v>250069</v>
      </c>
      <c r="L11" s="392">
        <v>67944</v>
      </c>
      <c r="M11" s="392">
        <v>0</v>
      </c>
      <c r="N11" s="392">
        <v>0</v>
      </c>
      <c r="O11" s="392">
        <v>-22347</v>
      </c>
      <c r="P11" s="392">
        <v>0</v>
      </c>
      <c r="Q11" s="392">
        <v>1739274</v>
      </c>
      <c r="R11" s="392">
        <v>1186484</v>
      </c>
      <c r="S11" s="392">
        <v>23449</v>
      </c>
      <c r="T11" s="392">
        <v>103522</v>
      </c>
      <c r="U11" s="392">
        <v>629711</v>
      </c>
      <c r="V11" s="392">
        <v>3128</v>
      </c>
      <c r="W11" s="392">
        <v>70703</v>
      </c>
      <c r="X11" s="392">
        <v>21820</v>
      </c>
      <c r="Y11" s="392">
        <v>72367</v>
      </c>
      <c r="Z11" s="392">
        <v>0</v>
      </c>
      <c r="AA11" s="392">
        <v>1388796</v>
      </c>
      <c r="AB11" s="392">
        <v>0</v>
      </c>
      <c r="AC11" s="392">
        <v>328021</v>
      </c>
      <c r="AD11" s="392">
        <v>16347</v>
      </c>
      <c r="AE11" s="392">
        <v>46510</v>
      </c>
      <c r="AF11" s="392">
        <v>130003</v>
      </c>
      <c r="AG11" s="392">
        <v>4020862</v>
      </c>
      <c r="AH11" s="392">
        <v>200000</v>
      </c>
      <c r="AI11" s="392">
        <v>27545</v>
      </c>
      <c r="AJ11" s="392">
        <v>0</v>
      </c>
      <c r="AK11" s="392">
        <v>4248406</v>
      </c>
      <c r="AL11" s="392">
        <v>1561990</v>
      </c>
      <c r="AM11" s="392">
        <v>2388839</v>
      </c>
      <c r="AN11" s="392">
        <v>73632</v>
      </c>
      <c r="AO11" s="392">
        <v>149581</v>
      </c>
      <c r="AP11" s="392">
        <v>114830</v>
      </c>
      <c r="AQ11" s="392">
        <v>175222</v>
      </c>
      <c r="AR11" s="392">
        <v>43466</v>
      </c>
      <c r="AS11" s="392">
        <v>287805</v>
      </c>
      <c r="AT11" s="392">
        <v>141370</v>
      </c>
      <c r="AU11" s="392">
        <v>150018</v>
      </c>
      <c r="AV11" s="392">
        <v>438375</v>
      </c>
      <c r="AW11" s="392">
        <v>0</v>
      </c>
      <c r="AX11" s="392">
        <v>107984</v>
      </c>
      <c r="AY11" s="786">
        <v>0</v>
      </c>
      <c r="AZ11" s="392">
        <v>1739274</v>
      </c>
      <c r="BA11" s="639">
        <f>SUM(SNAMEB[[#This Row],[Instruction Expenditures]:[Transfers Out/OtherFinancing]])+SUM(SNAMEB[[#This Row],[General Fund Balance]:[Other Enterprise FundBalance]])</f>
        <v>5810397</v>
      </c>
      <c r="BB11" s="639">
        <f>SUM(SNAMEB[[#This Row],[Property Tax Revenue]:[IDEA/Other Fed Revenue]])+SNAMEB[General Long-term DebtProceeds]+SNAMEB[TransfersIn/Other Financing]+SNAMEB[Fixed Asset Disposition]+SNAMEB[Beginning Fund Balance]</f>
        <v>5810396</v>
      </c>
    </row>
    <row r="12" spans="1:54" x14ac:dyDescent="0.2">
      <c r="A12" s="390">
        <v>5</v>
      </c>
      <c r="B12" s="391" t="s">
        <v>84</v>
      </c>
      <c r="C12" s="631">
        <v>126</v>
      </c>
      <c r="D12" t="s">
        <v>1013</v>
      </c>
      <c r="E12" s="392">
        <v>2754951</v>
      </c>
      <c r="F12" s="392">
        <v>213846</v>
      </c>
      <c r="G12" s="392">
        <v>694853</v>
      </c>
      <c r="H12" s="392">
        <v>0</v>
      </c>
      <c r="I12" s="392">
        <v>0</v>
      </c>
      <c r="J12" s="392">
        <v>0</v>
      </c>
      <c r="K12" s="392">
        <v>4100444</v>
      </c>
      <c r="L12" s="392">
        <v>362359</v>
      </c>
      <c r="M12" s="392">
        <v>0</v>
      </c>
      <c r="N12" s="392">
        <v>756329</v>
      </c>
      <c r="O12" s="392">
        <v>69352</v>
      </c>
      <c r="P12" s="392">
        <v>33051</v>
      </c>
      <c r="Q12" s="392">
        <v>8985185</v>
      </c>
      <c r="R12" s="392">
        <v>7109912</v>
      </c>
      <c r="S12" s="392">
        <v>114533</v>
      </c>
      <c r="T12" s="392">
        <v>618182</v>
      </c>
      <c r="U12" s="392">
        <v>1443744</v>
      </c>
      <c r="V12" s="392">
        <v>3137</v>
      </c>
      <c r="W12" s="392">
        <v>400803</v>
      </c>
      <c r="X12" s="392">
        <v>420113</v>
      </c>
      <c r="Y12" s="392">
        <v>1865602</v>
      </c>
      <c r="Z12" s="392">
        <v>0</v>
      </c>
      <c r="AA12" s="392">
        <v>7449493</v>
      </c>
      <c r="AB12" s="392">
        <v>0</v>
      </c>
      <c r="AC12" s="392">
        <v>1465716</v>
      </c>
      <c r="AD12" s="392">
        <v>156269</v>
      </c>
      <c r="AE12" s="392">
        <v>176669</v>
      </c>
      <c r="AF12" s="392">
        <v>552666</v>
      </c>
      <c r="AG12" s="392">
        <v>21776839</v>
      </c>
      <c r="AH12" s="392">
        <v>12846866</v>
      </c>
      <c r="AI12" s="392">
        <v>1617064</v>
      </c>
      <c r="AJ12" s="392">
        <v>1725</v>
      </c>
      <c r="AK12" s="392">
        <v>36242494</v>
      </c>
      <c r="AL12" s="392">
        <v>8580124</v>
      </c>
      <c r="AM12" s="392">
        <v>12322615</v>
      </c>
      <c r="AN12" s="392">
        <v>402325</v>
      </c>
      <c r="AO12" s="392">
        <v>418421</v>
      </c>
      <c r="AP12" s="392">
        <v>267129</v>
      </c>
      <c r="AQ12" s="392">
        <v>771169</v>
      </c>
      <c r="AR12" s="392">
        <v>222979</v>
      </c>
      <c r="AS12" s="392">
        <v>1921499</v>
      </c>
      <c r="AT12" s="392">
        <v>625935</v>
      </c>
      <c r="AU12" s="392">
        <v>756561</v>
      </c>
      <c r="AV12" s="392">
        <v>5830798</v>
      </c>
      <c r="AW12" s="392">
        <v>10324782</v>
      </c>
      <c r="AX12" s="392">
        <v>611066</v>
      </c>
      <c r="AY12" s="786">
        <v>1362152</v>
      </c>
      <c r="AZ12" s="392">
        <v>8985185</v>
      </c>
      <c r="BA12" s="639">
        <f>SUM(SNAMEB[[#This Row],[Instruction Expenditures]:[Transfers Out/OtherFinancing]])+SUM(SNAMEB[[#This Row],[General Fund Balance]:[Other Enterprise FundBalance]])</f>
        <v>44822616</v>
      </c>
      <c r="BB12" s="639">
        <f>SUM(SNAMEB[[#This Row],[Property Tax Revenue]:[IDEA/Other Fed Revenue]])+SNAMEB[General Long-term DebtProceeds]+SNAMEB[TransfersIn/Other Financing]+SNAMEB[Fixed Asset Disposition]+SNAMEB[Beginning Fund Balance]</f>
        <v>44822618</v>
      </c>
    </row>
    <row r="13" spans="1:54" x14ac:dyDescent="0.2">
      <c r="A13" s="390">
        <v>1</v>
      </c>
      <c r="B13" s="391" t="s">
        <v>85</v>
      </c>
      <c r="C13" s="631">
        <v>135</v>
      </c>
      <c r="D13" t="s">
        <v>1014</v>
      </c>
      <c r="E13" s="392">
        <v>6160471</v>
      </c>
      <c r="F13" s="392">
        <v>147980</v>
      </c>
      <c r="G13" s="392">
        <v>636071</v>
      </c>
      <c r="H13" s="392">
        <v>0</v>
      </c>
      <c r="I13" s="392">
        <v>0</v>
      </c>
      <c r="J13" s="392">
        <v>0</v>
      </c>
      <c r="K13" s="392">
        <v>2583560</v>
      </c>
      <c r="L13" s="392">
        <v>933611</v>
      </c>
      <c r="M13" s="392">
        <v>0</v>
      </c>
      <c r="N13" s="392">
        <v>19782</v>
      </c>
      <c r="O13" s="392">
        <v>650153</v>
      </c>
      <c r="P13" s="392">
        <v>57504</v>
      </c>
      <c r="Q13" s="392">
        <v>11189133</v>
      </c>
      <c r="R13" s="392">
        <v>4609887</v>
      </c>
      <c r="S13" s="392">
        <v>54701</v>
      </c>
      <c r="T13" s="392">
        <v>447634</v>
      </c>
      <c r="U13" s="392">
        <v>400742</v>
      </c>
      <c r="V13" s="392">
        <v>55827</v>
      </c>
      <c r="W13" s="392">
        <v>372195</v>
      </c>
      <c r="X13" s="392">
        <v>196386</v>
      </c>
      <c r="Y13" s="392">
        <v>749628</v>
      </c>
      <c r="Z13" s="392">
        <v>0</v>
      </c>
      <c r="AA13" s="392">
        <v>6276493</v>
      </c>
      <c r="AB13" s="392">
        <v>0</v>
      </c>
      <c r="AC13" s="392">
        <v>1110020</v>
      </c>
      <c r="AD13" s="392">
        <v>73347</v>
      </c>
      <c r="AE13" s="392">
        <v>248469</v>
      </c>
      <c r="AF13" s="392">
        <v>1220607</v>
      </c>
      <c r="AG13" s="392">
        <v>15815936</v>
      </c>
      <c r="AH13" s="392">
        <v>0</v>
      </c>
      <c r="AI13" s="392">
        <v>500000</v>
      </c>
      <c r="AJ13" s="392">
        <v>0</v>
      </c>
      <c r="AK13" s="392">
        <v>16315936</v>
      </c>
      <c r="AL13" s="392">
        <v>16741151</v>
      </c>
      <c r="AM13" s="392">
        <v>7936507</v>
      </c>
      <c r="AN13" s="392">
        <v>586294</v>
      </c>
      <c r="AO13" s="392">
        <v>628765</v>
      </c>
      <c r="AP13" s="392">
        <v>462500</v>
      </c>
      <c r="AQ13" s="392">
        <v>725641</v>
      </c>
      <c r="AR13" s="392">
        <v>208794</v>
      </c>
      <c r="AS13" s="392">
        <v>1193798</v>
      </c>
      <c r="AT13" s="392">
        <v>961167</v>
      </c>
      <c r="AU13" s="392">
        <v>765190</v>
      </c>
      <c r="AV13" s="392">
        <v>729514</v>
      </c>
      <c r="AW13" s="392">
        <v>6658780</v>
      </c>
      <c r="AX13" s="392">
        <v>502002</v>
      </c>
      <c r="AY13" s="786">
        <v>509002</v>
      </c>
      <c r="AZ13" s="392">
        <v>11189133</v>
      </c>
      <c r="BA13" s="639">
        <f>SUM(SNAMEB[[#This Row],[Instruction Expenditures]:[Transfers Out/OtherFinancing]])+SUM(SNAMEB[[#This Row],[General Fund Balance]:[Other Enterprise FundBalance]])</f>
        <v>33057086</v>
      </c>
      <c r="BB13" s="639">
        <f>SUM(SNAMEB[[#This Row],[Property Tax Revenue]:[IDEA/Other Fed Revenue]])+SNAMEB[General Long-term DebtProceeds]+SNAMEB[TransfersIn/Other Financing]+SNAMEB[Fixed Asset Disposition]+SNAMEB[Beginning Fund Balance]</f>
        <v>33057087</v>
      </c>
    </row>
    <row r="14" spans="1:54" x14ac:dyDescent="0.2">
      <c r="A14" s="390">
        <v>5</v>
      </c>
      <c r="B14" s="391" t="s">
        <v>87</v>
      </c>
      <c r="C14" s="631">
        <v>171</v>
      </c>
      <c r="D14" t="s">
        <v>1015</v>
      </c>
      <c r="E14" s="392">
        <v>1891155</v>
      </c>
      <c r="F14" s="392">
        <v>87747</v>
      </c>
      <c r="G14" s="392">
        <v>740948</v>
      </c>
      <c r="H14" s="392">
        <v>0</v>
      </c>
      <c r="I14" s="392">
        <v>0</v>
      </c>
      <c r="J14" s="392">
        <v>0</v>
      </c>
      <c r="K14" s="392">
        <v>1271789</v>
      </c>
      <c r="L14" s="392">
        <v>95054</v>
      </c>
      <c r="M14" s="392">
        <v>0</v>
      </c>
      <c r="N14" s="392">
        <v>272285</v>
      </c>
      <c r="O14" s="392">
        <v>112007</v>
      </c>
      <c r="P14" s="392">
        <v>0</v>
      </c>
      <c r="Q14" s="392">
        <v>4470985</v>
      </c>
      <c r="R14" s="392">
        <v>2489557</v>
      </c>
      <c r="S14" s="392">
        <v>36892</v>
      </c>
      <c r="T14" s="392">
        <v>226163</v>
      </c>
      <c r="U14" s="392">
        <v>756150</v>
      </c>
      <c r="V14" s="392">
        <v>3557</v>
      </c>
      <c r="W14" s="392">
        <v>112654</v>
      </c>
      <c r="X14" s="392">
        <v>176301</v>
      </c>
      <c r="Y14" s="392">
        <v>262128</v>
      </c>
      <c r="Z14" s="392">
        <v>0</v>
      </c>
      <c r="AA14" s="392">
        <v>2785997</v>
      </c>
      <c r="AB14" s="392">
        <v>0</v>
      </c>
      <c r="AC14" s="392">
        <v>561478</v>
      </c>
      <c r="AD14" s="392">
        <v>78302</v>
      </c>
      <c r="AE14" s="392">
        <v>116453</v>
      </c>
      <c r="AF14" s="392">
        <v>293264</v>
      </c>
      <c r="AG14" s="392">
        <v>7898895</v>
      </c>
      <c r="AH14" s="392">
        <v>0</v>
      </c>
      <c r="AI14" s="392">
        <v>296273</v>
      </c>
      <c r="AJ14" s="392">
        <v>690</v>
      </c>
      <c r="AK14" s="392">
        <v>8195858</v>
      </c>
      <c r="AL14" s="392">
        <v>4294322</v>
      </c>
      <c r="AM14" s="392">
        <v>4629046</v>
      </c>
      <c r="AN14" s="392">
        <v>60950</v>
      </c>
      <c r="AO14" s="392">
        <v>188104</v>
      </c>
      <c r="AP14" s="392">
        <v>253360</v>
      </c>
      <c r="AQ14" s="392">
        <v>257738</v>
      </c>
      <c r="AR14" s="392">
        <v>69629</v>
      </c>
      <c r="AS14" s="392">
        <v>769384</v>
      </c>
      <c r="AT14" s="392">
        <v>252937</v>
      </c>
      <c r="AU14" s="392">
        <v>322025</v>
      </c>
      <c r="AV14" s="392">
        <v>157110</v>
      </c>
      <c r="AW14" s="392">
        <v>556723</v>
      </c>
      <c r="AX14" s="392">
        <v>210899</v>
      </c>
      <c r="AY14" s="786">
        <v>291290</v>
      </c>
      <c r="AZ14" s="392">
        <v>4470985</v>
      </c>
      <c r="BA14" s="639">
        <f>SUM(SNAMEB[[#This Row],[Instruction Expenditures]:[Transfers Out/OtherFinancing]])+SUM(SNAMEB[[#This Row],[General Fund Balance]:[Other Enterprise FundBalance]])</f>
        <v>12490180</v>
      </c>
      <c r="BB14" s="639">
        <f>SUM(SNAMEB[[#This Row],[Property Tax Revenue]:[IDEA/Other Fed Revenue]])+SNAMEB[General Long-term DebtProceeds]+SNAMEB[TransfersIn/Other Financing]+SNAMEB[Fixed Asset Disposition]+SNAMEB[Beginning Fund Balance]</f>
        <v>12490181</v>
      </c>
    </row>
    <row r="15" spans="1:54" x14ac:dyDescent="0.2">
      <c r="A15" s="390">
        <v>11</v>
      </c>
      <c r="B15" s="391" t="s">
        <v>88</v>
      </c>
      <c r="C15" s="632">
        <v>225</v>
      </c>
      <c r="D15" t="s">
        <v>1016</v>
      </c>
      <c r="E15" s="392">
        <v>7806884</v>
      </c>
      <c r="F15" s="392">
        <v>181229</v>
      </c>
      <c r="G15" s="392">
        <v>6001692</v>
      </c>
      <c r="H15" s="392">
        <v>0</v>
      </c>
      <c r="I15" s="392">
        <v>0</v>
      </c>
      <c r="J15" s="392">
        <v>0</v>
      </c>
      <c r="K15" s="392">
        <v>5029557</v>
      </c>
      <c r="L15" s="392">
        <v>5387578</v>
      </c>
      <c r="M15" s="392">
        <v>0</v>
      </c>
      <c r="N15" s="392">
        <v>1727338</v>
      </c>
      <c r="O15" s="392">
        <v>615317</v>
      </c>
      <c r="P15" s="392">
        <v>0</v>
      </c>
      <c r="Q15" s="392">
        <v>26749594</v>
      </c>
      <c r="R15" s="392">
        <v>32065543</v>
      </c>
      <c r="S15" s="392">
        <v>106536</v>
      </c>
      <c r="T15" s="392">
        <v>1969986</v>
      </c>
      <c r="U15" s="392">
        <v>3951291</v>
      </c>
      <c r="V15" s="392">
        <v>82754</v>
      </c>
      <c r="W15" s="392">
        <v>689407</v>
      </c>
      <c r="X15" s="392">
        <v>878713</v>
      </c>
      <c r="Y15" s="392">
        <v>1126732</v>
      </c>
      <c r="Z15" s="392">
        <v>0</v>
      </c>
      <c r="AA15" s="392">
        <v>17958805</v>
      </c>
      <c r="AB15" s="392">
        <v>0</v>
      </c>
      <c r="AC15" s="392">
        <v>5764184</v>
      </c>
      <c r="AD15" s="392">
        <v>1356399</v>
      </c>
      <c r="AE15" s="392">
        <v>626538</v>
      </c>
      <c r="AF15" s="392">
        <v>1941412</v>
      </c>
      <c r="AG15" s="392">
        <v>68518300</v>
      </c>
      <c r="AH15" s="392">
        <v>10075094</v>
      </c>
      <c r="AI15" s="392">
        <v>1259715</v>
      </c>
      <c r="AJ15" s="392">
        <v>533830</v>
      </c>
      <c r="AK15" s="392">
        <v>80386940</v>
      </c>
      <c r="AL15" s="392">
        <v>43891039</v>
      </c>
      <c r="AM15" s="392">
        <v>34480506</v>
      </c>
      <c r="AN15" s="392">
        <v>1675701</v>
      </c>
      <c r="AO15" s="392">
        <v>2797343</v>
      </c>
      <c r="AP15" s="392">
        <v>1347465</v>
      </c>
      <c r="AQ15" s="392">
        <v>2381024</v>
      </c>
      <c r="AR15" s="392">
        <v>1964181</v>
      </c>
      <c r="AS15" s="392">
        <v>3941512</v>
      </c>
      <c r="AT15" s="392">
        <v>2542367</v>
      </c>
      <c r="AU15" s="392">
        <v>1521556</v>
      </c>
      <c r="AV15" s="392">
        <v>32440421</v>
      </c>
      <c r="AW15" s="392">
        <v>9538839</v>
      </c>
      <c r="AX15" s="392">
        <v>1637610</v>
      </c>
      <c r="AY15" s="786">
        <v>1259861</v>
      </c>
      <c r="AZ15" s="392">
        <v>26749594</v>
      </c>
      <c r="BA15" s="639">
        <f>SUM(SNAMEB[[#This Row],[Instruction Expenditures]:[Transfers Out/OtherFinancing]])+SUM(SNAMEB[[#This Row],[General Fund Balance]:[Other Enterprise FundBalance]])</f>
        <v>124277981</v>
      </c>
      <c r="BB15" s="639">
        <f>SUM(SNAMEB[[#This Row],[Property Tax Revenue]:[IDEA/Other Fed Revenue]])+SNAMEB[General Long-term DebtProceeds]+SNAMEB[TransfersIn/Other Financing]+SNAMEB[Fixed Asset Disposition]+SNAMEB[Beginning Fund Balance]</f>
        <v>124277978</v>
      </c>
    </row>
    <row r="16" spans="1:54" x14ac:dyDescent="0.2">
      <c r="A16" s="390">
        <v>10</v>
      </c>
      <c r="B16" s="391" t="s">
        <v>89</v>
      </c>
      <c r="C16" s="631">
        <v>234</v>
      </c>
      <c r="D16" t="s">
        <v>1017</v>
      </c>
      <c r="E16" s="392">
        <v>3248302</v>
      </c>
      <c r="F16" s="392">
        <v>198883</v>
      </c>
      <c r="G16" s="392">
        <v>201091</v>
      </c>
      <c r="H16" s="392">
        <v>0</v>
      </c>
      <c r="I16" s="392">
        <v>0</v>
      </c>
      <c r="J16" s="392">
        <v>0</v>
      </c>
      <c r="K16" s="392">
        <v>2547754</v>
      </c>
      <c r="L16" s="392">
        <v>883961</v>
      </c>
      <c r="M16" s="392">
        <v>747401</v>
      </c>
      <c r="N16" s="392">
        <v>3813065</v>
      </c>
      <c r="O16" s="392">
        <v>198535</v>
      </c>
      <c r="P16" s="392">
        <v>-135696</v>
      </c>
      <c r="Q16" s="392">
        <v>11703297</v>
      </c>
      <c r="R16" s="392">
        <v>5071052</v>
      </c>
      <c r="S16" s="392">
        <v>121820</v>
      </c>
      <c r="T16" s="392">
        <v>535783</v>
      </c>
      <c r="U16" s="392">
        <v>1005652</v>
      </c>
      <c r="V16" s="392">
        <v>59839</v>
      </c>
      <c r="W16" s="392">
        <v>380998</v>
      </c>
      <c r="X16" s="392">
        <v>456090</v>
      </c>
      <c r="Y16" s="392">
        <v>1671940</v>
      </c>
      <c r="Z16" s="392">
        <v>0</v>
      </c>
      <c r="AA16" s="392">
        <v>7413956</v>
      </c>
      <c r="AB16" s="392">
        <v>0</v>
      </c>
      <c r="AC16" s="392">
        <v>1290656</v>
      </c>
      <c r="AD16" s="392">
        <v>48670</v>
      </c>
      <c r="AE16" s="392">
        <v>180919</v>
      </c>
      <c r="AF16" s="392">
        <v>665607</v>
      </c>
      <c r="AG16" s="392">
        <v>18902982</v>
      </c>
      <c r="AH16" s="392">
        <v>0</v>
      </c>
      <c r="AI16" s="392">
        <v>898107</v>
      </c>
      <c r="AJ16" s="392">
        <v>1548</v>
      </c>
      <c r="AK16" s="392">
        <v>19802638</v>
      </c>
      <c r="AL16" s="392">
        <v>13477642</v>
      </c>
      <c r="AM16" s="392">
        <v>9426357</v>
      </c>
      <c r="AN16" s="392">
        <v>486884</v>
      </c>
      <c r="AO16" s="392">
        <v>863810</v>
      </c>
      <c r="AP16" s="392">
        <v>471995</v>
      </c>
      <c r="AQ16" s="392">
        <v>846704</v>
      </c>
      <c r="AR16" s="392">
        <v>248646</v>
      </c>
      <c r="AS16" s="392">
        <v>1176284</v>
      </c>
      <c r="AT16" s="392">
        <v>683611</v>
      </c>
      <c r="AU16" s="392">
        <v>831269</v>
      </c>
      <c r="AV16" s="392">
        <v>3500261</v>
      </c>
      <c r="AW16" s="392">
        <v>1265920</v>
      </c>
      <c r="AX16" s="392">
        <v>511786</v>
      </c>
      <c r="AY16" s="786">
        <v>1263456</v>
      </c>
      <c r="AZ16" s="392">
        <v>11703297</v>
      </c>
      <c r="BA16" s="639">
        <f>SUM(SNAMEB[[#This Row],[Instruction Expenditures]:[Transfers Out/OtherFinancing]])+SUM(SNAMEB[[#This Row],[General Fund Balance]:[Other Enterprise FundBalance]])</f>
        <v>33280279</v>
      </c>
      <c r="BB16" s="639">
        <f>SUM(SNAMEB[[#This Row],[Property Tax Revenue]:[IDEA/Other Fed Revenue]])+SNAMEB[General Long-term DebtProceeds]+SNAMEB[TransfersIn/Other Financing]+SNAMEB[Fixed Asset Disposition]+SNAMEB[Beginning Fund Balance]</f>
        <v>33280279</v>
      </c>
    </row>
    <row r="17" spans="1:54" x14ac:dyDescent="0.2">
      <c r="A17" s="390">
        <v>9</v>
      </c>
      <c r="B17" s="391" t="s">
        <v>90</v>
      </c>
      <c r="C17" s="631">
        <v>243</v>
      </c>
      <c r="D17" t="s">
        <v>1018</v>
      </c>
      <c r="E17" s="392">
        <v>1057674</v>
      </c>
      <c r="F17" s="392">
        <v>64559</v>
      </c>
      <c r="G17" s="392">
        <v>145210</v>
      </c>
      <c r="H17" s="392">
        <v>0</v>
      </c>
      <c r="I17" s="392">
        <v>0</v>
      </c>
      <c r="J17" s="392">
        <v>0</v>
      </c>
      <c r="K17" s="392">
        <v>714133</v>
      </c>
      <c r="L17" s="392">
        <v>111015</v>
      </c>
      <c r="M17" s="392">
        <v>0</v>
      </c>
      <c r="N17" s="392">
        <v>0</v>
      </c>
      <c r="O17" s="392">
        <v>-3316</v>
      </c>
      <c r="P17" s="392">
        <v>0</v>
      </c>
      <c r="Q17" s="392">
        <v>2089275</v>
      </c>
      <c r="R17" s="392">
        <v>1321640</v>
      </c>
      <c r="S17" s="392">
        <v>50701</v>
      </c>
      <c r="T17" s="392">
        <v>128762</v>
      </c>
      <c r="U17" s="392">
        <v>95490</v>
      </c>
      <c r="V17" s="392">
        <v>1002</v>
      </c>
      <c r="W17" s="392">
        <v>32701</v>
      </c>
      <c r="X17" s="392">
        <v>25470</v>
      </c>
      <c r="Y17" s="392">
        <v>186685</v>
      </c>
      <c r="Z17" s="392">
        <v>0</v>
      </c>
      <c r="AA17" s="392">
        <v>1595573</v>
      </c>
      <c r="AB17" s="392">
        <v>0</v>
      </c>
      <c r="AC17" s="392">
        <v>360781</v>
      </c>
      <c r="AD17" s="392">
        <v>5173</v>
      </c>
      <c r="AE17" s="392">
        <v>53686</v>
      </c>
      <c r="AF17" s="392">
        <v>163455</v>
      </c>
      <c r="AG17" s="392">
        <v>4021119</v>
      </c>
      <c r="AH17" s="392">
        <v>0</v>
      </c>
      <c r="AI17" s="392">
        <v>0</v>
      </c>
      <c r="AJ17" s="392">
        <v>0</v>
      </c>
      <c r="AK17" s="392">
        <v>4021119</v>
      </c>
      <c r="AL17" s="392">
        <v>1589837</v>
      </c>
      <c r="AM17" s="392">
        <v>2245268</v>
      </c>
      <c r="AN17" s="392">
        <v>66508</v>
      </c>
      <c r="AO17" s="392">
        <v>17041</v>
      </c>
      <c r="AP17" s="392">
        <v>311787</v>
      </c>
      <c r="AQ17" s="392">
        <v>134250</v>
      </c>
      <c r="AR17" s="392">
        <v>22644</v>
      </c>
      <c r="AS17" s="392">
        <v>146125</v>
      </c>
      <c r="AT17" s="392">
        <v>179255</v>
      </c>
      <c r="AU17" s="392">
        <v>100785</v>
      </c>
      <c r="AV17" s="392">
        <v>181099</v>
      </c>
      <c r="AW17" s="392">
        <v>0</v>
      </c>
      <c r="AX17" s="392">
        <v>116379</v>
      </c>
      <c r="AY17" s="786">
        <v>539</v>
      </c>
      <c r="AZ17" s="392">
        <v>2089275</v>
      </c>
      <c r="BA17" s="639">
        <f>SUM(SNAMEB[[#This Row],[Instruction Expenditures]:[Transfers Out/OtherFinancing]])+SUM(SNAMEB[[#This Row],[General Fund Balance]:[Other Enterprise FundBalance]])</f>
        <v>5610955</v>
      </c>
      <c r="BB17" s="639">
        <f>SUM(SNAMEB[[#This Row],[Property Tax Revenue]:[IDEA/Other Fed Revenue]])+SNAMEB[General Long-term DebtProceeds]+SNAMEB[TransfersIn/Other Financing]+SNAMEB[Fixed Asset Disposition]+SNAMEB[Beginning Fund Balance]</f>
        <v>5610956</v>
      </c>
    </row>
    <row r="18" spans="1:54" x14ac:dyDescent="0.2">
      <c r="A18" s="390">
        <v>11</v>
      </c>
      <c r="B18" s="391" t="s">
        <v>91</v>
      </c>
      <c r="C18" s="631">
        <v>261</v>
      </c>
      <c r="D18" t="s">
        <v>1019</v>
      </c>
      <c r="E18" s="392">
        <v>13009900</v>
      </c>
      <c r="F18" s="392">
        <v>1505746</v>
      </c>
      <c r="G18" s="392">
        <v>3986219</v>
      </c>
      <c r="H18" s="392">
        <v>0</v>
      </c>
      <c r="I18" s="392">
        <v>970294</v>
      </c>
      <c r="J18" s="392">
        <v>0</v>
      </c>
      <c r="K18" s="392">
        <v>8420632</v>
      </c>
      <c r="L18" s="392">
        <v>3768620</v>
      </c>
      <c r="M18" s="392">
        <v>0</v>
      </c>
      <c r="N18" s="392">
        <v>41772601</v>
      </c>
      <c r="O18" s="392">
        <v>906047</v>
      </c>
      <c r="P18" s="392">
        <v>974134</v>
      </c>
      <c r="Q18" s="392">
        <v>75314192</v>
      </c>
      <c r="R18" s="392">
        <v>52562295</v>
      </c>
      <c r="S18" s="392">
        <v>674641</v>
      </c>
      <c r="T18" s="392">
        <v>0</v>
      </c>
      <c r="U18" s="392">
        <v>2019267</v>
      </c>
      <c r="V18" s="392">
        <v>342400</v>
      </c>
      <c r="W18" s="392">
        <v>3778183</v>
      </c>
      <c r="X18" s="392">
        <v>2091321</v>
      </c>
      <c r="Y18" s="392">
        <v>4313486</v>
      </c>
      <c r="Z18" s="392">
        <v>137233</v>
      </c>
      <c r="AA18" s="392">
        <v>59235914</v>
      </c>
      <c r="AB18" s="392">
        <v>0</v>
      </c>
      <c r="AC18" s="392">
        <v>13570718</v>
      </c>
      <c r="AD18" s="392">
        <v>1685011</v>
      </c>
      <c r="AE18" s="392">
        <v>470633</v>
      </c>
      <c r="AF18" s="392">
        <v>3472681</v>
      </c>
      <c r="AG18" s="392">
        <v>144353784</v>
      </c>
      <c r="AH18" s="392">
        <v>0</v>
      </c>
      <c r="AI18" s="392">
        <v>8181724</v>
      </c>
      <c r="AJ18" s="392">
        <v>796561</v>
      </c>
      <c r="AK18" s="392">
        <v>153332069</v>
      </c>
      <c r="AL18" s="392">
        <v>78336354</v>
      </c>
      <c r="AM18" s="392">
        <v>72893850</v>
      </c>
      <c r="AN18" s="392">
        <v>4132076</v>
      </c>
      <c r="AO18" s="392">
        <v>6513603</v>
      </c>
      <c r="AP18" s="392">
        <v>1916444</v>
      </c>
      <c r="AQ18" s="392">
        <v>5867641</v>
      </c>
      <c r="AR18" s="392">
        <v>2611486</v>
      </c>
      <c r="AS18" s="392">
        <v>9157541</v>
      </c>
      <c r="AT18" s="392">
        <v>3790259</v>
      </c>
      <c r="AU18" s="392">
        <v>4806885</v>
      </c>
      <c r="AV18" s="392">
        <v>11836117</v>
      </c>
      <c r="AW18" s="392">
        <v>20430039</v>
      </c>
      <c r="AX18" s="392">
        <v>4267498</v>
      </c>
      <c r="AY18" s="786">
        <v>8130794</v>
      </c>
      <c r="AZ18" s="392">
        <v>75314192</v>
      </c>
      <c r="BA18" s="639">
        <f>SUM(SNAMEB[[#This Row],[Instruction Expenditures]:[Transfers Out/OtherFinancing]])+SUM(SNAMEB[[#This Row],[General Fund Balance]:[Other Enterprise FundBalance]])</f>
        <v>231668426</v>
      </c>
      <c r="BB18" s="639">
        <f>SUM(SNAMEB[[#This Row],[Property Tax Revenue]:[IDEA/Other Fed Revenue]])+SNAMEB[General Long-term DebtProceeds]+SNAMEB[TransfersIn/Other Financing]+SNAMEB[Fixed Asset Disposition]+SNAMEB[Beginning Fund Balance]</f>
        <v>231668422</v>
      </c>
    </row>
    <row r="19" spans="1:54" x14ac:dyDescent="0.2">
      <c r="A19" s="390">
        <v>7</v>
      </c>
      <c r="B19" s="391" t="s">
        <v>92</v>
      </c>
      <c r="C19" s="631">
        <v>279</v>
      </c>
      <c r="D19" t="s">
        <v>1455</v>
      </c>
      <c r="E19" s="392">
        <v>1390266</v>
      </c>
      <c r="F19" s="392">
        <v>167544</v>
      </c>
      <c r="G19" s="392">
        <v>100629</v>
      </c>
      <c r="H19" s="392">
        <v>0</v>
      </c>
      <c r="I19" s="392">
        <v>0</v>
      </c>
      <c r="J19" s="392">
        <v>11600</v>
      </c>
      <c r="K19" s="392">
        <v>571478</v>
      </c>
      <c r="L19" s="392">
        <v>42970</v>
      </c>
      <c r="M19" s="392">
        <v>0</v>
      </c>
      <c r="N19" s="392">
        <v>1333223</v>
      </c>
      <c r="O19" s="392">
        <v>-47333</v>
      </c>
      <c r="P19" s="392">
        <v>11425</v>
      </c>
      <c r="Q19" s="392">
        <v>3581801</v>
      </c>
      <c r="R19" s="392">
        <v>3248671</v>
      </c>
      <c r="S19" s="392">
        <v>204216</v>
      </c>
      <c r="T19" s="392">
        <v>311935</v>
      </c>
      <c r="U19" s="392">
        <v>330559</v>
      </c>
      <c r="V19" s="392">
        <v>17783</v>
      </c>
      <c r="W19" s="392">
        <v>300668</v>
      </c>
      <c r="X19" s="392">
        <v>299172</v>
      </c>
      <c r="Y19" s="392">
        <v>238585</v>
      </c>
      <c r="Z19" s="392">
        <v>0</v>
      </c>
      <c r="AA19" s="392">
        <v>4912082</v>
      </c>
      <c r="AB19" s="392">
        <v>0</v>
      </c>
      <c r="AC19" s="392">
        <v>832991</v>
      </c>
      <c r="AD19" s="392">
        <v>40705</v>
      </c>
      <c r="AE19" s="392">
        <v>64931</v>
      </c>
      <c r="AF19" s="392">
        <v>380453</v>
      </c>
      <c r="AG19" s="392">
        <v>11182750</v>
      </c>
      <c r="AH19" s="392">
        <v>181524</v>
      </c>
      <c r="AI19" s="392">
        <v>674133</v>
      </c>
      <c r="AJ19" s="392">
        <v>400</v>
      </c>
      <c r="AK19" s="392">
        <v>12038808</v>
      </c>
      <c r="AL19" s="392">
        <v>3556162</v>
      </c>
      <c r="AM19" s="392">
        <v>6535010</v>
      </c>
      <c r="AN19" s="392">
        <v>205195</v>
      </c>
      <c r="AO19" s="392">
        <v>484040</v>
      </c>
      <c r="AP19" s="392">
        <v>213415</v>
      </c>
      <c r="AQ19" s="392">
        <v>463237</v>
      </c>
      <c r="AR19" s="392">
        <v>120783</v>
      </c>
      <c r="AS19" s="392">
        <v>892067</v>
      </c>
      <c r="AT19" s="392">
        <v>701669</v>
      </c>
      <c r="AU19" s="392">
        <v>491934</v>
      </c>
      <c r="AV19" s="392">
        <v>111372</v>
      </c>
      <c r="AW19" s="392">
        <v>829995</v>
      </c>
      <c r="AX19" s="392">
        <v>357912</v>
      </c>
      <c r="AY19" s="786">
        <v>606538</v>
      </c>
      <c r="AZ19" s="392">
        <v>3581801</v>
      </c>
      <c r="BA19" s="639">
        <f>SUM(SNAMEB[[#This Row],[Instruction Expenditures]:[Transfers Out/OtherFinancing]])+SUM(SNAMEB[[#This Row],[General Fund Balance]:[Other Enterprise FundBalance]])</f>
        <v>15594969</v>
      </c>
      <c r="BB19" s="639">
        <f>SUM(SNAMEB[[#This Row],[Property Tax Revenue]:[IDEA/Other Fed Revenue]])+SNAMEB[General Long-term DebtProceeds]+SNAMEB[TransfersIn/Other Financing]+SNAMEB[Fixed Asset Disposition]+SNAMEB[Beginning Fund Balance]</f>
        <v>15594970</v>
      </c>
    </row>
    <row r="20" spans="1:54" x14ac:dyDescent="0.2">
      <c r="A20" s="390">
        <v>12</v>
      </c>
      <c r="B20" s="391" t="s">
        <v>94</v>
      </c>
      <c r="C20" s="631">
        <v>355</v>
      </c>
      <c r="D20" t="s">
        <v>1020</v>
      </c>
      <c r="E20" s="392">
        <v>604974</v>
      </c>
      <c r="F20" s="392">
        <v>109098</v>
      </c>
      <c r="G20" s="392">
        <v>1131036</v>
      </c>
      <c r="H20" s="392">
        <v>0</v>
      </c>
      <c r="I20" s="392">
        <v>0</v>
      </c>
      <c r="J20" s="392">
        <v>0</v>
      </c>
      <c r="K20" s="392">
        <v>668449</v>
      </c>
      <c r="L20" s="392">
        <v>525821</v>
      </c>
      <c r="M20" s="392">
        <v>0</v>
      </c>
      <c r="N20" s="392">
        <v>289828</v>
      </c>
      <c r="O20" s="392">
        <v>65252</v>
      </c>
      <c r="P20" s="392">
        <v>0</v>
      </c>
      <c r="Q20" s="392">
        <v>3394458</v>
      </c>
      <c r="R20" s="392">
        <v>2177183</v>
      </c>
      <c r="S20" s="392">
        <v>106340</v>
      </c>
      <c r="T20" s="392">
        <v>146419</v>
      </c>
      <c r="U20" s="392">
        <v>47232</v>
      </c>
      <c r="V20" s="392">
        <v>13666</v>
      </c>
      <c r="W20" s="392">
        <v>67836</v>
      </c>
      <c r="X20" s="392">
        <v>45575</v>
      </c>
      <c r="Y20" s="392">
        <v>63586</v>
      </c>
      <c r="Z20" s="392">
        <v>0</v>
      </c>
      <c r="AA20" s="392">
        <v>1015105</v>
      </c>
      <c r="AB20" s="392">
        <v>0</v>
      </c>
      <c r="AC20" s="392">
        <v>315830</v>
      </c>
      <c r="AD20" s="392">
        <v>54450</v>
      </c>
      <c r="AE20" s="392">
        <v>31071</v>
      </c>
      <c r="AF20" s="392">
        <v>113175</v>
      </c>
      <c r="AG20" s="392">
        <v>4197467</v>
      </c>
      <c r="AH20" s="392">
        <v>0</v>
      </c>
      <c r="AI20" s="392">
        <v>356093</v>
      </c>
      <c r="AJ20" s="392">
        <v>0</v>
      </c>
      <c r="AK20" s="392">
        <v>4553560</v>
      </c>
      <c r="AL20" s="392">
        <v>3205203</v>
      </c>
      <c r="AM20" s="392">
        <v>2448905</v>
      </c>
      <c r="AN20" s="392">
        <v>61324</v>
      </c>
      <c r="AO20" s="392">
        <v>13227</v>
      </c>
      <c r="AP20" s="392">
        <v>146176</v>
      </c>
      <c r="AQ20" s="392">
        <v>222403</v>
      </c>
      <c r="AR20" s="392">
        <v>86478</v>
      </c>
      <c r="AS20" s="392">
        <v>197503</v>
      </c>
      <c r="AT20" s="392">
        <v>232260</v>
      </c>
      <c r="AU20" s="392">
        <v>125275</v>
      </c>
      <c r="AV20" s="392">
        <v>7931</v>
      </c>
      <c r="AW20" s="392">
        <v>331800</v>
      </c>
      <c r="AX20" s="392">
        <v>135177</v>
      </c>
      <c r="AY20" s="786">
        <v>355845</v>
      </c>
      <c r="AZ20" s="392">
        <v>3394458</v>
      </c>
      <c r="BA20" s="639">
        <f>SUM(SNAMEB[[#This Row],[Instruction Expenditures]:[Transfers Out/OtherFinancing]])+SUM(SNAMEB[[#This Row],[General Fund Balance]:[Other Enterprise FundBalance]])</f>
        <v>7758762</v>
      </c>
      <c r="BB20" s="639">
        <f>SUM(SNAMEB[[#This Row],[Property Tax Revenue]:[IDEA/Other Fed Revenue]])+SNAMEB[General Long-term DebtProceeds]+SNAMEB[TransfersIn/Other Financing]+SNAMEB[Fixed Asset Disposition]+SNAMEB[Beginning Fund Balance]</f>
        <v>7758764</v>
      </c>
    </row>
    <row r="21" spans="1:54" x14ac:dyDescent="0.2">
      <c r="A21" s="390">
        <v>13</v>
      </c>
      <c r="B21" s="391" t="s">
        <v>95</v>
      </c>
      <c r="C21" s="631">
        <v>387</v>
      </c>
      <c r="D21" t="s">
        <v>1021</v>
      </c>
      <c r="E21" s="392">
        <v>778790</v>
      </c>
      <c r="F21" s="392">
        <v>142390</v>
      </c>
      <c r="G21" s="392">
        <v>419426</v>
      </c>
      <c r="H21" s="392">
        <v>0</v>
      </c>
      <c r="I21" s="392">
        <v>0</v>
      </c>
      <c r="J21" s="392">
        <v>0</v>
      </c>
      <c r="K21" s="392">
        <v>1004205</v>
      </c>
      <c r="L21" s="392">
        <v>872182</v>
      </c>
      <c r="M21" s="392">
        <v>0</v>
      </c>
      <c r="N21" s="392">
        <v>643008</v>
      </c>
      <c r="O21" s="392">
        <v>433674</v>
      </c>
      <c r="P21" s="392">
        <v>0</v>
      </c>
      <c r="Q21" s="392">
        <v>4293676</v>
      </c>
      <c r="R21" s="392">
        <v>6236644</v>
      </c>
      <c r="S21" s="392">
        <v>260422</v>
      </c>
      <c r="T21" s="392">
        <v>915225</v>
      </c>
      <c r="U21" s="392">
        <v>956991</v>
      </c>
      <c r="V21" s="392">
        <v>1321</v>
      </c>
      <c r="W21" s="392">
        <v>383172</v>
      </c>
      <c r="X21" s="392">
        <v>251619</v>
      </c>
      <c r="Y21" s="392">
        <v>347812</v>
      </c>
      <c r="Z21" s="392">
        <v>0</v>
      </c>
      <c r="AA21" s="392">
        <v>8850801</v>
      </c>
      <c r="AB21" s="392">
        <v>0</v>
      </c>
      <c r="AC21" s="392">
        <v>1986781</v>
      </c>
      <c r="AD21" s="392">
        <v>141335</v>
      </c>
      <c r="AE21" s="392">
        <v>330360</v>
      </c>
      <c r="AF21" s="392">
        <v>833473</v>
      </c>
      <c r="AG21" s="392">
        <v>21495956</v>
      </c>
      <c r="AH21" s="392">
        <v>0</v>
      </c>
      <c r="AI21" s="392">
        <v>714527</v>
      </c>
      <c r="AJ21" s="392">
        <v>0</v>
      </c>
      <c r="AK21" s="392">
        <v>22210483</v>
      </c>
      <c r="AL21" s="392">
        <v>2392943</v>
      </c>
      <c r="AM21" s="392">
        <v>12387995</v>
      </c>
      <c r="AN21" s="392">
        <v>488069</v>
      </c>
      <c r="AO21" s="392">
        <v>640146</v>
      </c>
      <c r="AP21" s="392">
        <v>519769</v>
      </c>
      <c r="AQ21" s="392">
        <v>905059</v>
      </c>
      <c r="AR21" s="392">
        <v>165571</v>
      </c>
      <c r="AS21" s="392">
        <v>1510435</v>
      </c>
      <c r="AT21" s="392">
        <v>498225</v>
      </c>
      <c r="AU21" s="392">
        <v>861277</v>
      </c>
      <c r="AV21" s="392">
        <v>310854</v>
      </c>
      <c r="AW21" s="392">
        <v>702555</v>
      </c>
      <c r="AX21" s="392">
        <v>611729</v>
      </c>
      <c r="AY21" s="786">
        <v>708068</v>
      </c>
      <c r="AZ21" s="392">
        <v>4293676</v>
      </c>
      <c r="BA21" s="639">
        <f>SUM(SNAMEB[[#This Row],[Instruction Expenditures]:[Transfers Out/OtherFinancing]])+SUM(SNAMEB[[#This Row],[General Fund Balance]:[Other Enterprise FundBalance]])</f>
        <v>24603427</v>
      </c>
      <c r="BB21" s="639">
        <f>SUM(SNAMEB[[#This Row],[Property Tax Revenue]:[IDEA/Other Fed Revenue]])+SNAMEB[General Long-term DebtProceeds]+SNAMEB[TransfersIn/Other Financing]+SNAMEB[Fixed Asset Disposition]+SNAMEB[Beginning Fund Balance]</f>
        <v>24603426</v>
      </c>
    </row>
    <row r="22" spans="1:54" x14ac:dyDescent="0.2">
      <c r="A22" s="390">
        <v>11</v>
      </c>
      <c r="B22" s="391" t="s">
        <v>96</v>
      </c>
      <c r="C22" s="631">
        <v>414</v>
      </c>
      <c r="D22" t="s">
        <v>1022</v>
      </c>
      <c r="E22" s="392">
        <v>1340984</v>
      </c>
      <c r="F22" s="392">
        <v>128404</v>
      </c>
      <c r="G22" s="392">
        <v>37927</v>
      </c>
      <c r="H22" s="392">
        <v>0</v>
      </c>
      <c r="I22" s="392">
        <v>0</v>
      </c>
      <c r="J22" s="392">
        <v>0</v>
      </c>
      <c r="K22" s="392">
        <v>591348</v>
      </c>
      <c r="L22" s="392">
        <v>116764</v>
      </c>
      <c r="M22" s="392">
        <v>79786</v>
      </c>
      <c r="N22" s="392">
        <v>326867</v>
      </c>
      <c r="O22" s="392">
        <v>12626</v>
      </c>
      <c r="P22" s="392">
        <v>0</v>
      </c>
      <c r="Q22" s="392">
        <v>2634705</v>
      </c>
      <c r="R22" s="392">
        <v>2558364</v>
      </c>
      <c r="S22" s="392">
        <v>45458</v>
      </c>
      <c r="T22" s="392">
        <v>316297</v>
      </c>
      <c r="U22" s="392">
        <v>372553</v>
      </c>
      <c r="V22" s="392">
        <v>1510</v>
      </c>
      <c r="W22" s="392">
        <v>197023</v>
      </c>
      <c r="X22" s="392">
        <v>302036</v>
      </c>
      <c r="Y22" s="392">
        <v>177740</v>
      </c>
      <c r="Z22" s="392">
        <v>0</v>
      </c>
      <c r="AA22" s="392">
        <v>2851804</v>
      </c>
      <c r="AB22" s="392">
        <v>0</v>
      </c>
      <c r="AC22" s="392">
        <v>669511</v>
      </c>
      <c r="AD22" s="392">
        <v>27206</v>
      </c>
      <c r="AE22" s="392">
        <v>76103</v>
      </c>
      <c r="AF22" s="392">
        <v>289449</v>
      </c>
      <c r="AG22" s="392">
        <v>7885054</v>
      </c>
      <c r="AH22" s="392">
        <v>0</v>
      </c>
      <c r="AI22" s="392">
        <v>461558</v>
      </c>
      <c r="AJ22" s="392">
        <v>11953</v>
      </c>
      <c r="AK22" s="392">
        <v>8358564</v>
      </c>
      <c r="AL22" s="392">
        <v>3156103</v>
      </c>
      <c r="AM22" s="392">
        <v>4170335</v>
      </c>
      <c r="AN22" s="392">
        <v>169162</v>
      </c>
      <c r="AO22" s="392">
        <v>410998</v>
      </c>
      <c r="AP22" s="392">
        <v>178469</v>
      </c>
      <c r="AQ22" s="392">
        <v>326777</v>
      </c>
      <c r="AR22" s="392">
        <v>155710</v>
      </c>
      <c r="AS22" s="392">
        <v>581348</v>
      </c>
      <c r="AT22" s="392">
        <v>219759</v>
      </c>
      <c r="AU22" s="392">
        <v>369426</v>
      </c>
      <c r="AV22" s="392">
        <v>978127</v>
      </c>
      <c r="AW22" s="392">
        <v>714225</v>
      </c>
      <c r="AX22" s="392">
        <v>210324</v>
      </c>
      <c r="AY22" s="786">
        <v>395302</v>
      </c>
      <c r="AZ22" s="392">
        <v>2634705</v>
      </c>
      <c r="BA22" s="639">
        <f>SUM(SNAMEB[[#This Row],[Instruction Expenditures]:[Transfers Out/OtherFinancing]])+SUM(SNAMEB[[#This Row],[General Fund Balance]:[Other Enterprise FundBalance]])</f>
        <v>11514668</v>
      </c>
      <c r="BB22" s="639">
        <f>SUM(SNAMEB[[#This Row],[Property Tax Revenue]:[IDEA/Other Fed Revenue]])+SNAMEB[General Long-term DebtProceeds]+SNAMEB[TransfersIn/Other Financing]+SNAMEB[Fixed Asset Disposition]+SNAMEB[Beginning Fund Balance]</f>
        <v>11514668</v>
      </c>
    </row>
    <row r="23" spans="1:54" x14ac:dyDescent="0.2">
      <c r="A23" s="390">
        <v>12</v>
      </c>
      <c r="B23" s="391" t="s">
        <v>97</v>
      </c>
      <c r="C23" s="631">
        <v>423</v>
      </c>
      <c r="D23" t="s">
        <v>1023</v>
      </c>
      <c r="E23" s="392">
        <v>1346283</v>
      </c>
      <c r="F23" s="392">
        <v>22796</v>
      </c>
      <c r="G23" s="392">
        <v>420590</v>
      </c>
      <c r="H23" s="392">
        <v>0</v>
      </c>
      <c r="I23" s="392">
        <v>0</v>
      </c>
      <c r="J23" s="392">
        <v>0</v>
      </c>
      <c r="K23" s="392">
        <v>283423</v>
      </c>
      <c r="L23" s="392">
        <v>545543</v>
      </c>
      <c r="M23" s="392">
        <v>0</v>
      </c>
      <c r="N23" s="392">
        <v>148251</v>
      </c>
      <c r="O23" s="392">
        <v>51055</v>
      </c>
      <c r="P23" s="392">
        <v>0</v>
      </c>
      <c r="Q23" s="392">
        <v>2817942</v>
      </c>
      <c r="R23" s="392">
        <v>1540042</v>
      </c>
      <c r="S23" s="392">
        <v>20769</v>
      </c>
      <c r="T23" s="392">
        <v>101031</v>
      </c>
      <c r="U23" s="392">
        <v>531740</v>
      </c>
      <c r="V23" s="392">
        <v>2621</v>
      </c>
      <c r="W23" s="392">
        <v>71184</v>
      </c>
      <c r="X23" s="392">
        <v>11257</v>
      </c>
      <c r="Y23" s="392">
        <v>108924</v>
      </c>
      <c r="Z23" s="392">
        <v>0</v>
      </c>
      <c r="AA23" s="392">
        <v>1078316</v>
      </c>
      <c r="AB23" s="392">
        <v>0</v>
      </c>
      <c r="AC23" s="392">
        <v>269343</v>
      </c>
      <c r="AD23" s="392">
        <v>24170</v>
      </c>
      <c r="AE23" s="392">
        <v>38015</v>
      </c>
      <c r="AF23" s="392">
        <v>128649</v>
      </c>
      <c r="AG23" s="392">
        <v>3926062</v>
      </c>
      <c r="AH23" s="392">
        <v>0</v>
      </c>
      <c r="AI23" s="392">
        <v>177900</v>
      </c>
      <c r="AJ23" s="392">
        <v>0</v>
      </c>
      <c r="AK23" s="392">
        <v>4103962</v>
      </c>
      <c r="AL23" s="392">
        <v>2933411</v>
      </c>
      <c r="AM23" s="392">
        <v>2363073</v>
      </c>
      <c r="AN23" s="392">
        <v>104962</v>
      </c>
      <c r="AO23" s="392">
        <v>55709</v>
      </c>
      <c r="AP23" s="392">
        <v>130351</v>
      </c>
      <c r="AQ23" s="392">
        <v>135339</v>
      </c>
      <c r="AR23" s="392">
        <v>79293</v>
      </c>
      <c r="AS23" s="392">
        <v>424171</v>
      </c>
      <c r="AT23" s="392">
        <v>269338</v>
      </c>
      <c r="AU23" s="392">
        <v>195035</v>
      </c>
      <c r="AV23" s="392">
        <v>20106</v>
      </c>
      <c r="AW23" s="392">
        <v>159375</v>
      </c>
      <c r="AX23" s="392">
        <v>104778</v>
      </c>
      <c r="AY23" s="786">
        <v>177900</v>
      </c>
      <c r="AZ23" s="392">
        <v>2817942</v>
      </c>
      <c r="BA23" s="639">
        <f>SUM(SNAMEB[[#This Row],[Instruction Expenditures]:[Transfers Out/OtherFinancing]])+SUM(SNAMEB[[#This Row],[General Fund Balance]:[Other Enterprise FundBalance]])</f>
        <v>7037371</v>
      </c>
      <c r="BB23" s="639">
        <f>SUM(SNAMEB[[#This Row],[Property Tax Revenue]:[IDEA/Other Fed Revenue]])+SNAMEB[General Long-term DebtProceeds]+SNAMEB[TransfersIn/Other Financing]+SNAMEB[Fixed Asset Disposition]+SNAMEB[Beginning Fund Balance]</f>
        <v>7037372</v>
      </c>
    </row>
    <row r="24" spans="1:54" x14ac:dyDescent="0.2">
      <c r="A24" s="390">
        <v>11</v>
      </c>
      <c r="B24" s="391" t="s">
        <v>98</v>
      </c>
      <c r="C24" s="631">
        <v>472</v>
      </c>
      <c r="D24" t="s">
        <v>1024</v>
      </c>
      <c r="E24" s="392">
        <v>4177539</v>
      </c>
      <c r="F24" s="392">
        <v>252936</v>
      </c>
      <c r="G24" s="392">
        <v>846767</v>
      </c>
      <c r="H24" s="392">
        <v>0</v>
      </c>
      <c r="I24" s="392">
        <v>0</v>
      </c>
      <c r="J24" s="392">
        <v>0</v>
      </c>
      <c r="K24" s="392">
        <v>1867106</v>
      </c>
      <c r="L24" s="392">
        <v>110545</v>
      </c>
      <c r="M24" s="392">
        <v>0</v>
      </c>
      <c r="N24" s="392">
        <v>83701</v>
      </c>
      <c r="O24" s="392">
        <v>34672</v>
      </c>
      <c r="P24" s="392">
        <v>0</v>
      </c>
      <c r="Q24" s="392">
        <v>7373267</v>
      </c>
      <c r="R24" s="392">
        <v>6680308</v>
      </c>
      <c r="S24" s="392">
        <v>169527</v>
      </c>
      <c r="T24" s="392">
        <v>186063</v>
      </c>
      <c r="U24" s="392">
        <v>1075014</v>
      </c>
      <c r="V24" s="392">
        <v>31005</v>
      </c>
      <c r="W24" s="392">
        <v>508328</v>
      </c>
      <c r="X24" s="392">
        <v>428443</v>
      </c>
      <c r="Y24" s="392">
        <v>409704</v>
      </c>
      <c r="Z24" s="392">
        <v>0</v>
      </c>
      <c r="AA24" s="392">
        <v>10820570</v>
      </c>
      <c r="AB24" s="392">
        <v>0</v>
      </c>
      <c r="AC24" s="392">
        <v>1611913</v>
      </c>
      <c r="AD24" s="392">
        <v>145326</v>
      </c>
      <c r="AE24" s="392">
        <v>119386</v>
      </c>
      <c r="AF24" s="392">
        <v>453535</v>
      </c>
      <c r="AG24" s="392">
        <v>22639122</v>
      </c>
      <c r="AH24" s="392">
        <v>18014695</v>
      </c>
      <c r="AI24" s="392">
        <v>2253193</v>
      </c>
      <c r="AJ24" s="392">
        <v>0</v>
      </c>
      <c r="AK24" s="392">
        <v>42907011</v>
      </c>
      <c r="AL24" s="392">
        <v>6545523</v>
      </c>
      <c r="AM24" s="392">
        <v>11145313</v>
      </c>
      <c r="AN24" s="392">
        <v>571116</v>
      </c>
      <c r="AO24" s="392">
        <v>794720</v>
      </c>
      <c r="AP24" s="392">
        <v>1084156</v>
      </c>
      <c r="AQ24" s="392">
        <v>971050</v>
      </c>
      <c r="AR24" s="392">
        <v>465573</v>
      </c>
      <c r="AS24" s="392">
        <v>1724316</v>
      </c>
      <c r="AT24" s="392">
        <v>808515</v>
      </c>
      <c r="AU24" s="392">
        <v>358360</v>
      </c>
      <c r="AV24" s="392">
        <v>4220</v>
      </c>
      <c r="AW24" s="392">
        <v>21239325</v>
      </c>
      <c r="AX24" s="392">
        <v>659409</v>
      </c>
      <c r="AY24" s="786">
        <v>2253193</v>
      </c>
      <c r="AZ24" s="392">
        <v>7373267</v>
      </c>
      <c r="BA24" s="639">
        <f>SUM(SNAMEB[[#This Row],[Instruction Expenditures]:[Transfers Out/OtherFinancing]])+SUM(SNAMEB[[#This Row],[General Fund Balance]:[Other Enterprise FundBalance]])</f>
        <v>49452532</v>
      </c>
      <c r="BB24" s="639">
        <f>SUM(SNAMEB[[#This Row],[Property Tax Revenue]:[IDEA/Other Fed Revenue]])+SNAMEB[General Long-term DebtProceeds]+SNAMEB[TransfersIn/Other Financing]+SNAMEB[Fixed Asset Disposition]+SNAMEB[Beginning Fund Balance]</f>
        <v>49452533</v>
      </c>
    </row>
    <row r="25" spans="1:54" x14ac:dyDescent="0.2">
      <c r="A25" s="390">
        <v>12</v>
      </c>
      <c r="B25" s="391" t="s">
        <v>99</v>
      </c>
      <c r="C25" s="631">
        <v>504</v>
      </c>
      <c r="D25" t="s">
        <v>1025</v>
      </c>
      <c r="E25" s="392">
        <v>1699399</v>
      </c>
      <c r="F25" s="392">
        <v>124140</v>
      </c>
      <c r="G25" s="392">
        <v>675966</v>
      </c>
      <c r="H25" s="392">
        <v>0</v>
      </c>
      <c r="I25" s="392">
        <v>0</v>
      </c>
      <c r="J25" s="392">
        <v>0</v>
      </c>
      <c r="K25" s="392">
        <v>1035005</v>
      </c>
      <c r="L25" s="392">
        <v>517510</v>
      </c>
      <c r="M25" s="392">
        <v>0</v>
      </c>
      <c r="N25" s="392">
        <v>409258</v>
      </c>
      <c r="O25" s="392">
        <v>66329</v>
      </c>
      <c r="P25" s="392">
        <v>18189</v>
      </c>
      <c r="Q25" s="392">
        <v>4545797</v>
      </c>
      <c r="R25" s="392">
        <v>2975007</v>
      </c>
      <c r="S25" s="392">
        <v>92027</v>
      </c>
      <c r="T25" s="392">
        <v>82655</v>
      </c>
      <c r="U25" s="392">
        <v>546574</v>
      </c>
      <c r="V25" s="392">
        <v>8364</v>
      </c>
      <c r="W25" s="392">
        <v>125697</v>
      </c>
      <c r="X25" s="392">
        <v>239468</v>
      </c>
      <c r="Y25" s="392">
        <v>904916</v>
      </c>
      <c r="Z25" s="392">
        <v>0</v>
      </c>
      <c r="AA25" s="392">
        <v>3790126</v>
      </c>
      <c r="AB25" s="392">
        <v>0</v>
      </c>
      <c r="AC25" s="392">
        <v>658871</v>
      </c>
      <c r="AD25" s="392">
        <v>61428</v>
      </c>
      <c r="AE25" s="392">
        <v>116612</v>
      </c>
      <c r="AF25" s="392">
        <v>307447</v>
      </c>
      <c r="AG25" s="392">
        <v>9909192</v>
      </c>
      <c r="AH25" s="392">
        <v>4300000</v>
      </c>
      <c r="AI25" s="392">
        <v>493802</v>
      </c>
      <c r="AJ25" s="392">
        <v>42979</v>
      </c>
      <c r="AK25" s="392">
        <v>14745973</v>
      </c>
      <c r="AL25" s="392">
        <v>3073765</v>
      </c>
      <c r="AM25" s="392">
        <v>6103504</v>
      </c>
      <c r="AN25" s="392">
        <v>126508</v>
      </c>
      <c r="AO25" s="392">
        <v>353759</v>
      </c>
      <c r="AP25" s="392">
        <v>254419</v>
      </c>
      <c r="AQ25" s="392">
        <v>370852</v>
      </c>
      <c r="AR25" s="392">
        <v>125426</v>
      </c>
      <c r="AS25" s="392">
        <v>702868</v>
      </c>
      <c r="AT25" s="392">
        <v>362410</v>
      </c>
      <c r="AU25" s="392">
        <v>298634</v>
      </c>
      <c r="AV25" s="392">
        <v>3480243</v>
      </c>
      <c r="AW25" s="392">
        <v>182090</v>
      </c>
      <c r="AX25" s="392">
        <v>274887</v>
      </c>
      <c r="AY25" s="786">
        <v>638340</v>
      </c>
      <c r="AZ25" s="392">
        <v>4545797</v>
      </c>
      <c r="BA25" s="639">
        <f>SUM(SNAMEB[[#This Row],[Instruction Expenditures]:[Transfers Out/OtherFinancing]])+SUM(SNAMEB[[#This Row],[General Fund Balance]:[Other Enterprise FundBalance]])</f>
        <v>17819736</v>
      </c>
      <c r="BB25" s="639">
        <f>SUM(SNAMEB[[#This Row],[Property Tax Revenue]:[IDEA/Other Fed Revenue]])+SNAMEB[General Long-term DebtProceeds]+SNAMEB[TransfersIn/Other Financing]+SNAMEB[Fixed Asset Disposition]+SNAMEB[Beginning Fund Balance]</f>
        <v>17819738</v>
      </c>
    </row>
    <row r="26" spans="1:54" x14ac:dyDescent="0.2">
      <c r="A26" s="390">
        <v>11</v>
      </c>
      <c r="B26" s="391" t="s">
        <v>100</v>
      </c>
      <c r="C26" s="631">
        <v>513</v>
      </c>
      <c r="D26" t="s">
        <v>1026</v>
      </c>
      <c r="E26" s="392">
        <v>1119043</v>
      </c>
      <c r="F26" s="392">
        <v>79510</v>
      </c>
      <c r="G26" s="392">
        <v>86991</v>
      </c>
      <c r="H26" s="392">
        <v>0</v>
      </c>
      <c r="I26" s="392">
        <v>0</v>
      </c>
      <c r="J26" s="392">
        <v>0</v>
      </c>
      <c r="K26" s="392">
        <v>642723</v>
      </c>
      <c r="L26" s="392">
        <v>237905</v>
      </c>
      <c r="M26" s="392">
        <v>0</v>
      </c>
      <c r="N26" s="392">
        <v>20517</v>
      </c>
      <c r="O26" s="392">
        <v>-10452</v>
      </c>
      <c r="P26" s="392">
        <v>0</v>
      </c>
      <c r="Q26" s="392">
        <v>2176237</v>
      </c>
      <c r="R26" s="392">
        <v>1482777</v>
      </c>
      <c r="S26" s="392">
        <v>19111</v>
      </c>
      <c r="T26" s="392">
        <v>159379</v>
      </c>
      <c r="U26" s="392">
        <v>616333</v>
      </c>
      <c r="V26" s="392">
        <v>6934</v>
      </c>
      <c r="W26" s="392">
        <v>124095</v>
      </c>
      <c r="X26" s="392">
        <v>139093</v>
      </c>
      <c r="Y26" s="392">
        <v>86840</v>
      </c>
      <c r="Z26" s="392">
        <v>0</v>
      </c>
      <c r="AA26" s="392">
        <v>2119157</v>
      </c>
      <c r="AB26" s="392">
        <v>0</v>
      </c>
      <c r="AC26" s="392">
        <v>449068</v>
      </c>
      <c r="AD26" s="392">
        <v>10870</v>
      </c>
      <c r="AE26" s="392">
        <v>40823</v>
      </c>
      <c r="AF26" s="392">
        <v>173495</v>
      </c>
      <c r="AG26" s="392">
        <v>5427975</v>
      </c>
      <c r="AH26" s="392">
        <v>0</v>
      </c>
      <c r="AI26" s="392">
        <v>0</v>
      </c>
      <c r="AJ26" s="392">
        <v>0</v>
      </c>
      <c r="AK26" s="392">
        <v>5427975</v>
      </c>
      <c r="AL26" s="392">
        <v>1835622</v>
      </c>
      <c r="AM26" s="392">
        <v>2943212</v>
      </c>
      <c r="AN26" s="392">
        <v>105411</v>
      </c>
      <c r="AO26" s="392">
        <v>145354</v>
      </c>
      <c r="AP26" s="392">
        <v>216695</v>
      </c>
      <c r="AQ26" s="392">
        <v>275327</v>
      </c>
      <c r="AR26" s="392">
        <v>162881</v>
      </c>
      <c r="AS26" s="392">
        <v>449461</v>
      </c>
      <c r="AT26" s="392">
        <v>125698</v>
      </c>
      <c r="AU26" s="392">
        <v>199868</v>
      </c>
      <c r="AV26" s="392">
        <v>47342</v>
      </c>
      <c r="AW26" s="392">
        <v>272313</v>
      </c>
      <c r="AX26" s="392">
        <v>143799</v>
      </c>
      <c r="AY26" s="786">
        <v>0</v>
      </c>
      <c r="AZ26" s="392">
        <v>2176237</v>
      </c>
      <c r="BA26" s="639">
        <f>SUM(SNAMEB[[#This Row],[Instruction Expenditures]:[Transfers Out/OtherFinancing]])+SUM(SNAMEB[[#This Row],[General Fund Balance]:[Other Enterprise FundBalance]])</f>
        <v>7263598</v>
      </c>
      <c r="BB26" s="639">
        <f>SUM(SNAMEB[[#This Row],[Property Tax Revenue]:[IDEA/Other Fed Revenue]])+SNAMEB[General Long-term DebtProceeds]+SNAMEB[TransfersIn/Other Financing]+SNAMEB[Fixed Asset Disposition]+SNAMEB[Beginning Fund Balance]</f>
        <v>7263597</v>
      </c>
    </row>
    <row r="27" spans="1:54" x14ac:dyDescent="0.2">
      <c r="A27" s="390">
        <v>7</v>
      </c>
      <c r="B27" s="391" t="s">
        <v>101</v>
      </c>
      <c r="C27" s="631">
        <v>540</v>
      </c>
      <c r="D27" t="s">
        <v>1027</v>
      </c>
      <c r="E27" s="392">
        <v>1737482</v>
      </c>
      <c r="F27" s="392">
        <v>131356</v>
      </c>
      <c r="G27" s="392">
        <v>516065</v>
      </c>
      <c r="H27" s="392">
        <v>12709</v>
      </c>
      <c r="I27" s="392">
        <v>0</v>
      </c>
      <c r="J27" s="392">
        <v>0</v>
      </c>
      <c r="K27" s="392">
        <v>748641</v>
      </c>
      <c r="L27" s="392">
        <v>235222</v>
      </c>
      <c r="M27" s="392">
        <v>0</v>
      </c>
      <c r="N27" s="392">
        <v>48303</v>
      </c>
      <c r="O27" s="392">
        <v>71409</v>
      </c>
      <c r="P27" s="392">
        <v>0</v>
      </c>
      <c r="Q27" s="392">
        <v>3501186</v>
      </c>
      <c r="R27" s="392">
        <v>3002476</v>
      </c>
      <c r="S27" s="392">
        <v>120703</v>
      </c>
      <c r="T27" s="392">
        <v>254309</v>
      </c>
      <c r="U27" s="392">
        <v>479289</v>
      </c>
      <c r="V27" s="392">
        <v>15890</v>
      </c>
      <c r="W27" s="392">
        <v>168818</v>
      </c>
      <c r="X27" s="392">
        <v>299276</v>
      </c>
      <c r="Y27" s="392">
        <v>269663</v>
      </c>
      <c r="Z27" s="392">
        <v>0</v>
      </c>
      <c r="AA27" s="392">
        <v>3245422</v>
      </c>
      <c r="AB27" s="392">
        <v>0</v>
      </c>
      <c r="AC27" s="392">
        <v>591697</v>
      </c>
      <c r="AD27" s="392">
        <v>38586</v>
      </c>
      <c r="AE27" s="392">
        <v>69035</v>
      </c>
      <c r="AF27" s="392">
        <v>335629</v>
      </c>
      <c r="AG27" s="392">
        <v>8890792</v>
      </c>
      <c r="AH27" s="392">
        <v>0</v>
      </c>
      <c r="AI27" s="392">
        <v>325178</v>
      </c>
      <c r="AJ27" s="392">
        <v>0</v>
      </c>
      <c r="AK27" s="392">
        <v>9215970</v>
      </c>
      <c r="AL27" s="392">
        <v>3494953</v>
      </c>
      <c r="AM27" s="392">
        <v>4651283</v>
      </c>
      <c r="AN27" s="392">
        <v>204675</v>
      </c>
      <c r="AO27" s="392">
        <v>252591</v>
      </c>
      <c r="AP27" s="392">
        <v>217281</v>
      </c>
      <c r="AQ27" s="392">
        <v>437374</v>
      </c>
      <c r="AR27" s="392">
        <v>133393</v>
      </c>
      <c r="AS27" s="392">
        <v>723692</v>
      </c>
      <c r="AT27" s="392">
        <v>571614</v>
      </c>
      <c r="AU27" s="392">
        <v>333645</v>
      </c>
      <c r="AV27" s="392">
        <v>612676</v>
      </c>
      <c r="AW27" s="392">
        <v>529808</v>
      </c>
      <c r="AX27" s="392">
        <v>246963</v>
      </c>
      <c r="AY27" s="786">
        <v>294742</v>
      </c>
      <c r="AZ27" s="392">
        <v>3501186</v>
      </c>
      <c r="BA27" s="639">
        <f>SUM(SNAMEB[[#This Row],[Instruction Expenditures]:[Transfers Out/OtherFinancing]])+SUM(SNAMEB[[#This Row],[General Fund Balance]:[Other Enterprise FundBalance]])</f>
        <v>12710924</v>
      </c>
      <c r="BB27" s="639">
        <f>SUM(SNAMEB[[#This Row],[Property Tax Revenue]:[IDEA/Other Fed Revenue]])+SNAMEB[General Long-term DebtProceeds]+SNAMEB[TransfersIn/Other Financing]+SNAMEB[Fixed Asset Disposition]+SNAMEB[Beginning Fund Balance]</f>
        <v>12710924</v>
      </c>
    </row>
    <row r="28" spans="1:54" x14ac:dyDescent="0.2">
      <c r="A28" s="390">
        <v>13</v>
      </c>
      <c r="B28" s="391" t="s">
        <v>102</v>
      </c>
      <c r="C28" s="631">
        <v>549</v>
      </c>
      <c r="D28" t="s">
        <v>1028</v>
      </c>
      <c r="E28" s="392">
        <v>606068</v>
      </c>
      <c r="F28" s="392">
        <v>60917</v>
      </c>
      <c r="G28" s="392">
        <v>139628</v>
      </c>
      <c r="H28" s="392">
        <v>0</v>
      </c>
      <c r="I28" s="392">
        <v>0</v>
      </c>
      <c r="J28" s="392">
        <v>0</v>
      </c>
      <c r="K28" s="392">
        <v>809130</v>
      </c>
      <c r="L28" s="392">
        <v>941425</v>
      </c>
      <c r="M28" s="392">
        <v>17216</v>
      </c>
      <c r="N28" s="392">
        <v>141867</v>
      </c>
      <c r="O28" s="392">
        <v>-22194</v>
      </c>
      <c r="P28" s="392">
        <v>0</v>
      </c>
      <c r="Q28" s="392">
        <v>2694058</v>
      </c>
      <c r="R28" s="392">
        <v>2199573</v>
      </c>
      <c r="S28" s="392">
        <v>79314</v>
      </c>
      <c r="T28" s="392">
        <v>193346</v>
      </c>
      <c r="U28" s="392">
        <v>103523</v>
      </c>
      <c r="V28" s="392">
        <v>8710</v>
      </c>
      <c r="W28" s="392">
        <v>102410</v>
      </c>
      <c r="X28" s="392">
        <v>249146</v>
      </c>
      <c r="Y28" s="392">
        <v>322154</v>
      </c>
      <c r="Z28" s="392">
        <v>0</v>
      </c>
      <c r="AA28" s="392">
        <v>2634816</v>
      </c>
      <c r="AB28" s="392">
        <v>0</v>
      </c>
      <c r="AC28" s="392">
        <v>552632</v>
      </c>
      <c r="AD28" s="392">
        <v>11124</v>
      </c>
      <c r="AE28" s="392">
        <v>90038</v>
      </c>
      <c r="AF28" s="392">
        <v>787844</v>
      </c>
      <c r="AG28" s="392">
        <v>7334630</v>
      </c>
      <c r="AH28" s="392">
        <v>0</v>
      </c>
      <c r="AI28" s="392">
        <v>412039</v>
      </c>
      <c r="AJ28" s="392">
        <v>2611</v>
      </c>
      <c r="AK28" s="392">
        <v>7749280</v>
      </c>
      <c r="AL28" s="392">
        <v>4518587</v>
      </c>
      <c r="AM28" s="392">
        <v>3477131</v>
      </c>
      <c r="AN28" s="392">
        <v>136839</v>
      </c>
      <c r="AO28" s="392">
        <v>161392</v>
      </c>
      <c r="AP28" s="392">
        <v>316417</v>
      </c>
      <c r="AQ28" s="392">
        <v>359737</v>
      </c>
      <c r="AR28" s="392">
        <v>114737</v>
      </c>
      <c r="AS28" s="392">
        <v>634716</v>
      </c>
      <c r="AT28" s="392">
        <v>226740</v>
      </c>
      <c r="AU28" s="392">
        <v>258872</v>
      </c>
      <c r="AV28" s="392">
        <v>3015037</v>
      </c>
      <c r="AW28" s="392">
        <v>266126</v>
      </c>
      <c r="AX28" s="392">
        <v>198411</v>
      </c>
      <c r="AY28" s="786">
        <v>407654</v>
      </c>
      <c r="AZ28" s="392">
        <v>2694058</v>
      </c>
      <c r="BA28" s="639">
        <f>SUM(SNAMEB[[#This Row],[Instruction Expenditures]:[Transfers Out/OtherFinancing]])+SUM(SNAMEB[[#This Row],[General Fund Balance]:[Other Enterprise FundBalance]])</f>
        <v>12267866</v>
      </c>
      <c r="BB28" s="639">
        <f>SUM(SNAMEB[[#This Row],[Property Tax Revenue]:[IDEA/Other Fed Revenue]])+SNAMEB[General Long-term DebtProceeds]+SNAMEB[TransfersIn/Other Financing]+SNAMEB[Fixed Asset Disposition]+SNAMEB[Beginning Fund Balance]</f>
        <v>12267867</v>
      </c>
    </row>
    <row r="29" spans="1:54" x14ac:dyDescent="0.2">
      <c r="A29" s="390">
        <v>10</v>
      </c>
      <c r="B29" s="391" t="s">
        <v>103</v>
      </c>
      <c r="C29" s="631">
        <v>576</v>
      </c>
      <c r="D29" t="s">
        <v>1029</v>
      </c>
      <c r="E29" s="392">
        <v>707239</v>
      </c>
      <c r="F29" s="392">
        <v>124403</v>
      </c>
      <c r="G29" s="392">
        <v>661620</v>
      </c>
      <c r="H29" s="392">
        <v>0</v>
      </c>
      <c r="I29" s="392">
        <v>0</v>
      </c>
      <c r="J29" s="392">
        <v>0</v>
      </c>
      <c r="K29" s="392">
        <v>804739</v>
      </c>
      <c r="L29" s="392">
        <v>718164</v>
      </c>
      <c r="M29" s="392">
        <v>0</v>
      </c>
      <c r="N29" s="392">
        <v>2863375</v>
      </c>
      <c r="O29" s="392">
        <v>9334</v>
      </c>
      <c r="P29" s="392">
        <v>0</v>
      </c>
      <c r="Q29" s="392">
        <v>5888873</v>
      </c>
      <c r="R29" s="392">
        <v>2197392</v>
      </c>
      <c r="S29" s="392">
        <v>47431</v>
      </c>
      <c r="T29" s="392">
        <v>245489</v>
      </c>
      <c r="U29" s="392">
        <v>95196</v>
      </c>
      <c r="V29" s="392">
        <v>9972</v>
      </c>
      <c r="W29" s="392">
        <v>123042</v>
      </c>
      <c r="X29" s="392">
        <v>199700</v>
      </c>
      <c r="Y29" s="392">
        <v>230744</v>
      </c>
      <c r="Z29" s="392">
        <v>0</v>
      </c>
      <c r="AA29" s="392">
        <v>3176449</v>
      </c>
      <c r="AB29" s="392">
        <v>0</v>
      </c>
      <c r="AC29" s="392">
        <v>494885</v>
      </c>
      <c r="AD29" s="392">
        <v>62684</v>
      </c>
      <c r="AE29" s="392">
        <v>137582</v>
      </c>
      <c r="AF29" s="392">
        <v>231256</v>
      </c>
      <c r="AG29" s="392">
        <v>7251821</v>
      </c>
      <c r="AH29" s="392">
        <v>6205757</v>
      </c>
      <c r="AI29" s="392">
        <v>671074</v>
      </c>
      <c r="AJ29" s="392">
        <v>0</v>
      </c>
      <c r="AK29" s="392">
        <v>14128652</v>
      </c>
      <c r="AL29" s="392">
        <v>4203941</v>
      </c>
      <c r="AM29" s="392">
        <v>4218615</v>
      </c>
      <c r="AN29" s="392">
        <v>84646</v>
      </c>
      <c r="AO29" s="392">
        <v>123838</v>
      </c>
      <c r="AP29" s="392">
        <v>446729</v>
      </c>
      <c r="AQ29" s="392">
        <v>322786</v>
      </c>
      <c r="AR29" s="392">
        <v>62870</v>
      </c>
      <c r="AS29" s="392">
        <v>458236</v>
      </c>
      <c r="AT29" s="392">
        <v>299275</v>
      </c>
      <c r="AU29" s="392">
        <v>240213</v>
      </c>
      <c r="AV29" s="392">
        <v>313422</v>
      </c>
      <c r="AW29" s="392">
        <v>4768007</v>
      </c>
      <c r="AX29" s="392">
        <v>217844</v>
      </c>
      <c r="AY29" s="786">
        <v>887240</v>
      </c>
      <c r="AZ29" s="392">
        <v>5888873</v>
      </c>
      <c r="BA29" s="639">
        <f>SUM(SNAMEB[[#This Row],[Instruction Expenditures]:[Transfers Out/OtherFinancing]])+SUM(SNAMEB[[#This Row],[General Fund Balance]:[Other Enterprise FundBalance]])</f>
        <v>18332595</v>
      </c>
      <c r="BB29" s="639">
        <f>SUM(SNAMEB[[#This Row],[Property Tax Revenue]:[IDEA/Other Fed Revenue]])+SNAMEB[General Long-term DebtProceeds]+SNAMEB[TransfersIn/Other Financing]+SNAMEB[Fixed Asset Disposition]+SNAMEB[Beginning Fund Balance]</f>
        <v>18332594</v>
      </c>
    </row>
    <row r="30" spans="1:54" x14ac:dyDescent="0.2">
      <c r="A30" s="390">
        <v>9</v>
      </c>
      <c r="B30" s="391" t="s">
        <v>104</v>
      </c>
      <c r="C30" s="631">
        <v>585</v>
      </c>
      <c r="D30" t="s">
        <v>1030</v>
      </c>
      <c r="E30" s="392">
        <v>1435613</v>
      </c>
      <c r="F30" s="392">
        <v>81950</v>
      </c>
      <c r="G30" s="392">
        <v>296253</v>
      </c>
      <c r="H30" s="392">
        <v>0</v>
      </c>
      <c r="I30" s="392">
        <v>0</v>
      </c>
      <c r="J30" s="392">
        <v>0</v>
      </c>
      <c r="K30" s="392">
        <v>903548</v>
      </c>
      <c r="L30" s="392">
        <v>252115</v>
      </c>
      <c r="M30" s="392">
        <v>0</v>
      </c>
      <c r="N30" s="392">
        <v>0</v>
      </c>
      <c r="O30" s="392">
        <v>48987</v>
      </c>
      <c r="P30" s="392">
        <v>0</v>
      </c>
      <c r="Q30" s="392">
        <v>3018466</v>
      </c>
      <c r="R30" s="392">
        <v>2826941</v>
      </c>
      <c r="S30" s="392">
        <v>29428</v>
      </c>
      <c r="T30" s="392">
        <v>145760</v>
      </c>
      <c r="U30" s="392">
        <v>578157</v>
      </c>
      <c r="V30" s="392">
        <v>18967</v>
      </c>
      <c r="W30" s="392">
        <v>212482</v>
      </c>
      <c r="X30" s="392">
        <v>226121</v>
      </c>
      <c r="Y30" s="392">
        <v>121946</v>
      </c>
      <c r="Z30" s="392">
        <v>1132</v>
      </c>
      <c r="AA30" s="392">
        <v>3023291</v>
      </c>
      <c r="AB30" s="392">
        <v>0</v>
      </c>
      <c r="AC30" s="392">
        <v>643771</v>
      </c>
      <c r="AD30" s="392">
        <v>45391</v>
      </c>
      <c r="AE30" s="392">
        <v>66539</v>
      </c>
      <c r="AF30" s="392">
        <v>311675</v>
      </c>
      <c r="AG30" s="392">
        <v>8251603</v>
      </c>
      <c r="AH30" s="392">
        <v>0</v>
      </c>
      <c r="AI30" s="392">
        <v>372960</v>
      </c>
      <c r="AJ30" s="392">
        <v>1012</v>
      </c>
      <c r="AK30" s="392">
        <v>8625575</v>
      </c>
      <c r="AL30" s="392">
        <v>2698521</v>
      </c>
      <c r="AM30" s="392">
        <v>4511192</v>
      </c>
      <c r="AN30" s="392">
        <v>168251</v>
      </c>
      <c r="AO30" s="392">
        <v>303020</v>
      </c>
      <c r="AP30" s="392">
        <v>260648</v>
      </c>
      <c r="AQ30" s="392">
        <v>358878</v>
      </c>
      <c r="AR30" s="392">
        <v>140898</v>
      </c>
      <c r="AS30" s="392">
        <v>579433</v>
      </c>
      <c r="AT30" s="392">
        <v>387578</v>
      </c>
      <c r="AU30" s="392">
        <v>293694</v>
      </c>
      <c r="AV30" s="392">
        <v>310665</v>
      </c>
      <c r="AW30" s="392">
        <v>372960</v>
      </c>
      <c r="AX30" s="392">
        <v>245454</v>
      </c>
      <c r="AY30" s="786">
        <v>372960</v>
      </c>
      <c r="AZ30" s="392">
        <v>3018466</v>
      </c>
      <c r="BA30" s="639">
        <f>SUM(SNAMEB[[#This Row],[Instruction Expenditures]:[Transfers Out/OtherFinancing]])+SUM(SNAMEB[[#This Row],[General Fund Balance]:[Other Enterprise FundBalance]])</f>
        <v>11324097</v>
      </c>
      <c r="BB30" s="639">
        <f>SUM(SNAMEB[[#This Row],[Property Tax Revenue]:[IDEA/Other Fed Revenue]])+SNAMEB[General Long-term DebtProceeds]+SNAMEB[TransfersIn/Other Financing]+SNAMEB[Fixed Asset Disposition]+SNAMEB[Beginning Fund Balance]</f>
        <v>11324094</v>
      </c>
    </row>
    <row r="31" spans="1:54" x14ac:dyDescent="0.2">
      <c r="A31" s="390">
        <v>7</v>
      </c>
      <c r="B31" s="391" t="s">
        <v>105</v>
      </c>
      <c r="C31" s="631">
        <v>594</v>
      </c>
      <c r="D31" t="s">
        <v>1031</v>
      </c>
      <c r="E31" s="392">
        <v>1293383</v>
      </c>
      <c r="F31" s="392">
        <v>35702</v>
      </c>
      <c r="G31" s="392">
        <v>1075174</v>
      </c>
      <c r="H31" s="392">
        <v>0</v>
      </c>
      <c r="I31" s="392">
        <v>0</v>
      </c>
      <c r="J31" s="392">
        <v>0</v>
      </c>
      <c r="K31" s="392">
        <v>2244958</v>
      </c>
      <c r="L31" s="392">
        <v>476430</v>
      </c>
      <c r="M31" s="392">
        <v>0</v>
      </c>
      <c r="N31" s="392">
        <v>272547</v>
      </c>
      <c r="O31" s="392">
        <v>117749</v>
      </c>
      <c r="P31" s="392">
        <v>0</v>
      </c>
      <c r="Q31" s="392">
        <v>5515942</v>
      </c>
      <c r="R31" s="392">
        <v>491771</v>
      </c>
      <c r="S31" s="392">
        <v>3858541</v>
      </c>
      <c r="T31" s="392">
        <v>102924</v>
      </c>
      <c r="U31" s="392">
        <v>302754</v>
      </c>
      <c r="V31" s="392">
        <v>5867</v>
      </c>
      <c r="W31" s="392">
        <v>153350</v>
      </c>
      <c r="X31" s="392">
        <v>189324</v>
      </c>
      <c r="Y31" s="392">
        <v>86064</v>
      </c>
      <c r="Z31" s="392">
        <v>0</v>
      </c>
      <c r="AA31" s="392">
        <v>4447701</v>
      </c>
      <c r="AB31" s="392">
        <v>0</v>
      </c>
      <c r="AC31" s="392">
        <v>728188</v>
      </c>
      <c r="AD31" s="392">
        <v>604</v>
      </c>
      <c r="AE31" s="392">
        <v>158333</v>
      </c>
      <c r="AF31" s="392">
        <v>540289</v>
      </c>
      <c r="AG31" s="392">
        <v>11065711</v>
      </c>
      <c r="AH31" s="392">
        <v>0</v>
      </c>
      <c r="AI31" s="392">
        <v>663383</v>
      </c>
      <c r="AJ31" s="392">
        <v>2250</v>
      </c>
      <c r="AK31" s="392">
        <v>11731343</v>
      </c>
      <c r="AL31" s="392">
        <v>5149422</v>
      </c>
      <c r="AM31" s="392">
        <v>6558972</v>
      </c>
      <c r="AN31" s="392">
        <v>202579</v>
      </c>
      <c r="AO31" s="392">
        <v>548745</v>
      </c>
      <c r="AP31" s="392">
        <v>345012</v>
      </c>
      <c r="AQ31" s="392">
        <v>328709</v>
      </c>
      <c r="AR31" s="392">
        <v>213407</v>
      </c>
      <c r="AS31" s="392">
        <v>554080</v>
      </c>
      <c r="AT31" s="392">
        <v>334576</v>
      </c>
      <c r="AU31" s="392">
        <v>440610</v>
      </c>
      <c r="AV31" s="392">
        <v>105597</v>
      </c>
      <c r="AW31" s="392">
        <v>1060244</v>
      </c>
      <c r="AX31" s="392">
        <v>342476</v>
      </c>
      <c r="AY31" s="786">
        <v>329816</v>
      </c>
      <c r="AZ31" s="392">
        <v>5515942</v>
      </c>
      <c r="BA31" s="639">
        <f>SUM(SNAMEB[[#This Row],[Instruction Expenditures]:[Transfers Out/OtherFinancing]])+SUM(SNAMEB[[#This Row],[General Fund Balance]:[Other Enterprise FundBalance]])</f>
        <v>16880766</v>
      </c>
      <c r="BB31" s="639">
        <f>SUM(SNAMEB[[#This Row],[Property Tax Revenue]:[IDEA/Other Fed Revenue]])+SNAMEB[General Long-term DebtProceeds]+SNAMEB[TransfersIn/Other Financing]+SNAMEB[Fixed Asset Disposition]+SNAMEB[Beginning Fund Balance]</f>
        <v>16880765</v>
      </c>
    </row>
    <row r="32" spans="1:54" x14ac:dyDescent="0.2">
      <c r="A32" s="390">
        <v>9</v>
      </c>
      <c r="B32" s="391" t="s">
        <v>106</v>
      </c>
      <c r="C32" s="631">
        <v>603</v>
      </c>
      <c r="D32" t="s">
        <v>1032</v>
      </c>
      <c r="E32" s="392">
        <v>475292</v>
      </c>
      <c r="F32" s="392">
        <v>6370</v>
      </c>
      <c r="G32" s="392">
        <v>211512</v>
      </c>
      <c r="H32" s="392">
        <v>0</v>
      </c>
      <c r="I32" s="392">
        <v>0</v>
      </c>
      <c r="J32" s="392">
        <v>0</v>
      </c>
      <c r="K32" s="392">
        <v>138062</v>
      </c>
      <c r="L32" s="392">
        <v>168413</v>
      </c>
      <c r="M32" s="392">
        <v>0</v>
      </c>
      <c r="N32" s="392">
        <v>0</v>
      </c>
      <c r="O32" s="392">
        <v>8941</v>
      </c>
      <c r="P32" s="392">
        <v>135</v>
      </c>
      <c r="Q32" s="392">
        <v>1008725</v>
      </c>
      <c r="R32" s="392">
        <v>1193097</v>
      </c>
      <c r="S32" s="392">
        <v>23433</v>
      </c>
      <c r="T32" s="392">
        <v>0</v>
      </c>
      <c r="U32" s="392">
        <v>42246</v>
      </c>
      <c r="V32" s="392">
        <v>1242</v>
      </c>
      <c r="W32" s="392">
        <v>26237</v>
      </c>
      <c r="X32" s="392">
        <v>526</v>
      </c>
      <c r="Y32" s="392">
        <v>52166</v>
      </c>
      <c r="Z32" s="392">
        <v>4960</v>
      </c>
      <c r="AA32" s="392">
        <v>842609</v>
      </c>
      <c r="AB32" s="392">
        <v>0</v>
      </c>
      <c r="AC32" s="392">
        <v>198349</v>
      </c>
      <c r="AD32" s="392">
        <v>1975</v>
      </c>
      <c r="AE32" s="392">
        <v>25974</v>
      </c>
      <c r="AF32" s="392">
        <v>47285</v>
      </c>
      <c r="AG32" s="392">
        <v>2460099</v>
      </c>
      <c r="AH32" s="392">
        <v>0</v>
      </c>
      <c r="AI32" s="392">
        <v>122067</v>
      </c>
      <c r="AJ32" s="392">
        <v>0</v>
      </c>
      <c r="AK32" s="392">
        <v>2582166</v>
      </c>
      <c r="AL32" s="392">
        <v>1151962</v>
      </c>
      <c r="AM32" s="392">
        <v>1539802</v>
      </c>
      <c r="AN32" s="392">
        <v>22960</v>
      </c>
      <c r="AO32" s="392">
        <v>14582</v>
      </c>
      <c r="AP32" s="392">
        <v>42820</v>
      </c>
      <c r="AQ32" s="392">
        <v>124606</v>
      </c>
      <c r="AR32" s="392">
        <v>65884</v>
      </c>
      <c r="AS32" s="392">
        <v>101527</v>
      </c>
      <c r="AT32" s="392">
        <v>91686</v>
      </c>
      <c r="AU32" s="392">
        <v>57117</v>
      </c>
      <c r="AV32" s="392">
        <v>344084</v>
      </c>
      <c r="AW32" s="392">
        <v>122067</v>
      </c>
      <c r="AX32" s="392">
        <v>76202</v>
      </c>
      <c r="AY32" s="786">
        <v>122067</v>
      </c>
      <c r="AZ32" s="392">
        <v>1008725</v>
      </c>
      <c r="BA32" s="639">
        <f>SUM(SNAMEB[[#This Row],[Instruction Expenditures]:[Transfers Out/OtherFinancing]])+SUM(SNAMEB[[#This Row],[General Fund Balance]:[Other Enterprise FundBalance]])</f>
        <v>3734129</v>
      </c>
      <c r="BB32" s="639">
        <f>SUM(SNAMEB[[#This Row],[Property Tax Revenue]:[IDEA/Other Fed Revenue]])+SNAMEB[General Long-term DebtProceeds]+SNAMEB[TransfersIn/Other Financing]+SNAMEB[Fixed Asset Disposition]+SNAMEB[Beginning Fund Balance]</f>
        <v>3734128</v>
      </c>
    </row>
    <row r="33" spans="1:54" x14ac:dyDescent="0.2">
      <c r="A33" s="390">
        <v>10</v>
      </c>
      <c r="B33" s="391" t="s">
        <v>107</v>
      </c>
      <c r="C33" s="631">
        <v>609</v>
      </c>
      <c r="D33" t="s">
        <v>1033</v>
      </c>
      <c r="E33" s="392">
        <v>3663885</v>
      </c>
      <c r="F33" s="392">
        <v>304654</v>
      </c>
      <c r="G33" s="392">
        <v>280937</v>
      </c>
      <c r="H33" s="392">
        <v>0</v>
      </c>
      <c r="I33" s="392">
        <v>0</v>
      </c>
      <c r="J33" s="392">
        <v>0</v>
      </c>
      <c r="K33" s="392">
        <v>1565602</v>
      </c>
      <c r="L33" s="392">
        <v>202616</v>
      </c>
      <c r="M33" s="392">
        <v>0</v>
      </c>
      <c r="N33" s="392">
        <v>1763995</v>
      </c>
      <c r="O33" s="392">
        <v>-35826</v>
      </c>
      <c r="P33" s="392">
        <v>-28919</v>
      </c>
      <c r="Q33" s="392">
        <v>7716945</v>
      </c>
      <c r="R33" s="392">
        <v>6887136</v>
      </c>
      <c r="S33" s="392">
        <v>155354</v>
      </c>
      <c r="T33" s="392">
        <v>426796</v>
      </c>
      <c r="U33" s="392">
        <v>556878</v>
      </c>
      <c r="V33" s="392">
        <v>13953</v>
      </c>
      <c r="W33" s="392">
        <v>530214</v>
      </c>
      <c r="X33" s="392">
        <v>526961</v>
      </c>
      <c r="Y33" s="392">
        <v>577962</v>
      </c>
      <c r="Z33" s="392">
        <v>0</v>
      </c>
      <c r="AA33" s="392">
        <v>8560151</v>
      </c>
      <c r="AB33" s="392">
        <v>0</v>
      </c>
      <c r="AC33" s="392">
        <v>1510629</v>
      </c>
      <c r="AD33" s="392">
        <v>25863</v>
      </c>
      <c r="AE33" s="392">
        <v>132915</v>
      </c>
      <c r="AF33" s="392">
        <v>527799</v>
      </c>
      <c r="AG33" s="392">
        <v>20432612</v>
      </c>
      <c r="AH33" s="392">
        <v>0</v>
      </c>
      <c r="AI33" s="392">
        <v>961945</v>
      </c>
      <c r="AJ33" s="392">
        <v>1</v>
      </c>
      <c r="AK33" s="392">
        <v>21394559</v>
      </c>
      <c r="AL33" s="392">
        <v>6757921</v>
      </c>
      <c r="AM33" s="392">
        <v>10767916</v>
      </c>
      <c r="AN33" s="392">
        <v>287791</v>
      </c>
      <c r="AO33" s="392">
        <v>837573</v>
      </c>
      <c r="AP33" s="392">
        <v>350784</v>
      </c>
      <c r="AQ33" s="392">
        <v>1165752</v>
      </c>
      <c r="AR33" s="392">
        <v>286087</v>
      </c>
      <c r="AS33" s="392">
        <v>1850981</v>
      </c>
      <c r="AT33" s="392">
        <v>1268273</v>
      </c>
      <c r="AU33" s="392">
        <v>894258</v>
      </c>
      <c r="AV33" s="392">
        <v>158962</v>
      </c>
      <c r="AW33" s="392">
        <v>960565</v>
      </c>
      <c r="AX33" s="392">
        <v>616903</v>
      </c>
      <c r="AY33" s="786">
        <v>989689</v>
      </c>
      <c r="AZ33" s="392">
        <v>7716945</v>
      </c>
      <c r="BA33" s="639">
        <f>SUM(SNAMEB[[#This Row],[Instruction Expenditures]:[Transfers Out/OtherFinancing]])+SUM(SNAMEB[[#This Row],[General Fund Balance]:[Other Enterprise FundBalance]])</f>
        <v>28152478</v>
      </c>
      <c r="BB33" s="639">
        <f>SUM(SNAMEB[[#This Row],[Property Tax Revenue]:[IDEA/Other Fed Revenue]])+SNAMEB[General Long-term DebtProceeds]+SNAMEB[TransfersIn/Other Financing]+SNAMEB[Fixed Asset Disposition]+SNAMEB[Beginning Fund Balance]</f>
        <v>28152478</v>
      </c>
    </row>
    <row r="34" spans="1:54" x14ac:dyDescent="0.2">
      <c r="A34" s="390">
        <v>9</v>
      </c>
      <c r="B34" s="391" t="s">
        <v>108</v>
      </c>
      <c r="C34" s="631">
        <v>621</v>
      </c>
      <c r="D34" t="s">
        <v>1034</v>
      </c>
      <c r="E34" s="392">
        <v>12130500</v>
      </c>
      <c r="F34" s="392">
        <v>371838</v>
      </c>
      <c r="G34" s="392">
        <v>4208461</v>
      </c>
      <c r="H34" s="392">
        <v>0</v>
      </c>
      <c r="I34" s="392">
        <v>0</v>
      </c>
      <c r="J34" s="392">
        <v>0</v>
      </c>
      <c r="K34" s="392">
        <v>3628402</v>
      </c>
      <c r="L34" s="392">
        <v>1634498</v>
      </c>
      <c r="M34" s="392">
        <v>0</v>
      </c>
      <c r="N34" s="392">
        <v>2824</v>
      </c>
      <c r="O34" s="392">
        <v>143628</v>
      </c>
      <c r="P34" s="392">
        <v>0</v>
      </c>
      <c r="Q34" s="392">
        <v>22120152</v>
      </c>
      <c r="R34" s="392">
        <v>18806714</v>
      </c>
      <c r="S34" s="392">
        <v>469848</v>
      </c>
      <c r="T34" s="392">
        <v>0</v>
      </c>
      <c r="U34" s="392">
        <v>5629650</v>
      </c>
      <c r="V34" s="392">
        <v>20474</v>
      </c>
      <c r="W34" s="392">
        <v>885056</v>
      </c>
      <c r="X34" s="392">
        <v>1074754</v>
      </c>
      <c r="Y34" s="392">
        <v>1154016</v>
      </c>
      <c r="Z34" s="392">
        <v>32378</v>
      </c>
      <c r="AA34" s="392">
        <v>23495307</v>
      </c>
      <c r="AB34" s="392">
        <v>0</v>
      </c>
      <c r="AC34" s="392">
        <v>3986955</v>
      </c>
      <c r="AD34" s="392">
        <v>217552</v>
      </c>
      <c r="AE34" s="392">
        <v>403602</v>
      </c>
      <c r="AF34" s="392">
        <v>2423647</v>
      </c>
      <c r="AG34" s="392">
        <v>58599953</v>
      </c>
      <c r="AH34" s="392">
        <v>0</v>
      </c>
      <c r="AI34" s="392">
        <v>7480</v>
      </c>
      <c r="AJ34" s="392">
        <v>48623</v>
      </c>
      <c r="AK34" s="392">
        <v>58656056</v>
      </c>
      <c r="AL34" s="392">
        <v>18286443</v>
      </c>
      <c r="AM34" s="392">
        <v>34202774</v>
      </c>
      <c r="AN34" s="392">
        <v>1920112</v>
      </c>
      <c r="AO34" s="392">
        <v>817556</v>
      </c>
      <c r="AP34" s="392">
        <v>1199054</v>
      </c>
      <c r="AQ34" s="392">
        <v>3328181</v>
      </c>
      <c r="AR34" s="392">
        <v>1747776</v>
      </c>
      <c r="AS34" s="392">
        <v>4574811</v>
      </c>
      <c r="AT34" s="392">
        <v>1207579</v>
      </c>
      <c r="AU34" s="392">
        <v>1867014</v>
      </c>
      <c r="AV34" s="392">
        <v>2125288</v>
      </c>
      <c r="AW34" s="392">
        <v>0</v>
      </c>
      <c r="AX34" s="392">
        <v>1647856</v>
      </c>
      <c r="AY34" s="786">
        <v>184347</v>
      </c>
      <c r="AZ34" s="392">
        <v>22120152</v>
      </c>
      <c r="BA34" s="639">
        <f>SUM(SNAMEB[[#This Row],[Instruction Expenditures]:[Transfers Out/OtherFinancing]])+SUM(SNAMEB[[#This Row],[General Fund Balance]:[Other Enterprise FundBalance]])</f>
        <v>76942499</v>
      </c>
      <c r="BB34" s="639">
        <f>SUM(SNAMEB[[#This Row],[Property Tax Revenue]:[IDEA/Other Fed Revenue]])+SNAMEB[General Long-term DebtProceeds]+SNAMEB[TransfersIn/Other Financing]+SNAMEB[Fixed Asset Disposition]+SNAMEB[Beginning Fund Balance]</f>
        <v>76942499</v>
      </c>
    </row>
    <row r="35" spans="1:54" x14ac:dyDescent="0.2">
      <c r="A35" s="390">
        <v>11</v>
      </c>
      <c r="B35" s="391" t="s">
        <v>109</v>
      </c>
      <c r="C35" s="631">
        <v>720</v>
      </c>
      <c r="D35" t="s">
        <v>1035</v>
      </c>
      <c r="E35" s="392">
        <v>1605582</v>
      </c>
      <c r="F35" s="392">
        <v>82276</v>
      </c>
      <c r="G35" s="392">
        <v>414467</v>
      </c>
      <c r="H35" s="392">
        <v>0</v>
      </c>
      <c r="I35" s="392">
        <v>0</v>
      </c>
      <c r="J35" s="392">
        <v>0</v>
      </c>
      <c r="K35" s="392">
        <v>3080991</v>
      </c>
      <c r="L35" s="392">
        <v>592148</v>
      </c>
      <c r="M35" s="392">
        <v>-80948</v>
      </c>
      <c r="N35" s="392">
        <v>3167615</v>
      </c>
      <c r="O35" s="392">
        <v>207513</v>
      </c>
      <c r="P35" s="392">
        <v>143901</v>
      </c>
      <c r="Q35" s="392">
        <v>9213545</v>
      </c>
      <c r="R35" s="392">
        <v>5376667</v>
      </c>
      <c r="S35" s="392">
        <v>199631</v>
      </c>
      <c r="T35" s="392">
        <v>271597</v>
      </c>
      <c r="U35" s="392">
        <v>1019101</v>
      </c>
      <c r="V35" s="392">
        <v>16670</v>
      </c>
      <c r="W35" s="392">
        <v>616248</v>
      </c>
      <c r="X35" s="392">
        <v>280854</v>
      </c>
      <c r="Y35" s="392">
        <v>391397</v>
      </c>
      <c r="Z35" s="392">
        <v>0</v>
      </c>
      <c r="AA35" s="392">
        <v>11195062</v>
      </c>
      <c r="AB35" s="392">
        <v>0</v>
      </c>
      <c r="AC35" s="392">
        <v>1679972</v>
      </c>
      <c r="AD35" s="392">
        <v>107520</v>
      </c>
      <c r="AE35" s="392">
        <v>78503</v>
      </c>
      <c r="AF35" s="392">
        <v>738183</v>
      </c>
      <c r="AG35" s="392">
        <v>21971405</v>
      </c>
      <c r="AH35" s="392">
        <v>0</v>
      </c>
      <c r="AI35" s="392">
        <v>1239065</v>
      </c>
      <c r="AJ35" s="392">
        <v>2375</v>
      </c>
      <c r="AK35" s="392">
        <v>23212845</v>
      </c>
      <c r="AL35" s="392">
        <v>8635388</v>
      </c>
      <c r="AM35" s="392">
        <v>10861688</v>
      </c>
      <c r="AN35" s="392">
        <v>599763</v>
      </c>
      <c r="AO35" s="392">
        <v>924989</v>
      </c>
      <c r="AP35" s="392">
        <v>428460</v>
      </c>
      <c r="AQ35" s="392">
        <v>1118172</v>
      </c>
      <c r="AR35" s="392">
        <v>330353</v>
      </c>
      <c r="AS35" s="392">
        <v>2006190</v>
      </c>
      <c r="AT35" s="392">
        <v>695007</v>
      </c>
      <c r="AU35" s="392">
        <v>1035256</v>
      </c>
      <c r="AV35" s="392">
        <v>639454</v>
      </c>
      <c r="AW35" s="392">
        <v>1881065</v>
      </c>
      <c r="AX35" s="392">
        <v>710923</v>
      </c>
      <c r="AY35" s="786">
        <v>1403369</v>
      </c>
      <c r="AZ35" s="392">
        <v>9213545</v>
      </c>
      <c r="BA35" s="639">
        <f>SUM(SNAMEB[[#This Row],[Instruction Expenditures]:[Transfers Out/OtherFinancing]])+SUM(SNAMEB[[#This Row],[General Fund Balance]:[Other Enterprise FundBalance]])</f>
        <v>31848234</v>
      </c>
      <c r="BB35" s="639">
        <f>SUM(SNAMEB[[#This Row],[Property Tax Revenue]:[IDEA/Other Fed Revenue]])+SNAMEB[General Long-term DebtProceeds]+SNAMEB[TransfersIn/Other Financing]+SNAMEB[Fixed Asset Disposition]+SNAMEB[Beginning Fund Balance]</f>
        <v>31848233</v>
      </c>
    </row>
    <row r="36" spans="1:54" x14ac:dyDescent="0.2">
      <c r="A36" s="390">
        <v>11</v>
      </c>
      <c r="B36" s="391" t="s">
        <v>110</v>
      </c>
      <c r="C36" s="631">
        <v>729</v>
      </c>
      <c r="D36" t="s">
        <v>1036</v>
      </c>
      <c r="E36" s="392">
        <v>4442954</v>
      </c>
      <c r="F36" s="392">
        <v>196588</v>
      </c>
      <c r="G36" s="392">
        <v>596729</v>
      </c>
      <c r="H36" s="392">
        <v>75214</v>
      </c>
      <c r="I36" s="392">
        <v>0</v>
      </c>
      <c r="J36" s="392">
        <v>0</v>
      </c>
      <c r="K36" s="392">
        <v>3946648</v>
      </c>
      <c r="L36" s="392">
        <v>552393</v>
      </c>
      <c r="M36" s="392">
        <v>379</v>
      </c>
      <c r="N36" s="392">
        <v>958643</v>
      </c>
      <c r="O36" s="392">
        <v>332212</v>
      </c>
      <c r="P36" s="392">
        <v>0</v>
      </c>
      <c r="Q36" s="392">
        <v>11101761</v>
      </c>
      <c r="R36" s="392">
        <v>8286696</v>
      </c>
      <c r="S36" s="392">
        <v>236150</v>
      </c>
      <c r="T36" s="392">
        <v>839601</v>
      </c>
      <c r="U36" s="392">
        <v>890217</v>
      </c>
      <c r="V36" s="392">
        <v>7719</v>
      </c>
      <c r="W36" s="392">
        <v>430321</v>
      </c>
      <c r="X36" s="392">
        <v>297333</v>
      </c>
      <c r="Y36" s="392">
        <v>303751</v>
      </c>
      <c r="Z36" s="392">
        <v>0</v>
      </c>
      <c r="AA36" s="392">
        <v>13822269</v>
      </c>
      <c r="AB36" s="392">
        <v>0</v>
      </c>
      <c r="AC36" s="392">
        <v>2785835</v>
      </c>
      <c r="AD36" s="392">
        <v>203102</v>
      </c>
      <c r="AE36" s="392">
        <v>273924</v>
      </c>
      <c r="AF36" s="392">
        <v>1293160</v>
      </c>
      <c r="AG36" s="392">
        <v>29670079</v>
      </c>
      <c r="AH36" s="392">
        <v>2009000</v>
      </c>
      <c r="AI36" s="392">
        <v>1460173</v>
      </c>
      <c r="AJ36" s="392">
        <v>5579</v>
      </c>
      <c r="AK36" s="392">
        <v>33144831</v>
      </c>
      <c r="AL36" s="392">
        <v>12162821</v>
      </c>
      <c r="AM36" s="392">
        <v>16039960</v>
      </c>
      <c r="AN36" s="392">
        <v>1042599</v>
      </c>
      <c r="AO36" s="392">
        <v>1225909</v>
      </c>
      <c r="AP36" s="392">
        <v>394591</v>
      </c>
      <c r="AQ36" s="392">
        <v>1298555</v>
      </c>
      <c r="AR36" s="392">
        <v>936984</v>
      </c>
      <c r="AS36" s="392">
        <v>2579431</v>
      </c>
      <c r="AT36" s="392">
        <v>713018</v>
      </c>
      <c r="AU36" s="392">
        <v>935676</v>
      </c>
      <c r="AV36" s="392">
        <v>1842507</v>
      </c>
      <c r="AW36" s="392">
        <v>4844788</v>
      </c>
      <c r="AX36" s="392">
        <v>887540</v>
      </c>
      <c r="AY36" s="786">
        <v>1464332</v>
      </c>
      <c r="AZ36" s="392">
        <v>11101761</v>
      </c>
      <c r="BA36" s="639">
        <f>SUM(SNAMEB[[#This Row],[Instruction Expenditures]:[Transfers Out/OtherFinancing]])+SUM(SNAMEB[[#This Row],[General Fund Balance]:[Other Enterprise FundBalance]])</f>
        <v>45307650</v>
      </c>
      <c r="BB36" s="639">
        <f>SUM(SNAMEB[[#This Row],[Property Tax Revenue]:[IDEA/Other Fed Revenue]])+SNAMEB[General Long-term DebtProceeds]+SNAMEB[TransfersIn/Other Financing]+SNAMEB[Fixed Asset Disposition]+SNAMEB[Beginning Fund Balance]</f>
        <v>45307651</v>
      </c>
    </row>
    <row r="37" spans="1:54" x14ac:dyDescent="0.2">
      <c r="A37" s="390">
        <v>12</v>
      </c>
      <c r="B37" s="391" t="s">
        <v>111</v>
      </c>
      <c r="C37" s="631">
        <v>747</v>
      </c>
      <c r="D37" t="s">
        <v>1037</v>
      </c>
      <c r="E37" s="392">
        <v>1265699</v>
      </c>
      <c r="F37" s="392">
        <v>79324</v>
      </c>
      <c r="G37" s="392">
        <v>488225</v>
      </c>
      <c r="H37" s="392">
        <v>0</v>
      </c>
      <c r="I37" s="392">
        <v>0</v>
      </c>
      <c r="J37" s="392">
        <v>0</v>
      </c>
      <c r="K37" s="392">
        <v>390581</v>
      </c>
      <c r="L37" s="392">
        <v>412145</v>
      </c>
      <c r="M37" s="392">
        <v>0</v>
      </c>
      <c r="N37" s="392">
        <v>19014</v>
      </c>
      <c r="O37" s="392">
        <v>54911</v>
      </c>
      <c r="P37" s="392">
        <v>0</v>
      </c>
      <c r="Q37" s="392">
        <v>2709900</v>
      </c>
      <c r="R37" s="392">
        <v>2796345</v>
      </c>
      <c r="S37" s="392">
        <v>134998</v>
      </c>
      <c r="T37" s="392">
        <v>177833</v>
      </c>
      <c r="U37" s="392">
        <v>324905</v>
      </c>
      <c r="V37" s="392">
        <v>17981</v>
      </c>
      <c r="W37" s="392">
        <v>202111</v>
      </c>
      <c r="X37" s="392">
        <v>256672</v>
      </c>
      <c r="Y37" s="392">
        <v>210733</v>
      </c>
      <c r="Z37" s="392">
        <v>0</v>
      </c>
      <c r="AA37" s="392">
        <v>3690887</v>
      </c>
      <c r="AB37" s="392">
        <v>0</v>
      </c>
      <c r="AC37" s="392">
        <v>690410</v>
      </c>
      <c r="AD37" s="392">
        <v>65931</v>
      </c>
      <c r="AE37" s="392">
        <v>73749</v>
      </c>
      <c r="AF37" s="392">
        <v>287945</v>
      </c>
      <c r="AG37" s="392">
        <v>8930499</v>
      </c>
      <c r="AH37" s="392">
        <v>412883</v>
      </c>
      <c r="AI37" s="392">
        <v>106653</v>
      </c>
      <c r="AJ37" s="392">
        <v>73185</v>
      </c>
      <c r="AK37" s="392">
        <v>9523221</v>
      </c>
      <c r="AL37" s="392">
        <v>2655057</v>
      </c>
      <c r="AM37" s="392">
        <v>5706462</v>
      </c>
      <c r="AN37" s="392">
        <v>119482</v>
      </c>
      <c r="AO37" s="392">
        <v>74294</v>
      </c>
      <c r="AP37" s="392">
        <v>339904</v>
      </c>
      <c r="AQ37" s="392">
        <v>337762</v>
      </c>
      <c r="AR37" s="392">
        <v>235099</v>
      </c>
      <c r="AS37" s="392">
        <v>445467</v>
      </c>
      <c r="AT37" s="392">
        <v>363296</v>
      </c>
      <c r="AU37" s="392">
        <v>341023</v>
      </c>
      <c r="AV37" s="392">
        <v>733080</v>
      </c>
      <c r="AW37" s="392">
        <v>347398</v>
      </c>
      <c r="AX37" s="392">
        <v>304000</v>
      </c>
      <c r="AY37" s="786">
        <v>121111</v>
      </c>
      <c r="AZ37" s="392">
        <v>2709900</v>
      </c>
      <c r="BA37" s="639">
        <f>SUM(SNAMEB[[#This Row],[Instruction Expenditures]:[Transfers Out/OtherFinancing]])+SUM(SNAMEB[[#This Row],[General Fund Balance]:[Other Enterprise FundBalance]])</f>
        <v>12178277</v>
      </c>
      <c r="BB37" s="639">
        <f>SUM(SNAMEB[[#This Row],[Property Tax Revenue]:[IDEA/Other Fed Revenue]])+SNAMEB[General Long-term DebtProceeds]+SNAMEB[TransfersIn/Other Financing]+SNAMEB[Fixed Asset Disposition]+SNAMEB[Beginning Fund Balance]</f>
        <v>12178278</v>
      </c>
    </row>
    <row r="38" spans="1:54" x14ac:dyDescent="0.2">
      <c r="A38" s="390">
        <v>13</v>
      </c>
      <c r="B38" s="391" t="s">
        <v>168</v>
      </c>
      <c r="C38" s="631">
        <v>1917</v>
      </c>
      <c r="D38" t="s">
        <v>1094</v>
      </c>
      <c r="E38" s="392">
        <v>1300671</v>
      </c>
      <c r="F38" s="392">
        <v>49071</v>
      </c>
      <c r="G38" s="392">
        <v>156880</v>
      </c>
      <c r="H38" s="392">
        <v>0</v>
      </c>
      <c r="I38" s="392">
        <v>0</v>
      </c>
      <c r="J38" s="392">
        <v>0</v>
      </c>
      <c r="K38" s="392">
        <v>801113</v>
      </c>
      <c r="L38" s="392">
        <v>159108</v>
      </c>
      <c r="M38" s="392">
        <v>0</v>
      </c>
      <c r="N38" s="392">
        <v>52797</v>
      </c>
      <c r="O38" s="392">
        <v>-10833</v>
      </c>
      <c r="P38" s="392">
        <v>-78613</v>
      </c>
      <c r="Q38" s="392">
        <v>2430194</v>
      </c>
      <c r="R38" s="392">
        <v>2370524</v>
      </c>
      <c r="S38" s="392">
        <v>40720</v>
      </c>
      <c r="T38" s="392">
        <v>194323</v>
      </c>
      <c r="U38" s="392">
        <v>355774</v>
      </c>
      <c r="V38" s="392">
        <v>19177</v>
      </c>
      <c r="W38" s="392">
        <v>121713</v>
      </c>
      <c r="X38" s="392">
        <v>127002</v>
      </c>
      <c r="Y38" s="392">
        <v>274456</v>
      </c>
      <c r="Z38" s="392">
        <v>0</v>
      </c>
      <c r="AA38" s="392">
        <v>2491878</v>
      </c>
      <c r="AB38" s="392">
        <v>0</v>
      </c>
      <c r="AC38" s="392">
        <v>445192</v>
      </c>
      <c r="AD38" s="392">
        <v>14308</v>
      </c>
      <c r="AE38" s="392">
        <v>79846</v>
      </c>
      <c r="AF38" s="392">
        <v>262910</v>
      </c>
      <c r="AG38" s="392">
        <v>6797823</v>
      </c>
      <c r="AH38" s="392">
        <v>0</v>
      </c>
      <c r="AI38" s="392">
        <v>150000</v>
      </c>
      <c r="AJ38" s="392">
        <v>15908</v>
      </c>
      <c r="AK38" s="392">
        <v>6963731</v>
      </c>
      <c r="AL38" s="392">
        <v>1918468</v>
      </c>
      <c r="AM38" s="392">
        <v>3550296</v>
      </c>
      <c r="AN38" s="392">
        <v>140662</v>
      </c>
      <c r="AO38" s="392">
        <v>138013</v>
      </c>
      <c r="AP38" s="392">
        <v>243540</v>
      </c>
      <c r="AQ38" s="392">
        <v>173562</v>
      </c>
      <c r="AR38" s="392">
        <v>122463</v>
      </c>
      <c r="AS38" s="392">
        <v>434760</v>
      </c>
      <c r="AT38" s="392">
        <v>365223</v>
      </c>
      <c r="AU38" s="392">
        <v>419268</v>
      </c>
      <c r="AV38" s="392">
        <v>133602</v>
      </c>
      <c r="AW38" s="392">
        <v>397834</v>
      </c>
      <c r="AX38" s="392">
        <v>182783</v>
      </c>
      <c r="AY38" s="786">
        <v>150000</v>
      </c>
      <c r="AZ38" s="392">
        <v>2430194</v>
      </c>
      <c r="BA38" s="639">
        <f>SUM(SNAMEB[[#This Row],[Instruction Expenditures]:[Transfers Out/OtherFinancing]])+SUM(SNAMEB[[#This Row],[General Fund Balance]:[Other Enterprise FundBalance]])</f>
        <v>8882200</v>
      </c>
      <c r="BB38" s="639">
        <f>SUM(SNAMEB[[#This Row],[Property Tax Revenue]:[IDEA/Other Fed Revenue]])+SNAMEB[General Long-term DebtProceeds]+SNAMEB[TransfersIn/Other Financing]+SNAMEB[Fixed Asset Disposition]+SNAMEB[Beginning Fund Balance]</f>
        <v>8882199</v>
      </c>
    </row>
    <row r="39" spans="1:54" x14ac:dyDescent="0.2">
      <c r="A39" s="390">
        <v>7</v>
      </c>
      <c r="B39" s="391" t="s">
        <v>114</v>
      </c>
      <c r="C39" s="631">
        <v>846</v>
      </c>
      <c r="D39" t="s">
        <v>1039</v>
      </c>
      <c r="E39" s="392">
        <v>1196856</v>
      </c>
      <c r="F39" s="392">
        <v>90978</v>
      </c>
      <c r="G39" s="392">
        <v>992233</v>
      </c>
      <c r="H39" s="392">
        <v>0</v>
      </c>
      <c r="I39" s="392">
        <v>0</v>
      </c>
      <c r="J39" s="392">
        <v>0</v>
      </c>
      <c r="K39" s="392">
        <v>1540506</v>
      </c>
      <c r="L39" s="392">
        <v>507125</v>
      </c>
      <c r="M39" s="392">
        <v>0</v>
      </c>
      <c r="N39" s="392">
        <v>210917</v>
      </c>
      <c r="O39" s="392">
        <v>-32447</v>
      </c>
      <c r="P39" s="392">
        <v>23178</v>
      </c>
      <c r="Q39" s="392">
        <v>4529346</v>
      </c>
      <c r="R39" s="392">
        <v>2763625</v>
      </c>
      <c r="S39" s="392">
        <v>187708</v>
      </c>
      <c r="T39" s="392">
        <v>148330</v>
      </c>
      <c r="U39" s="392">
        <v>324273</v>
      </c>
      <c r="V39" s="392">
        <v>12801</v>
      </c>
      <c r="W39" s="392">
        <v>169174</v>
      </c>
      <c r="X39" s="392">
        <v>226292</v>
      </c>
      <c r="Y39" s="392">
        <v>195579</v>
      </c>
      <c r="Z39" s="392">
        <v>0</v>
      </c>
      <c r="AA39" s="392">
        <v>3037247</v>
      </c>
      <c r="AB39" s="392">
        <v>0</v>
      </c>
      <c r="AC39" s="392">
        <v>570838</v>
      </c>
      <c r="AD39" s="392">
        <v>17358</v>
      </c>
      <c r="AE39" s="392">
        <v>61808</v>
      </c>
      <c r="AF39" s="392">
        <v>272034</v>
      </c>
      <c r="AG39" s="392">
        <v>7987067</v>
      </c>
      <c r="AH39" s="392">
        <v>0</v>
      </c>
      <c r="AI39" s="392">
        <v>58925</v>
      </c>
      <c r="AJ39" s="392">
        <v>310</v>
      </c>
      <c r="AK39" s="392">
        <v>8046303</v>
      </c>
      <c r="AL39" s="392">
        <v>4151749</v>
      </c>
      <c r="AM39" s="392">
        <v>4285091</v>
      </c>
      <c r="AN39" s="392">
        <v>152654</v>
      </c>
      <c r="AO39" s="392">
        <v>210049</v>
      </c>
      <c r="AP39" s="392">
        <v>357562</v>
      </c>
      <c r="AQ39" s="392">
        <v>293467</v>
      </c>
      <c r="AR39" s="392">
        <v>84199</v>
      </c>
      <c r="AS39" s="392">
        <v>747776</v>
      </c>
      <c r="AT39" s="392">
        <v>207233</v>
      </c>
      <c r="AU39" s="392">
        <v>348694</v>
      </c>
      <c r="AV39" s="392">
        <v>264856</v>
      </c>
      <c r="AW39" s="392">
        <v>436483</v>
      </c>
      <c r="AX39" s="392">
        <v>230643</v>
      </c>
      <c r="AY39" s="786">
        <v>50000</v>
      </c>
      <c r="AZ39" s="392">
        <v>4529346</v>
      </c>
      <c r="BA39" s="639">
        <f>SUM(SNAMEB[[#This Row],[Instruction Expenditures]:[Transfers Out/OtherFinancing]])+SUM(SNAMEB[[#This Row],[General Fund Balance]:[Other Enterprise FundBalance]])</f>
        <v>12198053</v>
      </c>
      <c r="BB39" s="639">
        <f>SUM(SNAMEB[[#This Row],[Property Tax Revenue]:[IDEA/Other Fed Revenue]])+SNAMEB[General Long-term DebtProceeds]+SNAMEB[TransfersIn/Other Financing]+SNAMEB[Fixed Asset Disposition]+SNAMEB[Beginning Fund Balance]</f>
        <v>12198051</v>
      </c>
    </row>
    <row r="40" spans="1:54" x14ac:dyDescent="0.2">
      <c r="A40" s="390">
        <v>15</v>
      </c>
      <c r="B40" s="391" t="s">
        <v>116</v>
      </c>
      <c r="C40" s="631">
        <v>882</v>
      </c>
      <c r="D40" t="s">
        <v>1041</v>
      </c>
      <c r="E40" s="392">
        <v>11061585</v>
      </c>
      <c r="F40" s="392">
        <v>394555</v>
      </c>
      <c r="G40" s="392">
        <v>754070</v>
      </c>
      <c r="H40" s="392">
        <v>0</v>
      </c>
      <c r="I40" s="392">
        <v>954476</v>
      </c>
      <c r="J40" s="392">
        <v>0</v>
      </c>
      <c r="K40" s="392">
        <v>3641157</v>
      </c>
      <c r="L40" s="392">
        <v>952438</v>
      </c>
      <c r="M40" s="392">
        <v>0</v>
      </c>
      <c r="N40" s="392">
        <v>3440631</v>
      </c>
      <c r="O40" s="392">
        <v>452662</v>
      </c>
      <c r="P40" s="392">
        <v>0</v>
      </c>
      <c r="Q40" s="392">
        <v>21651574</v>
      </c>
      <c r="R40" s="392">
        <v>14054849</v>
      </c>
      <c r="S40" s="392">
        <v>257509</v>
      </c>
      <c r="T40" s="392">
        <v>0</v>
      </c>
      <c r="U40" s="392">
        <v>669398</v>
      </c>
      <c r="V40" s="392">
        <v>49706</v>
      </c>
      <c r="W40" s="392">
        <v>375281</v>
      </c>
      <c r="X40" s="392">
        <v>324325</v>
      </c>
      <c r="Y40" s="392">
        <v>989248</v>
      </c>
      <c r="Z40" s="392">
        <v>0</v>
      </c>
      <c r="AA40" s="392">
        <v>33064621</v>
      </c>
      <c r="AB40" s="392">
        <v>0</v>
      </c>
      <c r="AC40" s="392">
        <v>4566985</v>
      </c>
      <c r="AD40" s="392">
        <v>546172</v>
      </c>
      <c r="AE40" s="392">
        <v>1385257</v>
      </c>
      <c r="AF40" s="392">
        <v>3482865</v>
      </c>
      <c r="AG40" s="392">
        <v>59766216</v>
      </c>
      <c r="AH40" s="392">
        <v>0</v>
      </c>
      <c r="AI40" s="392">
        <v>2842015</v>
      </c>
      <c r="AJ40" s="392">
        <v>20990</v>
      </c>
      <c r="AK40" s="392">
        <v>62629222</v>
      </c>
      <c r="AL40" s="392">
        <v>19511992</v>
      </c>
      <c r="AM40" s="392">
        <v>34815212</v>
      </c>
      <c r="AN40" s="392">
        <v>1877041</v>
      </c>
      <c r="AO40" s="392">
        <v>2731019</v>
      </c>
      <c r="AP40" s="392">
        <v>870758</v>
      </c>
      <c r="AQ40" s="392">
        <v>2643836</v>
      </c>
      <c r="AR40" s="392">
        <v>1814562</v>
      </c>
      <c r="AS40" s="392">
        <v>3701804</v>
      </c>
      <c r="AT40" s="392">
        <v>1523144</v>
      </c>
      <c r="AU40" s="392">
        <v>1761055</v>
      </c>
      <c r="AV40" s="392">
        <v>1055202</v>
      </c>
      <c r="AW40" s="392">
        <v>2842015</v>
      </c>
      <c r="AX40" s="392">
        <v>2011978</v>
      </c>
      <c r="AY40" s="786">
        <v>2842015</v>
      </c>
      <c r="AZ40" s="392">
        <v>21651574</v>
      </c>
      <c r="BA40" s="639">
        <f>SUM(SNAMEB[[#This Row],[Instruction Expenditures]:[Transfers Out/OtherFinancing]])+SUM(SNAMEB[[#This Row],[General Fund Balance]:[Other Enterprise FundBalance]])</f>
        <v>82141215</v>
      </c>
      <c r="BB40" s="639">
        <f>SUM(SNAMEB[[#This Row],[Property Tax Revenue]:[IDEA/Other Fed Revenue]])+SNAMEB[General Long-term DebtProceeds]+SNAMEB[TransfersIn/Other Financing]+SNAMEB[Fixed Asset Disposition]+SNAMEB[Beginning Fund Balance]</f>
        <v>82141213</v>
      </c>
    </row>
    <row r="41" spans="1:54" x14ac:dyDescent="0.2">
      <c r="A41" s="390">
        <v>7</v>
      </c>
      <c r="B41" s="391" t="s">
        <v>118</v>
      </c>
      <c r="C41" s="631">
        <v>916</v>
      </c>
      <c r="D41" t="s">
        <v>1042</v>
      </c>
      <c r="E41" s="392">
        <v>-187740</v>
      </c>
      <c r="F41" s="392">
        <v>50660</v>
      </c>
      <c r="G41" s="392">
        <v>96760</v>
      </c>
      <c r="H41" s="392">
        <v>0</v>
      </c>
      <c r="I41" s="392">
        <v>0</v>
      </c>
      <c r="J41" s="392">
        <v>0</v>
      </c>
      <c r="K41" s="392">
        <v>385847</v>
      </c>
      <c r="L41" s="392">
        <v>371988</v>
      </c>
      <c r="M41" s="392">
        <v>0</v>
      </c>
      <c r="N41" s="392">
        <v>122885</v>
      </c>
      <c r="O41" s="392">
        <v>97303</v>
      </c>
      <c r="P41" s="392">
        <v>0</v>
      </c>
      <c r="Q41" s="392">
        <v>937702</v>
      </c>
      <c r="R41" s="392">
        <v>1415434</v>
      </c>
      <c r="S41" s="392">
        <v>38028</v>
      </c>
      <c r="T41" s="392">
        <v>122931</v>
      </c>
      <c r="U41" s="392">
        <v>295929</v>
      </c>
      <c r="V41" s="392">
        <v>2226</v>
      </c>
      <c r="W41" s="392">
        <v>43752</v>
      </c>
      <c r="X41" s="392">
        <v>114839</v>
      </c>
      <c r="Y41" s="392">
        <v>134007</v>
      </c>
      <c r="Z41" s="392">
        <v>0</v>
      </c>
      <c r="AA41" s="392">
        <v>1579549</v>
      </c>
      <c r="AB41" s="392">
        <v>0</v>
      </c>
      <c r="AC41" s="392">
        <v>348367</v>
      </c>
      <c r="AD41" s="392">
        <v>6006</v>
      </c>
      <c r="AE41" s="392">
        <v>66611</v>
      </c>
      <c r="AF41" s="392">
        <v>219531</v>
      </c>
      <c r="AG41" s="392">
        <v>4387208</v>
      </c>
      <c r="AH41" s="392">
        <v>0</v>
      </c>
      <c r="AI41" s="392">
        <v>136267</v>
      </c>
      <c r="AJ41" s="392">
        <v>0</v>
      </c>
      <c r="AK41" s="392">
        <v>4523475</v>
      </c>
      <c r="AL41" s="392">
        <v>1029999</v>
      </c>
      <c r="AM41" s="392">
        <v>2922292</v>
      </c>
      <c r="AN41" s="392">
        <v>18278</v>
      </c>
      <c r="AO41" s="392">
        <v>171306</v>
      </c>
      <c r="AP41" s="392">
        <v>51664</v>
      </c>
      <c r="AQ41" s="392">
        <v>123039</v>
      </c>
      <c r="AR41" s="392">
        <v>89064</v>
      </c>
      <c r="AS41" s="392">
        <v>345115</v>
      </c>
      <c r="AT41" s="392">
        <v>257852</v>
      </c>
      <c r="AU41" s="392">
        <v>131747</v>
      </c>
      <c r="AV41" s="392">
        <v>108423</v>
      </c>
      <c r="AW41" s="392">
        <v>139780</v>
      </c>
      <c r="AX41" s="392">
        <v>120945</v>
      </c>
      <c r="AY41" s="786">
        <v>136267</v>
      </c>
      <c r="AZ41" s="392">
        <v>937702</v>
      </c>
      <c r="BA41" s="639">
        <f>SUM(SNAMEB[[#This Row],[Instruction Expenditures]:[Transfers Out/OtherFinancing]])+SUM(SNAMEB[[#This Row],[General Fund Balance]:[Other Enterprise FundBalance]])</f>
        <v>5553475</v>
      </c>
      <c r="BB41" s="639">
        <f>SUM(SNAMEB[[#This Row],[Property Tax Revenue]:[IDEA/Other Fed Revenue]])+SNAMEB[General Long-term DebtProceeds]+SNAMEB[TransfersIn/Other Financing]+SNAMEB[Fixed Asset Disposition]+SNAMEB[Beginning Fund Balance]</f>
        <v>5553476</v>
      </c>
    </row>
    <row r="42" spans="1:54" x14ac:dyDescent="0.2">
      <c r="A42" s="390">
        <v>9</v>
      </c>
      <c r="B42" s="391" t="s">
        <v>119</v>
      </c>
      <c r="C42" s="631">
        <v>918</v>
      </c>
      <c r="D42" t="s">
        <v>1043</v>
      </c>
      <c r="E42" s="392">
        <v>877473</v>
      </c>
      <c r="F42" s="392">
        <v>41768</v>
      </c>
      <c r="G42" s="392">
        <v>335601</v>
      </c>
      <c r="H42" s="392">
        <v>0</v>
      </c>
      <c r="I42" s="392">
        <v>0</v>
      </c>
      <c r="J42" s="392">
        <v>0</v>
      </c>
      <c r="K42" s="392">
        <v>367890</v>
      </c>
      <c r="L42" s="392">
        <v>256533</v>
      </c>
      <c r="M42" s="392">
        <v>0</v>
      </c>
      <c r="N42" s="392">
        <v>0</v>
      </c>
      <c r="O42" s="392">
        <v>-7111</v>
      </c>
      <c r="P42" s="392">
        <v>0</v>
      </c>
      <c r="Q42" s="392">
        <v>1872155</v>
      </c>
      <c r="R42" s="392">
        <v>1827283</v>
      </c>
      <c r="S42" s="392">
        <v>69376</v>
      </c>
      <c r="T42" s="392">
        <v>134615</v>
      </c>
      <c r="U42" s="392">
        <v>432537</v>
      </c>
      <c r="V42" s="392">
        <v>6147</v>
      </c>
      <c r="W42" s="392">
        <v>145608</v>
      </c>
      <c r="X42" s="392">
        <v>68276</v>
      </c>
      <c r="Y42" s="392">
        <v>70697</v>
      </c>
      <c r="Z42" s="392">
        <v>0</v>
      </c>
      <c r="AA42" s="392">
        <v>2653494</v>
      </c>
      <c r="AB42" s="392">
        <v>0</v>
      </c>
      <c r="AC42" s="392">
        <v>472729</v>
      </c>
      <c r="AD42" s="392">
        <v>8670</v>
      </c>
      <c r="AE42" s="392">
        <v>52298</v>
      </c>
      <c r="AF42" s="392">
        <v>202832</v>
      </c>
      <c r="AG42" s="392">
        <v>6144562</v>
      </c>
      <c r="AH42" s="392">
        <v>223005</v>
      </c>
      <c r="AI42" s="392">
        <v>79531</v>
      </c>
      <c r="AJ42" s="392">
        <v>188463</v>
      </c>
      <c r="AK42" s="392">
        <v>6635562</v>
      </c>
      <c r="AL42" s="392">
        <v>1624890</v>
      </c>
      <c r="AM42" s="392">
        <v>3845914</v>
      </c>
      <c r="AN42" s="392">
        <v>160354</v>
      </c>
      <c r="AO42" s="392">
        <v>235608</v>
      </c>
      <c r="AP42" s="392">
        <v>116161</v>
      </c>
      <c r="AQ42" s="392">
        <v>252092</v>
      </c>
      <c r="AR42" s="392">
        <v>95262</v>
      </c>
      <c r="AS42" s="392">
        <v>471111</v>
      </c>
      <c r="AT42" s="392">
        <v>276135</v>
      </c>
      <c r="AU42" s="392">
        <v>271411</v>
      </c>
      <c r="AV42" s="392">
        <v>323716</v>
      </c>
      <c r="AW42" s="392">
        <v>76536</v>
      </c>
      <c r="AX42" s="392">
        <v>187462</v>
      </c>
      <c r="AY42" s="786">
        <v>76536</v>
      </c>
      <c r="AZ42" s="392">
        <v>1872155</v>
      </c>
      <c r="BA42" s="639">
        <f>SUM(SNAMEB[[#This Row],[Instruction Expenditures]:[Transfers Out/OtherFinancing]])+SUM(SNAMEB[[#This Row],[General Fund Balance]:[Other Enterprise FundBalance]])</f>
        <v>8260452</v>
      </c>
      <c r="BB42" s="639">
        <f>SUM(SNAMEB[[#This Row],[Property Tax Revenue]:[IDEA/Other Fed Revenue]])+SNAMEB[General Long-term DebtProceeds]+SNAMEB[TransfersIn/Other Financing]+SNAMEB[Fixed Asset Disposition]+SNAMEB[Beginning Fund Balance]</f>
        <v>8260451</v>
      </c>
    </row>
    <row r="43" spans="1:54" x14ac:dyDescent="0.2">
      <c r="A43" s="390">
        <v>13</v>
      </c>
      <c r="B43" s="391" t="s">
        <v>117</v>
      </c>
      <c r="C43" s="631">
        <v>914</v>
      </c>
      <c r="D43" t="s">
        <v>1478</v>
      </c>
      <c r="E43" s="392">
        <v>819691</v>
      </c>
      <c r="F43" s="392">
        <v>56692</v>
      </c>
      <c r="G43" s="392">
        <v>190755</v>
      </c>
      <c r="H43" s="392">
        <v>0</v>
      </c>
      <c r="I43" s="392">
        <v>0</v>
      </c>
      <c r="J43" s="392">
        <v>0</v>
      </c>
      <c r="K43" s="392">
        <v>437336</v>
      </c>
      <c r="L43" s="392">
        <v>249839</v>
      </c>
      <c r="M43" s="392">
        <v>0</v>
      </c>
      <c r="N43" s="392">
        <v>0</v>
      </c>
      <c r="O43" s="392">
        <v>12600</v>
      </c>
      <c r="P43" s="392">
        <v>0</v>
      </c>
      <c r="Q43" s="392">
        <v>1766912</v>
      </c>
      <c r="R43" s="392">
        <v>2694389</v>
      </c>
      <c r="S43" s="392">
        <v>120159</v>
      </c>
      <c r="T43" s="392">
        <v>212175</v>
      </c>
      <c r="U43" s="392">
        <v>2839561</v>
      </c>
      <c r="V43" s="392">
        <v>5456</v>
      </c>
      <c r="W43" s="392">
        <v>168702</v>
      </c>
      <c r="X43" s="392">
        <v>178159</v>
      </c>
      <c r="Y43" s="392">
        <v>114102</v>
      </c>
      <c r="Z43" s="392">
        <v>5775</v>
      </c>
      <c r="AA43" s="392">
        <v>1775805</v>
      </c>
      <c r="AB43" s="392">
        <v>0</v>
      </c>
      <c r="AC43" s="392">
        <v>461761</v>
      </c>
      <c r="AD43" s="392">
        <v>83534</v>
      </c>
      <c r="AE43" s="392">
        <v>84755</v>
      </c>
      <c r="AF43" s="392">
        <v>241930</v>
      </c>
      <c r="AG43" s="392">
        <v>8986262</v>
      </c>
      <c r="AH43" s="392">
        <v>178666</v>
      </c>
      <c r="AI43" s="392">
        <v>245121</v>
      </c>
      <c r="AJ43" s="392">
        <v>1735</v>
      </c>
      <c r="AK43" s="392">
        <v>9411784</v>
      </c>
      <c r="AL43" s="392">
        <v>1684096</v>
      </c>
      <c r="AM43" s="392">
        <v>6369987</v>
      </c>
      <c r="AN43" s="392">
        <v>75290</v>
      </c>
      <c r="AO43" s="392">
        <v>206253</v>
      </c>
      <c r="AP43" s="392">
        <v>129550</v>
      </c>
      <c r="AQ43" s="392">
        <v>300761</v>
      </c>
      <c r="AR43" s="392">
        <v>94238</v>
      </c>
      <c r="AS43" s="392">
        <v>590295</v>
      </c>
      <c r="AT43" s="392">
        <v>552431</v>
      </c>
      <c r="AU43" s="392">
        <v>320603</v>
      </c>
      <c r="AV43" s="392">
        <v>106856</v>
      </c>
      <c r="AW43" s="392">
        <v>201190</v>
      </c>
      <c r="AX43" s="392">
        <v>180326</v>
      </c>
      <c r="AY43" s="786">
        <v>201190</v>
      </c>
      <c r="AZ43" s="392">
        <v>1766912</v>
      </c>
      <c r="BA43" s="639">
        <f>SUM(SNAMEB[[#This Row],[Instruction Expenditures]:[Transfers Out/OtherFinancing]])+SUM(SNAMEB[[#This Row],[General Fund Balance]:[Other Enterprise FundBalance]])</f>
        <v>11095883</v>
      </c>
      <c r="BB43" s="639">
        <f>SUM(SNAMEB[[#This Row],[Property Tax Revenue]:[IDEA/Other Fed Revenue]])+SNAMEB[General Long-term DebtProceeds]+SNAMEB[TransfersIn/Other Financing]+SNAMEB[Fixed Asset Disposition]+SNAMEB[Beginning Fund Balance]</f>
        <v>11095881</v>
      </c>
    </row>
    <row r="44" spans="1:54" x14ac:dyDescent="0.2">
      <c r="A44" s="390">
        <v>9</v>
      </c>
      <c r="B44" s="391" t="s">
        <v>120</v>
      </c>
      <c r="C44" s="631">
        <v>936</v>
      </c>
      <c r="D44" t="s">
        <v>1044</v>
      </c>
      <c r="E44" s="392">
        <v>880084</v>
      </c>
      <c r="F44" s="392">
        <v>101613</v>
      </c>
      <c r="G44" s="392">
        <v>65478</v>
      </c>
      <c r="H44" s="392">
        <v>0</v>
      </c>
      <c r="I44" s="392">
        <v>0</v>
      </c>
      <c r="J44" s="392">
        <v>0</v>
      </c>
      <c r="K44" s="392">
        <v>378198</v>
      </c>
      <c r="L44" s="392">
        <v>186048</v>
      </c>
      <c r="M44" s="392">
        <v>0</v>
      </c>
      <c r="N44" s="392">
        <v>867423</v>
      </c>
      <c r="O44" s="392">
        <v>-29959</v>
      </c>
      <c r="P44" s="392">
        <v>0</v>
      </c>
      <c r="Q44" s="392">
        <v>2448886</v>
      </c>
      <c r="R44" s="392">
        <v>3811736</v>
      </c>
      <c r="S44" s="392">
        <v>535121</v>
      </c>
      <c r="T44" s="392">
        <v>0</v>
      </c>
      <c r="U44" s="392">
        <v>1631147</v>
      </c>
      <c r="V44" s="392">
        <v>1970</v>
      </c>
      <c r="W44" s="392">
        <v>247945</v>
      </c>
      <c r="X44" s="392">
        <v>396355</v>
      </c>
      <c r="Y44" s="392">
        <v>292222</v>
      </c>
      <c r="Z44" s="392">
        <v>0</v>
      </c>
      <c r="AA44" s="392">
        <v>4981900</v>
      </c>
      <c r="AB44" s="392">
        <v>0</v>
      </c>
      <c r="AC44" s="392">
        <v>892612</v>
      </c>
      <c r="AD44" s="392">
        <v>142257</v>
      </c>
      <c r="AE44" s="392">
        <v>123045</v>
      </c>
      <c r="AF44" s="392">
        <v>339378</v>
      </c>
      <c r="AG44" s="392">
        <v>13395688</v>
      </c>
      <c r="AH44" s="392">
        <v>0</v>
      </c>
      <c r="AI44" s="392">
        <v>721348</v>
      </c>
      <c r="AJ44" s="392">
        <v>0</v>
      </c>
      <c r="AK44" s="392">
        <v>14117036</v>
      </c>
      <c r="AL44" s="392">
        <v>2905624</v>
      </c>
      <c r="AM44" s="392">
        <v>7934923</v>
      </c>
      <c r="AN44" s="392">
        <v>447627</v>
      </c>
      <c r="AO44" s="392">
        <v>372812</v>
      </c>
      <c r="AP44" s="392">
        <v>308237</v>
      </c>
      <c r="AQ44" s="392">
        <v>833039</v>
      </c>
      <c r="AR44" s="392">
        <v>576803</v>
      </c>
      <c r="AS44" s="392">
        <v>954738</v>
      </c>
      <c r="AT44" s="392">
        <v>312328</v>
      </c>
      <c r="AU44" s="392">
        <v>501370</v>
      </c>
      <c r="AV44" s="392">
        <v>293078</v>
      </c>
      <c r="AW44" s="392">
        <v>1048986</v>
      </c>
      <c r="AX44" s="392">
        <v>366145</v>
      </c>
      <c r="AY44" s="786">
        <v>623687</v>
      </c>
      <c r="AZ44" s="392">
        <v>2448886</v>
      </c>
      <c r="BA44" s="639">
        <f>SUM(SNAMEB[[#This Row],[Instruction Expenditures]:[Transfers Out/OtherFinancing]])+SUM(SNAMEB[[#This Row],[General Fund Balance]:[Other Enterprise FundBalance]])</f>
        <v>17022658</v>
      </c>
      <c r="BB44" s="639">
        <f>SUM(SNAMEB[[#This Row],[Property Tax Revenue]:[IDEA/Other Fed Revenue]])+SNAMEB[General Long-term DebtProceeds]+SNAMEB[TransfersIn/Other Financing]+SNAMEB[Fixed Asset Disposition]+SNAMEB[Beginning Fund Balance]</f>
        <v>17022660</v>
      </c>
    </row>
    <row r="45" spans="1:54" x14ac:dyDescent="0.2">
      <c r="A45" s="390">
        <v>15</v>
      </c>
      <c r="B45" s="391" t="s">
        <v>121</v>
      </c>
      <c r="C45" s="631">
        <v>977</v>
      </c>
      <c r="D45" t="s">
        <v>1045</v>
      </c>
      <c r="E45" s="392">
        <v>693608</v>
      </c>
      <c r="F45" s="392">
        <v>107873</v>
      </c>
      <c r="G45" s="392">
        <v>459608</v>
      </c>
      <c r="H45" s="392">
        <v>0</v>
      </c>
      <c r="I45" s="392">
        <v>0</v>
      </c>
      <c r="J45" s="392">
        <v>0</v>
      </c>
      <c r="K45" s="392">
        <v>741557</v>
      </c>
      <c r="L45" s="392">
        <v>233053</v>
      </c>
      <c r="M45" s="392">
        <v>0</v>
      </c>
      <c r="N45" s="392">
        <v>292604</v>
      </c>
      <c r="O45" s="392">
        <v>-1990</v>
      </c>
      <c r="P45" s="392">
        <v>0</v>
      </c>
      <c r="Q45" s="392">
        <v>2526312</v>
      </c>
      <c r="R45" s="392">
        <v>2173996</v>
      </c>
      <c r="S45" s="392">
        <v>57774</v>
      </c>
      <c r="T45" s="392">
        <v>71966</v>
      </c>
      <c r="U45" s="392">
        <v>1338961</v>
      </c>
      <c r="V45" s="392">
        <v>6084</v>
      </c>
      <c r="W45" s="392">
        <v>122587</v>
      </c>
      <c r="X45" s="392">
        <v>249233</v>
      </c>
      <c r="Y45" s="392">
        <v>281208</v>
      </c>
      <c r="Z45" s="392">
        <v>0</v>
      </c>
      <c r="AA45" s="392">
        <v>3562836</v>
      </c>
      <c r="AB45" s="392">
        <v>0</v>
      </c>
      <c r="AC45" s="392">
        <v>825044</v>
      </c>
      <c r="AD45" s="392">
        <v>10740</v>
      </c>
      <c r="AE45" s="392">
        <v>150586</v>
      </c>
      <c r="AF45" s="392">
        <v>619868</v>
      </c>
      <c r="AG45" s="392">
        <v>9470883</v>
      </c>
      <c r="AH45" s="392">
        <v>6255004</v>
      </c>
      <c r="AI45" s="392">
        <v>1398119</v>
      </c>
      <c r="AJ45" s="392">
        <v>0</v>
      </c>
      <c r="AK45" s="392">
        <v>17124005</v>
      </c>
      <c r="AL45" s="392">
        <v>3302284</v>
      </c>
      <c r="AM45" s="392">
        <v>5569109</v>
      </c>
      <c r="AN45" s="392">
        <v>135452</v>
      </c>
      <c r="AO45" s="392">
        <v>835279</v>
      </c>
      <c r="AP45" s="392">
        <v>490643</v>
      </c>
      <c r="AQ45" s="392">
        <v>390712</v>
      </c>
      <c r="AR45" s="392">
        <v>148805</v>
      </c>
      <c r="AS45" s="392">
        <v>754626</v>
      </c>
      <c r="AT45" s="392">
        <v>561063</v>
      </c>
      <c r="AU45" s="392">
        <v>528691</v>
      </c>
      <c r="AV45" s="392">
        <v>5949116</v>
      </c>
      <c r="AW45" s="392">
        <v>838258</v>
      </c>
      <c r="AX45" s="392">
        <v>239231</v>
      </c>
      <c r="AY45" s="786">
        <v>1458993</v>
      </c>
      <c r="AZ45" s="392">
        <v>2526312</v>
      </c>
      <c r="BA45" s="639">
        <f>SUM(SNAMEB[[#This Row],[Instruction Expenditures]:[Transfers Out/OtherFinancing]])+SUM(SNAMEB[[#This Row],[General Fund Balance]:[Other Enterprise FundBalance]])</f>
        <v>20426291</v>
      </c>
      <c r="BB45" s="639">
        <f>SUM(SNAMEB[[#This Row],[Property Tax Revenue]:[IDEA/Other Fed Revenue]])+SNAMEB[General Long-term DebtProceeds]+SNAMEB[TransfersIn/Other Financing]+SNAMEB[Fixed Asset Disposition]+SNAMEB[Beginning Fund Balance]</f>
        <v>20426290</v>
      </c>
    </row>
    <row r="46" spans="1:54" x14ac:dyDescent="0.2">
      <c r="A46" s="390">
        <v>11</v>
      </c>
      <c r="B46" s="391" t="s">
        <v>122</v>
      </c>
      <c r="C46" s="631">
        <v>981</v>
      </c>
      <c r="D46" t="s">
        <v>1046</v>
      </c>
      <c r="E46" s="392">
        <v>5760096</v>
      </c>
      <c r="F46" s="392">
        <v>156806</v>
      </c>
      <c r="G46" s="392">
        <v>731161</v>
      </c>
      <c r="H46" s="392">
        <v>0</v>
      </c>
      <c r="I46" s="392">
        <v>0</v>
      </c>
      <c r="J46" s="392">
        <v>0</v>
      </c>
      <c r="K46" s="392">
        <v>1460157</v>
      </c>
      <c r="L46" s="392">
        <v>265656</v>
      </c>
      <c r="M46" s="392">
        <v>0</v>
      </c>
      <c r="N46" s="392">
        <v>720766</v>
      </c>
      <c r="O46" s="392">
        <v>267379</v>
      </c>
      <c r="P46" s="392">
        <v>35867</v>
      </c>
      <c r="Q46" s="392">
        <v>9397887</v>
      </c>
      <c r="R46" s="392">
        <v>5476299</v>
      </c>
      <c r="S46" s="392">
        <v>88246</v>
      </c>
      <c r="T46" s="392">
        <v>0</v>
      </c>
      <c r="U46" s="392">
        <v>1414852</v>
      </c>
      <c r="V46" s="392">
        <v>22013</v>
      </c>
      <c r="W46" s="392">
        <v>517724</v>
      </c>
      <c r="X46" s="392">
        <v>342751</v>
      </c>
      <c r="Y46" s="392">
        <v>805971</v>
      </c>
      <c r="Z46" s="392">
        <v>0</v>
      </c>
      <c r="AA46" s="392">
        <v>12919956</v>
      </c>
      <c r="AB46" s="392">
        <v>0</v>
      </c>
      <c r="AC46" s="392">
        <v>2464313</v>
      </c>
      <c r="AD46" s="392">
        <v>21453</v>
      </c>
      <c r="AE46" s="392">
        <v>168940</v>
      </c>
      <c r="AF46" s="392">
        <v>894450</v>
      </c>
      <c r="AG46" s="392">
        <v>25136966</v>
      </c>
      <c r="AH46" s="392">
        <v>10735000</v>
      </c>
      <c r="AI46" s="392">
        <v>3389391</v>
      </c>
      <c r="AJ46" s="392">
        <v>0</v>
      </c>
      <c r="AK46" s="392">
        <v>39261357</v>
      </c>
      <c r="AL46" s="392">
        <v>11865290</v>
      </c>
      <c r="AM46" s="392">
        <v>13314911</v>
      </c>
      <c r="AN46" s="392">
        <v>675608</v>
      </c>
      <c r="AO46" s="392">
        <v>921022</v>
      </c>
      <c r="AP46" s="392">
        <v>524934</v>
      </c>
      <c r="AQ46" s="392">
        <v>1217087</v>
      </c>
      <c r="AR46" s="392">
        <v>986920</v>
      </c>
      <c r="AS46" s="392">
        <v>1578509</v>
      </c>
      <c r="AT46" s="392">
        <v>877994</v>
      </c>
      <c r="AU46" s="392">
        <v>941069</v>
      </c>
      <c r="AV46" s="392">
        <v>1514281</v>
      </c>
      <c r="AW46" s="392">
        <v>15007663</v>
      </c>
      <c r="AX46" s="392">
        <v>779370</v>
      </c>
      <c r="AY46" s="786">
        <v>3389391</v>
      </c>
      <c r="AZ46" s="392">
        <v>9397887</v>
      </c>
      <c r="BA46" s="639">
        <f>SUM(SNAMEB[[#This Row],[Instruction Expenditures]:[Transfers Out/OtherFinancing]])+SUM(SNAMEB[[#This Row],[General Fund Balance]:[Other Enterprise FundBalance]])</f>
        <v>51126647</v>
      </c>
      <c r="BB46" s="639">
        <f>SUM(SNAMEB[[#This Row],[Property Tax Revenue]:[IDEA/Other Fed Revenue]])+SNAMEB[General Long-term DebtProceeds]+SNAMEB[TransfersIn/Other Financing]+SNAMEB[Fixed Asset Disposition]+SNAMEB[Beginning Fund Balance]</f>
        <v>51126649</v>
      </c>
    </row>
    <row r="47" spans="1:54" x14ac:dyDescent="0.2">
      <c r="A47" s="390">
        <v>11</v>
      </c>
      <c r="B47" s="391" t="s">
        <v>123</v>
      </c>
      <c r="C47" s="631">
        <v>999</v>
      </c>
      <c r="D47" t="s">
        <v>1047</v>
      </c>
      <c r="E47" s="392">
        <v>4002730</v>
      </c>
      <c r="F47" s="392">
        <v>143363</v>
      </c>
      <c r="G47" s="392">
        <v>1272646</v>
      </c>
      <c r="H47" s="392">
        <v>0</v>
      </c>
      <c r="I47" s="392">
        <v>0</v>
      </c>
      <c r="J47" s="392">
        <v>0</v>
      </c>
      <c r="K47" s="392">
        <v>1687295</v>
      </c>
      <c r="L47" s="392">
        <v>246766</v>
      </c>
      <c r="M47" s="392">
        <v>0</v>
      </c>
      <c r="N47" s="392">
        <v>68432</v>
      </c>
      <c r="O47" s="392">
        <v>336590</v>
      </c>
      <c r="P47" s="392">
        <v>0</v>
      </c>
      <c r="Q47" s="392">
        <v>7757822</v>
      </c>
      <c r="R47" s="392">
        <v>7557556</v>
      </c>
      <c r="S47" s="392">
        <v>247903</v>
      </c>
      <c r="T47" s="392">
        <v>0</v>
      </c>
      <c r="U47" s="392">
        <v>721326</v>
      </c>
      <c r="V47" s="392">
        <v>25654</v>
      </c>
      <c r="W47" s="392">
        <v>476266</v>
      </c>
      <c r="X47" s="392">
        <v>147933</v>
      </c>
      <c r="Y47" s="392">
        <v>539517</v>
      </c>
      <c r="Z47" s="392">
        <v>0</v>
      </c>
      <c r="AA47" s="392">
        <v>8166811</v>
      </c>
      <c r="AB47" s="392">
        <v>0</v>
      </c>
      <c r="AC47" s="392">
        <v>2569546</v>
      </c>
      <c r="AD47" s="392">
        <v>318982</v>
      </c>
      <c r="AE47" s="392">
        <v>225945</v>
      </c>
      <c r="AF47" s="392">
        <v>925467</v>
      </c>
      <c r="AG47" s="392">
        <v>21922905</v>
      </c>
      <c r="AH47" s="392">
        <v>0</v>
      </c>
      <c r="AI47" s="392">
        <v>616957</v>
      </c>
      <c r="AJ47" s="392">
        <v>600</v>
      </c>
      <c r="AK47" s="392">
        <v>22540462</v>
      </c>
      <c r="AL47" s="392">
        <v>10456273</v>
      </c>
      <c r="AM47" s="392">
        <v>13172063</v>
      </c>
      <c r="AN47" s="392">
        <v>645295</v>
      </c>
      <c r="AO47" s="392">
        <v>598943</v>
      </c>
      <c r="AP47" s="392">
        <v>321786</v>
      </c>
      <c r="AQ47" s="392">
        <v>811091</v>
      </c>
      <c r="AR47" s="392">
        <v>345916</v>
      </c>
      <c r="AS47" s="392">
        <v>1507224</v>
      </c>
      <c r="AT47" s="392">
        <v>1089082</v>
      </c>
      <c r="AU47" s="392">
        <v>924190</v>
      </c>
      <c r="AV47" s="392">
        <v>3604902</v>
      </c>
      <c r="AW47" s="392">
        <v>616957</v>
      </c>
      <c r="AX47" s="392">
        <v>761642</v>
      </c>
      <c r="AY47" s="786">
        <v>839822</v>
      </c>
      <c r="AZ47" s="392">
        <v>7757822</v>
      </c>
      <c r="BA47" s="639">
        <f>SUM(SNAMEB[[#This Row],[Instruction Expenditures]:[Transfers Out/OtherFinancing]])+SUM(SNAMEB[[#This Row],[General Fund Balance]:[Other Enterprise FundBalance]])</f>
        <v>32996735</v>
      </c>
      <c r="BB47" s="639">
        <f>SUM(SNAMEB[[#This Row],[Property Tax Revenue]:[IDEA/Other Fed Revenue]])+SNAMEB[General Long-term DebtProceeds]+SNAMEB[TransfersIn/Other Financing]+SNAMEB[Fixed Asset Disposition]+SNAMEB[Beginning Fund Balance]</f>
        <v>32996736</v>
      </c>
    </row>
    <row r="48" spans="1:54" x14ac:dyDescent="0.2">
      <c r="A48" s="390">
        <v>7</v>
      </c>
      <c r="B48" s="391" t="s">
        <v>124</v>
      </c>
      <c r="C48" s="631">
        <v>1044</v>
      </c>
      <c r="D48" t="s">
        <v>1048</v>
      </c>
      <c r="E48" s="392">
        <v>5483507</v>
      </c>
      <c r="F48" s="392">
        <v>611794</v>
      </c>
      <c r="G48" s="392">
        <v>938300</v>
      </c>
      <c r="H48" s="392">
        <v>0</v>
      </c>
      <c r="I48" s="392">
        <v>15561</v>
      </c>
      <c r="J48" s="392">
        <v>0</v>
      </c>
      <c r="K48" s="392">
        <v>10061719</v>
      </c>
      <c r="L48" s="392">
        <v>3178218</v>
      </c>
      <c r="M48" s="392">
        <v>0</v>
      </c>
      <c r="N48" s="392">
        <v>0</v>
      </c>
      <c r="O48" s="392">
        <v>350371</v>
      </c>
      <c r="P48" s="392">
        <v>0</v>
      </c>
      <c r="Q48" s="392">
        <v>20639471</v>
      </c>
      <c r="R48" s="392">
        <v>20844481</v>
      </c>
      <c r="S48" s="392">
        <v>75869</v>
      </c>
      <c r="T48" s="392">
        <v>0</v>
      </c>
      <c r="U48" s="392">
        <v>2829940</v>
      </c>
      <c r="V48" s="392">
        <v>103255</v>
      </c>
      <c r="W48" s="392">
        <v>1579382</v>
      </c>
      <c r="X48" s="392">
        <v>1294366</v>
      </c>
      <c r="Y48" s="392">
        <v>524913</v>
      </c>
      <c r="Z48" s="392">
        <v>0</v>
      </c>
      <c r="AA48" s="392">
        <v>27556719</v>
      </c>
      <c r="AB48" s="392">
        <v>0</v>
      </c>
      <c r="AC48" s="392">
        <v>4902533</v>
      </c>
      <c r="AD48" s="392">
        <v>678159</v>
      </c>
      <c r="AE48" s="392">
        <v>456026</v>
      </c>
      <c r="AF48" s="392">
        <v>2578091</v>
      </c>
      <c r="AG48" s="392">
        <v>63423736</v>
      </c>
      <c r="AH48" s="392">
        <v>0</v>
      </c>
      <c r="AI48" s="392">
        <v>4211120</v>
      </c>
      <c r="AJ48" s="392">
        <v>21434</v>
      </c>
      <c r="AK48" s="392">
        <v>67656290</v>
      </c>
      <c r="AL48" s="392">
        <v>20551318</v>
      </c>
      <c r="AM48" s="392">
        <v>37660510</v>
      </c>
      <c r="AN48" s="392">
        <v>1578255</v>
      </c>
      <c r="AO48" s="392">
        <v>1814357</v>
      </c>
      <c r="AP48" s="392">
        <v>1064031</v>
      </c>
      <c r="AQ48" s="392">
        <v>3423379</v>
      </c>
      <c r="AR48" s="392">
        <v>1676521</v>
      </c>
      <c r="AS48" s="392">
        <v>4571206</v>
      </c>
      <c r="AT48" s="392">
        <v>1912069</v>
      </c>
      <c r="AU48" s="392">
        <v>2283395</v>
      </c>
      <c r="AV48" s="392">
        <v>1987715</v>
      </c>
      <c r="AW48" s="392">
        <v>2780441</v>
      </c>
      <c r="AX48" s="392">
        <v>2192843</v>
      </c>
      <c r="AY48" s="786">
        <v>4623416</v>
      </c>
      <c r="AZ48" s="392">
        <v>20639471</v>
      </c>
      <c r="BA48" s="639">
        <f>SUM(SNAMEB[[#This Row],[Instruction Expenditures]:[Transfers Out/OtherFinancing]])+SUM(SNAMEB[[#This Row],[General Fund Balance]:[Other Enterprise FundBalance]])</f>
        <v>88207608</v>
      </c>
      <c r="BB48" s="639">
        <f>SUM(SNAMEB[[#This Row],[Property Tax Revenue]:[IDEA/Other Fed Revenue]])+SNAMEB[General Long-term DebtProceeds]+SNAMEB[TransfersIn/Other Financing]+SNAMEB[Fixed Asset Disposition]+SNAMEB[Beginning Fund Balance]</f>
        <v>88207606</v>
      </c>
    </row>
    <row r="49" spans="1:54" x14ac:dyDescent="0.2">
      <c r="A49" s="390">
        <v>10</v>
      </c>
      <c r="B49" s="391" t="s">
        <v>125</v>
      </c>
      <c r="C49" s="631">
        <v>1053</v>
      </c>
      <c r="D49" t="s">
        <v>1049</v>
      </c>
      <c r="E49" s="392">
        <v>25646006</v>
      </c>
      <c r="F49" s="392">
        <v>1251726</v>
      </c>
      <c r="G49" s="392">
        <v>4231479</v>
      </c>
      <c r="H49" s="392">
        <v>0</v>
      </c>
      <c r="I49" s="392">
        <v>0</v>
      </c>
      <c r="J49" s="392">
        <v>0</v>
      </c>
      <c r="K49" s="392">
        <v>8227453</v>
      </c>
      <c r="L49" s="392">
        <v>7503239</v>
      </c>
      <c r="M49" s="392">
        <v>0</v>
      </c>
      <c r="N49" s="392">
        <v>12618618</v>
      </c>
      <c r="O49" s="392">
        <v>760209</v>
      </c>
      <c r="P49" s="392">
        <v>-1213242</v>
      </c>
      <c r="Q49" s="392">
        <v>59025488</v>
      </c>
      <c r="R49" s="392">
        <v>73440628</v>
      </c>
      <c r="S49" s="392">
        <v>3632238</v>
      </c>
      <c r="T49" s="392">
        <v>7168294</v>
      </c>
      <c r="U49" s="392">
        <v>4788946</v>
      </c>
      <c r="V49" s="392">
        <v>156664</v>
      </c>
      <c r="W49" s="392">
        <v>2977653</v>
      </c>
      <c r="X49" s="392">
        <v>4438258</v>
      </c>
      <c r="Y49" s="392">
        <v>8602364</v>
      </c>
      <c r="Z49" s="392">
        <v>0</v>
      </c>
      <c r="AA49" s="392">
        <v>106601172</v>
      </c>
      <c r="AB49" s="392">
        <v>0</v>
      </c>
      <c r="AC49" s="392">
        <v>19132961</v>
      </c>
      <c r="AD49" s="392">
        <v>2789376</v>
      </c>
      <c r="AE49" s="392">
        <v>3553890</v>
      </c>
      <c r="AF49" s="392">
        <v>11715352</v>
      </c>
      <c r="AG49" s="392">
        <v>248997796</v>
      </c>
      <c r="AH49" s="392">
        <v>15470560</v>
      </c>
      <c r="AI49" s="392">
        <v>11386652</v>
      </c>
      <c r="AJ49" s="392">
        <v>62150</v>
      </c>
      <c r="AK49" s="392">
        <v>275917158</v>
      </c>
      <c r="AL49" s="392">
        <v>50727425</v>
      </c>
      <c r="AM49" s="392">
        <v>134631439</v>
      </c>
      <c r="AN49" s="392">
        <v>5503670</v>
      </c>
      <c r="AO49" s="392">
        <v>15005376</v>
      </c>
      <c r="AP49" s="392">
        <v>4146951</v>
      </c>
      <c r="AQ49" s="392">
        <v>13342577</v>
      </c>
      <c r="AR49" s="392">
        <v>5755010</v>
      </c>
      <c r="AS49" s="392">
        <v>16670519</v>
      </c>
      <c r="AT49" s="392">
        <v>7764384</v>
      </c>
      <c r="AU49" s="392">
        <v>11887647</v>
      </c>
      <c r="AV49" s="392">
        <v>9477168</v>
      </c>
      <c r="AW49" s="392">
        <v>24728362</v>
      </c>
      <c r="AX49" s="392">
        <v>7319340</v>
      </c>
      <c r="AY49" s="786">
        <v>11386652</v>
      </c>
      <c r="AZ49" s="392">
        <v>59025488</v>
      </c>
      <c r="BA49" s="639">
        <f>SUM(SNAMEB[[#This Row],[Instruction Expenditures]:[Transfers Out/OtherFinancing]])+SUM(SNAMEB[[#This Row],[General Fund Balance]:[Other Enterprise FundBalance]])</f>
        <v>326644583</v>
      </c>
      <c r="BB49" s="639">
        <f>SUM(SNAMEB[[#This Row],[Property Tax Revenue]:[IDEA/Other Fed Revenue]])+SNAMEB[General Long-term DebtProceeds]+SNAMEB[TransfersIn/Other Financing]+SNAMEB[Fixed Asset Disposition]+SNAMEB[Beginning Fund Balance]</f>
        <v>326644583</v>
      </c>
    </row>
    <row r="50" spans="1:54" x14ac:dyDescent="0.2">
      <c r="A50" s="390">
        <v>10</v>
      </c>
      <c r="B50" s="391" t="s">
        <v>126</v>
      </c>
      <c r="C50" s="631">
        <v>1062</v>
      </c>
      <c r="D50" t="s">
        <v>637</v>
      </c>
      <c r="E50" s="392">
        <v>1268075</v>
      </c>
      <c r="F50" s="392">
        <v>258061</v>
      </c>
      <c r="G50" s="392">
        <v>78209</v>
      </c>
      <c r="H50" s="392">
        <v>0</v>
      </c>
      <c r="I50" s="392">
        <v>0</v>
      </c>
      <c r="J50" s="392">
        <v>0</v>
      </c>
      <c r="K50" s="392">
        <v>1096747</v>
      </c>
      <c r="L50" s="392">
        <v>12776</v>
      </c>
      <c r="M50" s="392">
        <v>567695</v>
      </c>
      <c r="N50" s="392">
        <v>2145139</v>
      </c>
      <c r="O50" s="392">
        <v>-170965</v>
      </c>
      <c r="P50" s="392">
        <v>0</v>
      </c>
      <c r="Q50" s="392">
        <v>5255738</v>
      </c>
      <c r="R50" s="392">
        <v>4622109</v>
      </c>
      <c r="S50" s="392">
        <v>53342</v>
      </c>
      <c r="T50" s="392">
        <v>526777</v>
      </c>
      <c r="U50" s="392">
        <v>1544174</v>
      </c>
      <c r="V50" s="392">
        <v>77266</v>
      </c>
      <c r="W50" s="392">
        <v>524727</v>
      </c>
      <c r="X50" s="392">
        <v>746448</v>
      </c>
      <c r="Y50" s="392">
        <v>341826</v>
      </c>
      <c r="Z50" s="392">
        <v>0</v>
      </c>
      <c r="AA50" s="392">
        <v>8578112</v>
      </c>
      <c r="AB50" s="392">
        <v>0</v>
      </c>
      <c r="AC50" s="392">
        <v>1717046</v>
      </c>
      <c r="AD50" s="392">
        <v>69424</v>
      </c>
      <c r="AE50" s="392">
        <v>57754</v>
      </c>
      <c r="AF50" s="392">
        <v>459315</v>
      </c>
      <c r="AG50" s="392">
        <v>19318321</v>
      </c>
      <c r="AH50" s="392">
        <v>1833457</v>
      </c>
      <c r="AI50" s="392">
        <v>1106169</v>
      </c>
      <c r="AJ50" s="392">
        <v>0</v>
      </c>
      <c r="AK50" s="392">
        <v>22257947</v>
      </c>
      <c r="AL50" s="392">
        <v>10350402</v>
      </c>
      <c r="AM50" s="392">
        <v>10749806</v>
      </c>
      <c r="AN50" s="392">
        <v>434591</v>
      </c>
      <c r="AO50" s="392">
        <v>890394</v>
      </c>
      <c r="AP50" s="392">
        <v>299864</v>
      </c>
      <c r="AQ50" s="392">
        <v>774123</v>
      </c>
      <c r="AR50" s="392">
        <v>688390</v>
      </c>
      <c r="AS50" s="392">
        <v>1160038</v>
      </c>
      <c r="AT50" s="392">
        <v>638409</v>
      </c>
      <c r="AU50" s="392">
        <v>694802</v>
      </c>
      <c r="AV50" s="392">
        <v>7275169</v>
      </c>
      <c r="AW50" s="392">
        <v>2089660</v>
      </c>
      <c r="AX50" s="392">
        <v>546261</v>
      </c>
      <c r="AY50" s="786">
        <v>1111106</v>
      </c>
      <c r="AZ50" s="392">
        <v>5255738</v>
      </c>
      <c r="BA50" s="639">
        <f>SUM(SNAMEB[[#This Row],[Instruction Expenditures]:[Transfers Out/OtherFinancing]])+SUM(SNAMEB[[#This Row],[General Fund Balance]:[Other Enterprise FundBalance]])</f>
        <v>32608350</v>
      </c>
      <c r="BB50" s="639">
        <f>SUM(SNAMEB[[#This Row],[Property Tax Revenue]:[IDEA/Other Fed Revenue]])+SNAMEB[General Long-term DebtProceeds]+SNAMEB[TransfersIn/Other Financing]+SNAMEB[Fixed Asset Disposition]+SNAMEB[Beginning Fund Balance]</f>
        <v>32608348</v>
      </c>
    </row>
    <row r="51" spans="1:54" x14ac:dyDescent="0.2">
      <c r="A51" s="390">
        <v>15</v>
      </c>
      <c r="B51" s="391" t="s">
        <v>127</v>
      </c>
      <c r="C51" s="631">
        <v>1071</v>
      </c>
      <c r="D51" t="s">
        <v>1051</v>
      </c>
      <c r="E51" s="392">
        <v>2366368</v>
      </c>
      <c r="F51" s="392">
        <v>155425</v>
      </c>
      <c r="G51" s="392">
        <v>803429</v>
      </c>
      <c r="H51" s="392">
        <v>0</v>
      </c>
      <c r="I51" s="392">
        <v>248916</v>
      </c>
      <c r="J51" s="392">
        <v>0</v>
      </c>
      <c r="K51" s="392">
        <v>2531508</v>
      </c>
      <c r="L51" s="392">
        <v>-109</v>
      </c>
      <c r="M51" s="392">
        <v>0</v>
      </c>
      <c r="N51" s="392">
        <v>33086</v>
      </c>
      <c r="O51" s="392">
        <v>-78088</v>
      </c>
      <c r="P51" s="392">
        <v>0</v>
      </c>
      <c r="Q51" s="392">
        <v>6060534</v>
      </c>
      <c r="R51" s="392">
        <v>4225965</v>
      </c>
      <c r="S51" s="392">
        <v>337336</v>
      </c>
      <c r="T51" s="392">
        <v>153912</v>
      </c>
      <c r="U51" s="392">
        <v>382174</v>
      </c>
      <c r="V51" s="392">
        <v>28510</v>
      </c>
      <c r="W51" s="392">
        <v>215939</v>
      </c>
      <c r="X51" s="392">
        <v>250988</v>
      </c>
      <c r="Y51" s="392">
        <v>292464</v>
      </c>
      <c r="Z51" s="392">
        <v>0</v>
      </c>
      <c r="AA51" s="392">
        <v>9179210</v>
      </c>
      <c r="AB51" s="392">
        <v>0</v>
      </c>
      <c r="AC51" s="392">
        <v>1342954</v>
      </c>
      <c r="AD51" s="392">
        <v>132484</v>
      </c>
      <c r="AE51" s="392">
        <v>396594</v>
      </c>
      <c r="AF51" s="392">
        <v>958317</v>
      </c>
      <c r="AG51" s="392">
        <v>17896847</v>
      </c>
      <c r="AH51" s="392">
        <v>0</v>
      </c>
      <c r="AI51" s="392">
        <v>505556</v>
      </c>
      <c r="AJ51" s="392">
        <v>0</v>
      </c>
      <c r="AK51" s="392">
        <v>18402403</v>
      </c>
      <c r="AL51" s="392">
        <v>7146037</v>
      </c>
      <c r="AM51" s="392">
        <v>10781355</v>
      </c>
      <c r="AN51" s="392">
        <v>553023</v>
      </c>
      <c r="AO51" s="392">
        <v>563432</v>
      </c>
      <c r="AP51" s="392">
        <v>395511</v>
      </c>
      <c r="AQ51" s="392">
        <v>879588</v>
      </c>
      <c r="AR51" s="392">
        <v>394143</v>
      </c>
      <c r="AS51" s="392">
        <v>1050133</v>
      </c>
      <c r="AT51" s="392">
        <v>516740</v>
      </c>
      <c r="AU51" s="392">
        <v>633401</v>
      </c>
      <c r="AV51" s="392">
        <v>2473738</v>
      </c>
      <c r="AW51" s="392">
        <v>273795</v>
      </c>
      <c r="AX51" s="392">
        <v>560250</v>
      </c>
      <c r="AY51" s="786">
        <v>412797</v>
      </c>
      <c r="AZ51" s="392">
        <v>6060534</v>
      </c>
      <c r="BA51" s="639">
        <f>SUM(SNAMEB[[#This Row],[Instruction Expenditures]:[Transfers Out/OtherFinancing]])+SUM(SNAMEB[[#This Row],[General Fund Balance]:[Other Enterprise FundBalance]])</f>
        <v>25548441</v>
      </c>
      <c r="BB51" s="639">
        <f>SUM(SNAMEB[[#This Row],[Property Tax Revenue]:[IDEA/Other Fed Revenue]])+SNAMEB[General Long-term DebtProceeds]+SNAMEB[TransfersIn/Other Financing]+SNAMEB[Fixed Asset Disposition]+SNAMEB[Beginning Fund Balance]</f>
        <v>25548440</v>
      </c>
    </row>
    <row r="52" spans="1:54" x14ac:dyDescent="0.2">
      <c r="A52" s="390">
        <v>10</v>
      </c>
      <c r="B52" s="391" t="s">
        <v>131</v>
      </c>
      <c r="C52" s="631">
        <v>1089</v>
      </c>
      <c r="D52" t="s">
        <v>1054</v>
      </c>
      <c r="E52" s="392">
        <v>54061</v>
      </c>
      <c r="F52" s="392">
        <v>36864</v>
      </c>
      <c r="G52" s="392">
        <v>102609</v>
      </c>
      <c r="H52" s="392">
        <v>0</v>
      </c>
      <c r="I52" s="392">
        <v>0</v>
      </c>
      <c r="J52" s="392">
        <v>0</v>
      </c>
      <c r="K52" s="392">
        <v>554680</v>
      </c>
      <c r="L52" s="392">
        <v>155568</v>
      </c>
      <c r="M52" s="392">
        <v>14</v>
      </c>
      <c r="N52" s="392">
        <v>300179</v>
      </c>
      <c r="O52" s="392">
        <v>35903</v>
      </c>
      <c r="P52" s="392">
        <v>-256849</v>
      </c>
      <c r="Q52" s="392">
        <v>983029</v>
      </c>
      <c r="R52" s="392">
        <v>2200815</v>
      </c>
      <c r="S52" s="392">
        <v>43748</v>
      </c>
      <c r="T52" s="392">
        <v>0</v>
      </c>
      <c r="U52" s="392">
        <v>279445</v>
      </c>
      <c r="V52" s="392">
        <v>2329</v>
      </c>
      <c r="W52" s="392">
        <v>117200</v>
      </c>
      <c r="X52" s="392">
        <v>120358</v>
      </c>
      <c r="Y52" s="392">
        <v>409849</v>
      </c>
      <c r="Z52" s="392">
        <v>0</v>
      </c>
      <c r="AA52" s="392">
        <v>3114792</v>
      </c>
      <c r="AB52" s="392">
        <v>0</v>
      </c>
      <c r="AC52" s="392">
        <v>473735</v>
      </c>
      <c r="AD52" s="392">
        <v>58206</v>
      </c>
      <c r="AE52" s="392">
        <v>55360</v>
      </c>
      <c r="AF52" s="392">
        <v>240813</v>
      </c>
      <c r="AG52" s="392">
        <v>7116650</v>
      </c>
      <c r="AH52" s="392">
        <v>0</v>
      </c>
      <c r="AI52" s="392">
        <v>657372</v>
      </c>
      <c r="AJ52" s="392">
        <v>71</v>
      </c>
      <c r="AK52" s="392">
        <v>7774093</v>
      </c>
      <c r="AL52" s="392">
        <v>1343045</v>
      </c>
      <c r="AM52" s="392">
        <v>3723862</v>
      </c>
      <c r="AN52" s="392">
        <v>138497</v>
      </c>
      <c r="AO52" s="392">
        <v>267494</v>
      </c>
      <c r="AP52" s="392">
        <v>293349</v>
      </c>
      <c r="AQ52" s="392">
        <v>305047</v>
      </c>
      <c r="AR52" s="392">
        <v>164481</v>
      </c>
      <c r="AS52" s="392">
        <v>538731</v>
      </c>
      <c r="AT52" s="392">
        <v>188861</v>
      </c>
      <c r="AU52" s="392">
        <v>586287</v>
      </c>
      <c r="AV52" s="392">
        <v>216733</v>
      </c>
      <c r="AW52" s="392">
        <v>666240</v>
      </c>
      <c r="AX52" s="392">
        <v>202121</v>
      </c>
      <c r="AY52" s="786">
        <v>842408</v>
      </c>
      <c r="AZ52" s="392">
        <v>983029</v>
      </c>
      <c r="BA52" s="639">
        <f>SUM(SNAMEB[[#This Row],[Instruction Expenditures]:[Transfers Out/OtherFinancing]])+SUM(SNAMEB[[#This Row],[General Fund Balance]:[Other Enterprise FundBalance]])</f>
        <v>9117140</v>
      </c>
      <c r="BB52" s="639">
        <f>SUM(SNAMEB[[#This Row],[Property Tax Revenue]:[IDEA/Other Fed Revenue]])+SNAMEB[General Long-term DebtProceeds]+SNAMEB[TransfersIn/Other Financing]+SNAMEB[Fixed Asset Disposition]+SNAMEB[Beginning Fund Balance]</f>
        <v>9117138</v>
      </c>
    </row>
    <row r="53" spans="1:54" x14ac:dyDescent="0.2">
      <c r="A53" s="390">
        <v>1</v>
      </c>
      <c r="B53" s="391" t="s">
        <v>129</v>
      </c>
      <c r="C53" s="631">
        <v>1080</v>
      </c>
      <c r="D53" t="s">
        <v>1053</v>
      </c>
      <c r="E53" s="392">
        <v>1508631</v>
      </c>
      <c r="F53" s="392">
        <v>82915</v>
      </c>
      <c r="G53" s="392">
        <v>626647</v>
      </c>
      <c r="H53" s="392">
        <v>0</v>
      </c>
      <c r="I53" s="392">
        <v>0</v>
      </c>
      <c r="J53" s="392">
        <v>0</v>
      </c>
      <c r="K53" s="392">
        <v>936549</v>
      </c>
      <c r="L53" s="392">
        <v>159573</v>
      </c>
      <c r="M53" s="392">
        <v>0</v>
      </c>
      <c r="N53" s="392">
        <v>0</v>
      </c>
      <c r="O53" s="392">
        <v>14471</v>
      </c>
      <c r="P53" s="392">
        <v>0</v>
      </c>
      <c r="Q53" s="392">
        <v>3328785</v>
      </c>
      <c r="R53" s="392">
        <v>1987044</v>
      </c>
      <c r="S53" s="392">
        <v>53632</v>
      </c>
      <c r="T53" s="392">
        <v>56847</v>
      </c>
      <c r="U53" s="392">
        <v>565880</v>
      </c>
      <c r="V53" s="392">
        <v>30662</v>
      </c>
      <c r="W53" s="392">
        <v>120620</v>
      </c>
      <c r="X53" s="392">
        <v>86396</v>
      </c>
      <c r="Y53" s="392">
        <v>142024</v>
      </c>
      <c r="Z53" s="392">
        <v>0</v>
      </c>
      <c r="AA53" s="392">
        <v>2640458</v>
      </c>
      <c r="AB53" s="392">
        <v>0</v>
      </c>
      <c r="AC53" s="392">
        <v>493499</v>
      </c>
      <c r="AD53" s="392">
        <v>34696</v>
      </c>
      <c r="AE53" s="392">
        <v>61167</v>
      </c>
      <c r="AF53" s="392">
        <v>181358</v>
      </c>
      <c r="AG53" s="392">
        <v>6454284</v>
      </c>
      <c r="AH53" s="392">
        <v>0</v>
      </c>
      <c r="AI53" s="392">
        <v>20111</v>
      </c>
      <c r="AJ53" s="392">
        <v>0</v>
      </c>
      <c r="AK53" s="392">
        <v>6474395</v>
      </c>
      <c r="AL53" s="392">
        <v>3148386</v>
      </c>
      <c r="AM53" s="392">
        <v>3893015</v>
      </c>
      <c r="AN53" s="392">
        <v>154824</v>
      </c>
      <c r="AO53" s="392">
        <v>184513</v>
      </c>
      <c r="AP53" s="392">
        <v>203422</v>
      </c>
      <c r="AQ53" s="392">
        <v>294282</v>
      </c>
      <c r="AR53" s="392">
        <v>132905</v>
      </c>
      <c r="AS53" s="392">
        <v>355032</v>
      </c>
      <c r="AT53" s="392">
        <v>408144</v>
      </c>
      <c r="AU53" s="392">
        <v>264858</v>
      </c>
      <c r="AV53" s="392">
        <v>172905</v>
      </c>
      <c r="AW53" s="392">
        <v>0</v>
      </c>
      <c r="AX53" s="392">
        <v>207045</v>
      </c>
      <c r="AY53" s="786">
        <v>23050</v>
      </c>
      <c r="AZ53" s="392">
        <v>3328785</v>
      </c>
      <c r="BA53" s="639">
        <f>SUM(SNAMEB[[#This Row],[Instruction Expenditures]:[Transfers Out/OtherFinancing]])+SUM(SNAMEB[[#This Row],[General Fund Balance]:[Other Enterprise FundBalance]])</f>
        <v>9622781</v>
      </c>
      <c r="BB53" s="639">
        <f>SUM(SNAMEB[[#This Row],[Property Tax Revenue]:[IDEA/Other Fed Revenue]])+SNAMEB[General Long-term DebtProceeds]+SNAMEB[TransfersIn/Other Financing]+SNAMEB[Fixed Asset Disposition]+SNAMEB[Beginning Fund Balance]</f>
        <v>9622780</v>
      </c>
    </row>
    <row r="54" spans="1:54" x14ac:dyDescent="0.2">
      <c r="A54" s="390">
        <v>9</v>
      </c>
      <c r="B54" s="391" t="s">
        <v>130</v>
      </c>
      <c r="C54" s="631">
        <v>1082</v>
      </c>
      <c r="D54" t="s">
        <v>1722</v>
      </c>
      <c r="E54" s="392">
        <v>1792087</v>
      </c>
      <c r="F54" s="392">
        <v>120822</v>
      </c>
      <c r="G54" s="392">
        <v>615632</v>
      </c>
      <c r="H54" s="392">
        <v>0</v>
      </c>
      <c r="I54" s="392">
        <v>116813</v>
      </c>
      <c r="J54" s="392">
        <v>0</v>
      </c>
      <c r="K54" s="392">
        <v>764866</v>
      </c>
      <c r="L54" s="392">
        <v>158802</v>
      </c>
      <c r="M54" s="392">
        <v>0</v>
      </c>
      <c r="N54" s="392">
        <v>1726898</v>
      </c>
      <c r="O54" s="392">
        <v>-41457</v>
      </c>
      <c r="P54" s="392">
        <v>0</v>
      </c>
      <c r="Q54" s="392">
        <v>5254462</v>
      </c>
      <c r="R54" s="392">
        <v>6766488</v>
      </c>
      <c r="S54" s="392">
        <v>92538</v>
      </c>
      <c r="T54" s="392">
        <v>640954</v>
      </c>
      <c r="U54" s="392">
        <v>715685</v>
      </c>
      <c r="V54" s="392">
        <v>37947</v>
      </c>
      <c r="W54" s="392">
        <v>604689</v>
      </c>
      <c r="X54" s="392">
        <v>347307</v>
      </c>
      <c r="Y54" s="392">
        <v>682793</v>
      </c>
      <c r="Z54" s="392">
        <v>0</v>
      </c>
      <c r="AA54" s="392">
        <v>8592301</v>
      </c>
      <c r="AB54" s="392">
        <v>0</v>
      </c>
      <c r="AC54" s="392">
        <v>2148007</v>
      </c>
      <c r="AD54" s="392">
        <v>136384</v>
      </c>
      <c r="AE54" s="392">
        <v>123447</v>
      </c>
      <c r="AF54" s="392">
        <v>633787</v>
      </c>
      <c r="AG54" s="392">
        <v>21522328</v>
      </c>
      <c r="AH54" s="392">
        <v>0</v>
      </c>
      <c r="AI54" s="392">
        <v>1142942</v>
      </c>
      <c r="AJ54" s="392">
        <v>0</v>
      </c>
      <c r="AK54" s="392">
        <v>22665270</v>
      </c>
      <c r="AL54" s="392">
        <v>5014674</v>
      </c>
      <c r="AM54" s="392">
        <v>11192318</v>
      </c>
      <c r="AN54" s="392">
        <v>441387</v>
      </c>
      <c r="AO54" s="392">
        <v>960134</v>
      </c>
      <c r="AP54" s="392">
        <v>266718</v>
      </c>
      <c r="AQ54" s="392">
        <v>1131274</v>
      </c>
      <c r="AR54" s="392">
        <v>548530</v>
      </c>
      <c r="AS54" s="392">
        <v>1589832</v>
      </c>
      <c r="AT54" s="392">
        <v>642982</v>
      </c>
      <c r="AU54" s="392">
        <v>1028828</v>
      </c>
      <c r="AV54" s="392">
        <v>504309</v>
      </c>
      <c r="AW54" s="392">
        <v>2123026</v>
      </c>
      <c r="AX54" s="392">
        <v>610984</v>
      </c>
      <c r="AY54" s="786">
        <v>1385161</v>
      </c>
      <c r="AZ54" s="392">
        <v>5254462</v>
      </c>
      <c r="BA54" s="639">
        <f>SUM(SNAMEB[[#This Row],[Instruction Expenditures]:[Transfers Out/OtherFinancing]])+SUM(SNAMEB[[#This Row],[General Fund Balance]:[Other Enterprise FundBalance]])</f>
        <v>27679946</v>
      </c>
      <c r="BB54" s="639">
        <f>SUM(SNAMEB[[#This Row],[Property Tax Revenue]:[IDEA/Other Fed Revenue]])+SNAMEB[General Long-term DebtProceeds]+SNAMEB[TransfersIn/Other Financing]+SNAMEB[Fixed Asset Disposition]+SNAMEB[Beginning Fund Balance]</f>
        <v>27679943</v>
      </c>
    </row>
    <row r="55" spans="1:54" x14ac:dyDescent="0.2">
      <c r="A55" s="390">
        <v>13</v>
      </c>
      <c r="B55" s="391" t="s">
        <v>132</v>
      </c>
      <c r="C55" s="631">
        <v>1093</v>
      </c>
      <c r="D55" t="s">
        <v>1055</v>
      </c>
      <c r="E55" s="392">
        <v>2049208</v>
      </c>
      <c r="F55" s="392">
        <v>62747</v>
      </c>
      <c r="G55" s="392">
        <v>79544</v>
      </c>
      <c r="H55" s="392">
        <v>0</v>
      </c>
      <c r="I55" s="392">
        <v>5036</v>
      </c>
      <c r="J55" s="392">
        <v>0</v>
      </c>
      <c r="K55" s="392">
        <v>2937475</v>
      </c>
      <c r="L55" s="392">
        <v>12259</v>
      </c>
      <c r="M55" s="392">
        <v>0</v>
      </c>
      <c r="N55" s="392">
        <v>14803</v>
      </c>
      <c r="O55" s="392">
        <v>-133207</v>
      </c>
      <c r="P55" s="392">
        <v>0</v>
      </c>
      <c r="Q55" s="392">
        <v>5027866</v>
      </c>
      <c r="R55" s="392">
        <v>2072076</v>
      </c>
      <c r="S55" s="392">
        <v>93207</v>
      </c>
      <c r="T55" s="392">
        <v>192378</v>
      </c>
      <c r="U55" s="392">
        <v>474621</v>
      </c>
      <c r="V55" s="392">
        <v>4387</v>
      </c>
      <c r="W55" s="392">
        <v>166844</v>
      </c>
      <c r="X55" s="392">
        <v>143401</v>
      </c>
      <c r="Y55" s="392">
        <v>479743</v>
      </c>
      <c r="Z55" s="392">
        <v>0</v>
      </c>
      <c r="AA55" s="392">
        <v>4770434</v>
      </c>
      <c r="AB55" s="392">
        <v>0</v>
      </c>
      <c r="AC55" s="392">
        <v>956121</v>
      </c>
      <c r="AD55" s="392">
        <v>28297</v>
      </c>
      <c r="AE55" s="392">
        <v>225246</v>
      </c>
      <c r="AF55" s="392">
        <v>1191788</v>
      </c>
      <c r="AG55" s="392">
        <v>10798542</v>
      </c>
      <c r="AH55" s="392">
        <v>4420000</v>
      </c>
      <c r="AI55" s="392">
        <v>509790</v>
      </c>
      <c r="AJ55" s="392">
        <v>15046</v>
      </c>
      <c r="AK55" s="392">
        <v>15743378</v>
      </c>
      <c r="AL55" s="392">
        <v>2344259</v>
      </c>
      <c r="AM55" s="392">
        <v>5292028</v>
      </c>
      <c r="AN55" s="392">
        <v>289102</v>
      </c>
      <c r="AO55" s="392">
        <v>786982</v>
      </c>
      <c r="AP55" s="392">
        <v>289404</v>
      </c>
      <c r="AQ55" s="392">
        <v>370109</v>
      </c>
      <c r="AR55" s="392">
        <v>180644</v>
      </c>
      <c r="AS55" s="392">
        <v>696845</v>
      </c>
      <c r="AT55" s="392">
        <v>558872</v>
      </c>
      <c r="AU55" s="392">
        <v>578685</v>
      </c>
      <c r="AV55" s="392">
        <v>2360336</v>
      </c>
      <c r="AW55" s="392">
        <v>860896</v>
      </c>
      <c r="AX55" s="392">
        <v>286023</v>
      </c>
      <c r="AY55" s="786">
        <v>509842</v>
      </c>
      <c r="AZ55" s="392">
        <v>5027866</v>
      </c>
      <c r="BA55" s="639">
        <f>SUM(SNAMEB[[#This Row],[Instruction Expenditures]:[Transfers Out/OtherFinancing]])+SUM(SNAMEB[[#This Row],[General Fund Balance]:[Other Enterprise FundBalance]])</f>
        <v>18087633</v>
      </c>
      <c r="BB55" s="639">
        <f>SUM(SNAMEB[[#This Row],[Property Tax Revenue]:[IDEA/Other Fed Revenue]])+SNAMEB[General Long-term DebtProceeds]+SNAMEB[TransfersIn/Other Financing]+SNAMEB[Fixed Asset Disposition]+SNAMEB[Beginning Fund Balance]</f>
        <v>18087638</v>
      </c>
    </row>
    <row r="56" spans="1:54" x14ac:dyDescent="0.2">
      <c r="A56" s="390">
        <v>15</v>
      </c>
      <c r="B56" s="391" t="s">
        <v>128</v>
      </c>
      <c r="C56" s="631">
        <v>1079</v>
      </c>
      <c r="D56" t="s">
        <v>1052</v>
      </c>
      <c r="E56" s="392">
        <v>1901014</v>
      </c>
      <c r="F56" s="392">
        <v>213535</v>
      </c>
      <c r="G56" s="392">
        <v>585595</v>
      </c>
      <c r="H56" s="392">
        <v>0</v>
      </c>
      <c r="I56" s="392">
        <v>0</v>
      </c>
      <c r="J56" s="392">
        <v>0</v>
      </c>
      <c r="K56" s="392">
        <v>376151</v>
      </c>
      <c r="L56" s="392">
        <v>0</v>
      </c>
      <c r="M56" s="392">
        <v>0</v>
      </c>
      <c r="N56" s="392">
        <v>0</v>
      </c>
      <c r="O56" s="392">
        <v>212</v>
      </c>
      <c r="P56" s="392">
        <v>0</v>
      </c>
      <c r="Q56" s="392">
        <v>3076507</v>
      </c>
      <c r="R56" s="392">
        <v>2656181</v>
      </c>
      <c r="S56" s="392">
        <v>90860</v>
      </c>
      <c r="T56" s="392">
        <v>212291</v>
      </c>
      <c r="U56" s="392">
        <v>2350132</v>
      </c>
      <c r="V56" s="392">
        <v>5229</v>
      </c>
      <c r="W56" s="392">
        <v>161744</v>
      </c>
      <c r="X56" s="392">
        <v>327284</v>
      </c>
      <c r="Y56" s="392">
        <v>128006</v>
      </c>
      <c r="Z56" s="392">
        <v>0</v>
      </c>
      <c r="AA56" s="392">
        <v>4733530</v>
      </c>
      <c r="AB56" s="392">
        <v>0</v>
      </c>
      <c r="AC56" s="392">
        <v>823936</v>
      </c>
      <c r="AD56" s="392">
        <v>61147</v>
      </c>
      <c r="AE56" s="392">
        <v>99774</v>
      </c>
      <c r="AF56" s="392">
        <v>349033</v>
      </c>
      <c r="AG56" s="392">
        <v>11999148</v>
      </c>
      <c r="AH56" s="392">
        <v>0</v>
      </c>
      <c r="AI56" s="392">
        <v>134751</v>
      </c>
      <c r="AJ56" s="392">
        <v>1664</v>
      </c>
      <c r="AK56" s="392">
        <v>12135562</v>
      </c>
      <c r="AL56" s="392">
        <v>3063342</v>
      </c>
      <c r="AM56" s="392">
        <v>7483061</v>
      </c>
      <c r="AN56" s="392">
        <v>256599</v>
      </c>
      <c r="AO56" s="392">
        <v>176548</v>
      </c>
      <c r="AP56" s="392">
        <v>301251</v>
      </c>
      <c r="AQ56" s="392">
        <v>600163</v>
      </c>
      <c r="AR56" s="392">
        <v>211812</v>
      </c>
      <c r="AS56" s="392">
        <v>845746</v>
      </c>
      <c r="AT56" s="392">
        <v>833415</v>
      </c>
      <c r="AU56" s="392">
        <v>376763</v>
      </c>
      <c r="AV56" s="392">
        <v>435670</v>
      </c>
      <c r="AW56" s="392">
        <v>134751</v>
      </c>
      <c r="AX56" s="392">
        <v>331866</v>
      </c>
      <c r="AY56" s="786">
        <v>134751</v>
      </c>
      <c r="AZ56" s="392">
        <v>3076507</v>
      </c>
      <c r="BA56" s="639">
        <f>SUM(SNAMEB[[#This Row],[Instruction Expenditures]:[Transfers Out/OtherFinancing]])+SUM(SNAMEB[[#This Row],[General Fund Balance]:[Other Enterprise FundBalance]])</f>
        <v>15198903</v>
      </c>
      <c r="BB56" s="639">
        <f>SUM(SNAMEB[[#This Row],[Property Tax Revenue]:[IDEA/Other Fed Revenue]])+SNAMEB[General Long-term DebtProceeds]+SNAMEB[TransfersIn/Other Financing]+SNAMEB[Fixed Asset Disposition]+SNAMEB[Beginning Fund Balance]</f>
        <v>15198904</v>
      </c>
    </row>
    <row r="57" spans="1:54" x14ac:dyDescent="0.2">
      <c r="A57" s="390">
        <v>12</v>
      </c>
      <c r="B57" s="391" t="s">
        <v>133</v>
      </c>
      <c r="C57" s="631">
        <v>1095</v>
      </c>
      <c r="D57" t="s">
        <v>1057</v>
      </c>
      <c r="E57" s="392">
        <v>513812</v>
      </c>
      <c r="F57" s="392">
        <v>230128</v>
      </c>
      <c r="G57" s="392">
        <v>26236</v>
      </c>
      <c r="H57" s="392">
        <v>196139</v>
      </c>
      <c r="I57" s="392">
        <v>0</v>
      </c>
      <c r="J57" s="392">
        <v>0</v>
      </c>
      <c r="K57" s="392">
        <v>1216121</v>
      </c>
      <c r="L57" s="392">
        <v>275597</v>
      </c>
      <c r="M57" s="392">
        <v>0</v>
      </c>
      <c r="N57" s="392">
        <v>0</v>
      </c>
      <c r="O57" s="392">
        <v>124271</v>
      </c>
      <c r="P57" s="392">
        <v>7792</v>
      </c>
      <c r="Q57" s="392">
        <v>2590097</v>
      </c>
      <c r="R57" s="392">
        <v>3358303</v>
      </c>
      <c r="S57" s="392">
        <v>15630</v>
      </c>
      <c r="T57" s="392">
        <v>311475</v>
      </c>
      <c r="U57" s="392">
        <v>201068</v>
      </c>
      <c r="V57" s="392">
        <v>9483</v>
      </c>
      <c r="W57" s="392">
        <v>249158</v>
      </c>
      <c r="X57" s="392">
        <v>738742</v>
      </c>
      <c r="Y57" s="392">
        <v>428905</v>
      </c>
      <c r="Z57" s="392">
        <v>0</v>
      </c>
      <c r="AA57" s="392">
        <v>3974926</v>
      </c>
      <c r="AB57" s="392">
        <v>0</v>
      </c>
      <c r="AC57" s="392">
        <v>940406</v>
      </c>
      <c r="AD57" s="392">
        <v>42557</v>
      </c>
      <c r="AE57" s="392">
        <v>77872</v>
      </c>
      <c r="AF57" s="392">
        <v>340928</v>
      </c>
      <c r="AG57" s="392">
        <v>10689452</v>
      </c>
      <c r="AH57" s="392">
        <v>0</v>
      </c>
      <c r="AI57" s="392">
        <v>51534</v>
      </c>
      <c r="AJ57" s="392">
        <v>0</v>
      </c>
      <c r="AK57" s="392">
        <v>10740986</v>
      </c>
      <c r="AL57" s="392">
        <v>3602822</v>
      </c>
      <c r="AM57" s="392">
        <v>6743717</v>
      </c>
      <c r="AN57" s="392">
        <v>121224</v>
      </c>
      <c r="AO57" s="392">
        <v>265166</v>
      </c>
      <c r="AP57" s="392">
        <v>265273</v>
      </c>
      <c r="AQ57" s="392">
        <v>440123</v>
      </c>
      <c r="AR57" s="392">
        <v>105928</v>
      </c>
      <c r="AS57" s="392">
        <v>822896</v>
      </c>
      <c r="AT57" s="392">
        <v>265468</v>
      </c>
      <c r="AU57" s="392">
        <v>467987</v>
      </c>
      <c r="AV57" s="392">
        <v>1846278</v>
      </c>
      <c r="AW57" s="392">
        <v>43448</v>
      </c>
      <c r="AX57" s="392">
        <v>314670</v>
      </c>
      <c r="AY57" s="786">
        <v>51534</v>
      </c>
      <c r="AZ57" s="392">
        <v>2590097</v>
      </c>
      <c r="BA57" s="639">
        <f>SUM(SNAMEB[[#This Row],[Instruction Expenditures]:[Transfers Out/OtherFinancing]])+SUM(SNAMEB[[#This Row],[General Fund Balance]:[Other Enterprise FundBalance]])</f>
        <v>14343808</v>
      </c>
      <c r="BB57" s="639">
        <f>SUM(SNAMEB[[#This Row],[Property Tax Revenue]:[IDEA/Other Fed Revenue]])+SNAMEB[General Long-term DebtProceeds]+SNAMEB[TransfersIn/Other Financing]+SNAMEB[Fixed Asset Disposition]+SNAMEB[Beginning Fund Balance]</f>
        <v>14343809</v>
      </c>
    </row>
    <row r="58" spans="1:54" x14ac:dyDescent="0.2">
      <c r="A58" s="390">
        <v>7</v>
      </c>
      <c r="B58" s="391" t="s">
        <v>285</v>
      </c>
      <c r="C58" s="631">
        <v>4772</v>
      </c>
      <c r="D58" t="s">
        <v>1479</v>
      </c>
      <c r="E58" s="392">
        <v>1430488</v>
      </c>
      <c r="F58" s="392">
        <v>35002</v>
      </c>
      <c r="G58" s="392">
        <v>639141</v>
      </c>
      <c r="H58" s="392">
        <v>0</v>
      </c>
      <c r="I58" s="392">
        <v>0</v>
      </c>
      <c r="J58" s="392">
        <v>0</v>
      </c>
      <c r="K58" s="392">
        <v>2265481</v>
      </c>
      <c r="L58" s="392">
        <v>237585</v>
      </c>
      <c r="M58" s="392">
        <v>0</v>
      </c>
      <c r="N58" s="392">
        <v>0</v>
      </c>
      <c r="O58" s="392">
        <v>-93659</v>
      </c>
      <c r="P58" s="392">
        <v>-63445</v>
      </c>
      <c r="Q58" s="392">
        <v>4450593</v>
      </c>
      <c r="R58" s="392">
        <v>3200462</v>
      </c>
      <c r="S58" s="392">
        <v>396659</v>
      </c>
      <c r="T58" s="392">
        <v>302191</v>
      </c>
      <c r="U58" s="392">
        <v>570888</v>
      </c>
      <c r="V58" s="392">
        <v>7259</v>
      </c>
      <c r="W58" s="392">
        <v>205571</v>
      </c>
      <c r="X58" s="392">
        <v>170559</v>
      </c>
      <c r="Y58" s="392">
        <v>922692</v>
      </c>
      <c r="Z58" s="392">
        <v>0</v>
      </c>
      <c r="AA58" s="392">
        <v>4242697</v>
      </c>
      <c r="AB58" s="392">
        <v>0</v>
      </c>
      <c r="AC58" s="392">
        <v>867696</v>
      </c>
      <c r="AD58" s="392">
        <v>61299</v>
      </c>
      <c r="AE58" s="392">
        <v>98285</v>
      </c>
      <c r="AF58" s="392">
        <v>530904</v>
      </c>
      <c r="AG58" s="392">
        <v>11577161</v>
      </c>
      <c r="AH58" s="392">
        <v>0</v>
      </c>
      <c r="AI58" s="392">
        <v>0</v>
      </c>
      <c r="AJ58" s="392">
        <v>0</v>
      </c>
      <c r="AK58" s="392">
        <v>11577161</v>
      </c>
      <c r="AL58" s="392">
        <v>4113530</v>
      </c>
      <c r="AM58" s="392">
        <v>6630627</v>
      </c>
      <c r="AN58" s="392">
        <v>200539</v>
      </c>
      <c r="AO58" s="392">
        <v>290235</v>
      </c>
      <c r="AP58" s="392">
        <v>233684</v>
      </c>
      <c r="AQ58" s="392">
        <v>575618</v>
      </c>
      <c r="AR58" s="392">
        <v>255110</v>
      </c>
      <c r="AS58" s="392">
        <v>965327</v>
      </c>
      <c r="AT58" s="392">
        <v>779655</v>
      </c>
      <c r="AU58" s="392">
        <v>507120</v>
      </c>
      <c r="AV58" s="392">
        <v>439827</v>
      </c>
      <c r="AW58" s="392">
        <v>0</v>
      </c>
      <c r="AX58" s="392">
        <v>362354</v>
      </c>
      <c r="AY58" s="786">
        <v>0</v>
      </c>
      <c r="AZ58" s="392">
        <v>4450593</v>
      </c>
      <c r="BA58" s="639">
        <f>SUM(SNAMEB[[#This Row],[Instruction Expenditures]:[Transfers Out/OtherFinancing]])+SUM(SNAMEB[[#This Row],[General Fund Balance]:[Other Enterprise FundBalance]])</f>
        <v>15690689</v>
      </c>
      <c r="BB58" s="639">
        <f>SUM(SNAMEB[[#This Row],[Property Tax Revenue]:[IDEA/Other Fed Revenue]])+SNAMEB[General Long-term DebtProceeds]+SNAMEB[TransfersIn/Other Financing]+SNAMEB[Fixed Asset Disposition]+SNAMEB[Beginning Fund Balance]</f>
        <v>15690692</v>
      </c>
    </row>
    <row r="59" spans="1:54" x14ac:dyDescent="0.2">
      <c r="A59" s="390">
        <v>15</v>
      </c>
      <c r="B59" s="391" t="s">
        <v>134</v>
      </c>
      <c r="C59" s="631">
        <v>1107</v>
      </c>
      <c r="D59" t="s">
        <v>1058</v>
      </c>
      <c r="E59" s="392">
        <v>3018045</v>
      </c>
      <c r="F59" s="392">
        <v>178049</v>
      </c>
      <c r="G59" s="392">
        <v>800733</v>
      </c>
      <c r="H59" s="392">
        <v>0</v>
      </c>
      <c r="I59" s="392">
        <v>0</v>
      </c>
      <c r="J59" s="392">
        <v>0</v>
      </c>
      <c r="K59" s="392">
        <v>1241993</v>
      </c>
      <c r="L59" s="392">
        <v>1742750</v>
      </c>
      <c r="M59" s="392">
        <v>118622</v>
      </c>
      <c r="N59" s="392">
        <v>1363367</v>
      </c>
      <c r="O59" s="392">
        <v>-66965</v>
      </c>
      <c r="P59" s="392">
        <v>0</v>
      </c>
      <c r="Q59" s="392">
        <v>8396594</v>
      </c>
      <c r="R59" s="392">
        <v>3887561</v>
      </c>
      <c r="S59" s="392">
        <v>121552</v>
      </c>
      <c r="T59" s="392">
        <v>175866</v>
      </c>
      <c r="U59" s="392">
        <v>211917</v>
      </c>
      <c r="V59" s="392">
        <v>10634</v>
      </c>
      <c r="W59" s="392">
        <v>205440</v>
      </c>
      <c r="X59" s="392">
        <v>379910</v>
      </c>
      <c r="Y59" s="392">
        <v>301105</v>
      </c>
      <c r="Z59" s="392">
        <v>0</v>
      </c>
      <c r="AA59" s="392">
        <v>9041390</v>
      </c>
      <c r="AB59" s="392">
        <v>0</v>
      </c>
      <c r="AC59" s="392">
        <v>1748119</v>
      </c>
      <c r="AD59" s="392">
        <v>79807</v>
      </c>
      <c r="AE59" s="392">
        <v>362885</v>
      </c>
      <c r="AF59" s="392">
        <v>742903</v>
      </c>
      <c r="AG59" s="392">
        <v>17269088</v>
      </c>
      <c r="AH59" s="392">
        <v>0</v>
      </c>
      <c r="AI59" s="392">
        <v>1093004</v>
      </c>
      <c r="AJ59" s="392">
        <v>0</v>
      </c>
      <c r="AK59" s="392">
        <v>18362093</v>
      </c>
      <c r="AL59" s="392">
        <v>7678799</v>
      </c>
      <c r="AM59" s="392">
        <v>9951780</v>
      </c>
      <c r="AN59" s="392">
        <v>264780</v>
      </c>
      <c r="AO59" s="392">
        <v>171599</v>
      </c>
      <c r="AP59" s="392">
        <v>334339</v>
      </c>
      <c r="AQ59" s="392">
        <v>951585</v>
      </c>
      <c r="AR59" s="392">
        <v>421736</v>
      </c>
      <c r="AS59" s="392">
        <v>1610394</v>
      </c>
      <c r="AT59" s="392">
        <v>680256</v>
      </c>
      <c r="AU59" s="392">
        <v>633850</v>
      </c>
      <c r="AV59" s="392">
        <v>94639</v>
      </c>
      <c r="AW59" s="392">
        <v>871309</v>
      </c>
      <c r="AX59" s="392">
        <v>570122</v>
      </c>
      <c r="AY59" s="786">
        <v>1087909</v>
      </c>
      <c r="AZ59" s="392">
        <v>8396594</v>
      </c>
      <c r="BA59" s="639">
        <f>SUM(SNAMEB[[#This Row],[Instruction Expenditures]:[Transfers Out/OtherFinancing]])+SUM(SNAMEB[[#This Row],[General Fund Balance]:[Other Enterprise FundBalance]])</f>
        <v>26040892</v>
      </c>
      <c r="BB59" s="639">
        <f>SUM(SNAMEB[[#This Row],[Property Tax Revenue]:[IDEA/Other Fed Revenue]])+SNAMEB[General Long-term DebtProceeds]+SNAMEB[TransfersIn/Other Financing]+SNAMEB[Fixed Asset Disposition]+SNAMEB[Beginning Fund Balance]</f>
        <v>26040892</v>
      </c>
    </row>
    <row r="60" spans="1:54" x14ac:dyDescent="0.2">
      <c r="A60" s="390">
        <v>7</v>
      </c>
      <c r="B60" s="391" t="s">
        <v>135</v>
      </c>
      <c r="C60" s="631">
        <v>1116</v>
      </c>
      <c r="D60" t="s">
        <v>1059</v>
      </c>
      <c r="E60" s="392">
        <v>2750340</v>
      </c>
      <c r="F60" s="392">
        <v>252116</v>
      </c>
      <c r="G60" s="392">
        <v>314050</v>
      </c>
      <c r="H60" s="392">
        <v>0</v>
      </c>
      <c r="I60" s="392">
        <v>0</v>
      </c>
      <c r="J60" s="392">
        <v>0</v>
      </c>
      <c r="K60" s="392">
        <v>4171878</v>
      </c>
      <c r="L60" s="392">
        <v>2176881</v>
      </c>
      <c r="M60" s="392">
        <v>1674409</v>
      </c>
      <c r="N60" s="392">
        <v>673026</v>
      </c>
      <c r="O60" s="392">
        <v>-76993</v>
      </c>
      <c r="P60" s="392">
        <v>0</v>
      </c>
      <c r="Q60" s="392">
        <v>11935707</v>
      </c>
      <c r="R60" s="392">
        <v>6352904</v>
      </c>
      <c r="S60" s="392">
        <v>372030</v>
      </c>
      <c r="T60" s="392">
        <v>550354</v>
      </c>
      <c r="U60" s="392">
        <v>353294</v>
      </c>
      <c r="V60" s="392">
        <v>139170</v>
      </c>
      <c r="W60" s="392">
        <v>327608</v>
      </c>
      <c r="X60" s="392">
        <v>326979</v>
      </c>
      <c r="Y60" s="392">
        <v>446274</v>
      </c>
      <c r="Z60" s="392">
        <v>20213</v>
      </c>
      <c r="AA60" s="392">
        <v>9035749</v>
      </c>
      <c r="AB60" s="392">
        <v>0</v>
      </c>
      <c r="AC60" s="392">
        <v>1686024</v>
      </c>
      <c r="AD60" s="392">
        <v>366109</v>
      </c>
      <c r="AE60" s="392">
        <v>425210</v>
      </c>
      <c r="AF60" s="392">
        <v>1108337</v>
      </c>
      <c r="AG60" s="392">
        <v>21510253</v>
      </c>
      <c r="AH60" s="392">
        <v>7905000</v>
      </c>
      <c r="AI60" s="392">
        <v>9407579</v>
      </c>
      <c r="AJ60" s="392">
        <v>6983</v>
      </c>
      <c r="AK60" s="392">
        <v>38829816</v>
      </c>
      <c r="AL60" s="392">
        <v>17275376</v>
      </c>
      <c r="AM60" s="392">
        <v>11670555</v>
      </c>
      <c r="AN60" s="392">
        <v>653273</v>
      </c>
      <c r="AO60" s="392">
        <v>644299</v>
      </c>
      <c r="AP60" s="392">
        <v>322038</v>
      </c>
      <c r="AQ60" s="392">
        <v>1149041</v>
      </c>
      <c r="AR60" s="392">
        <v>441963</v>
      </c>
      <c r="AS60" s="392">
        <v>1562812</v>
      </c>
      <c r="AT60" s="392">
        <v>683236</v>
      </c>
      <c r="AU60" s="392">
        <v>952286</v>
      </c>
      <c r="AV60" s="392">
        <v>14420048</v>
      </c>
      <c r="AW60" s="392">
        <v>1566801</v>
      </c>
      <c r="AX60" s="392">
        <v>695554</v>
      </c>
      <c r="AY60" s="786">
        <v>9407579</v>
      </c>
      <c r="AZ60" s="392">
        <v>11935707</v>
      </c>
      <c r="BA60" s="639">
        <f>SUM(SNAMEB[[#This Row],[Instruction Expenditures]:[Transfers Out/OtherFinancing]])+SUM(SNAMEB[[#This Row],[General Fund Balance]:[Other Enterprise FundBalance]])</f>
        <v>56105192</v>
      </c>
      <c r="BB60" s="639">
        <f>SUM(SNAMEB[[#This Row],[Property Tax Revenue]:[IDEA/Other Fed Revenue]])+SNAMEB[General Long-term DebtProceeds]+SNAMEB[TransfersIn/Other Financing]+SNAMEB[Fixed Asset Disposition]+SNAMEB[Beginning Fund Balance]</f>
        <v>56105193</v>
      </c>
    </row>
    <row r="61" spans="1:54" x14ac:dyDescent="0.2">
      <c r="A61" s="390">
        <v>12</v>
      </c>
      <c r="B61" s="391" t="s">
        <v>136</v>
      </c>
      <c r="C61" s="631">
        <v>1134</v>
      </c>
      <c r="D61" t="s">
        <v>1060</v>
      </c>
      <c r="E61" s="392">
        <v>488866</v>
      </c>
      <c r="F61" s="392">
        <v>50811</v>
      </c>
      <c r="G61" s="392">
        <v>467413</v>
      </c>
      <c r="H61" s="392">
        <v>0</v>
      </c>
      <c r="I61" s="392">
        <v>0</v>
      </c>
      <c r="J61" s="392">
        <v>0</v>
      </c>
      <c r="K61" s="392">
        <v>471770</v>
      </c>
      <c r="L61" s="392">
        <v>135231</v>
      </c>
      <c r="M61" s="392">
        <v>0</v>
      </c>
      <c r="N61" s="392">
        <v>0</v>
      </c>
      <c r="O61" s="392">
        <v>10003</v>
      </c>
      <c r="P61" s="392">
        <v>0</v>
      </c>
      <c r="Q61" s="392">
        <v>1624095</v>
      </c>
      <c r="R61" s="392">
        <v>1464812</v>
      </c>
      <c r="S61" s="392">
        <v>29588</v>
      </c>
      <c r="T61" s="392">
        <v>124199</v>
      </c>
      <c r="U61" s="392">
        <v>379511</v>
      </c>
      <c r="V61" s="392">
        <v>4023</v>
      </c>
      <c r="W61" s="392">
        <v>70858</v>
      </c>
      <c r="X61" s="392">
        <v>140929</v>
      </c>
      <c r="Y61" s="392">
        <v>33572</v>
      </c>
      <c r="Z61" s="392">
        <v>0</v>
      </c>
      <c r="AA61" s="392">
        <v>1514445</v>
      </c>
      <c r="AB61" s="392">
        <v>0</v>
      </c>
      <c r="AC61" s="392">
        <v>299900</v>
      </c>
      <c r="AD61" s="392">
        <v>9373</v>
      </c>
      <c r="AE61" s="392">
        <v>73429</v>
      </c>
      <c r="AF61" s="392">
        <v>161022</v>
      </c>
      <c r="AG61" s="392">
        <v>4305661</v>
      </c>
      <c r="AH61" s="392">
        <v>0</v>
      </c>
      <c r="AI61" s="392">
        <v>145208</v>
      </c>
      <c r="AJ61" s="392">
        <v>0</v>
      </c>
      <c r="AK61" s="392">
        <v>4450869</v>
      </c>
      <c r="AL61" s="392">
        <v>1483247</v>
      </c>
      <c r="AM61" s="392">
        <v>2497852</v>
      </c>
      <c r="AN61" s="392">
        <v>81488</v>
      </c>
      <c r="AO61" s="392">
        <v>27208</v>
      </c>
      <c r="AP61" s="392">
        <v>167795</v>
      </c>
      <c r="AQ61" s="392">
        <v>221697</v>
      </c>
      <c r="AR61" s="392">
        <v>108378</v>
      </c>
      <c r="AS61" s="392">
        <v>247715</v>
      </c>
      <c r="AT61" s="392">
        <v>222874</v>
      </c>
      <c r="AU61" s="392">
        <v>201702</v>
      </c>
      <c r="AV61" s="392">
        <v>117280</v>
      </c>
      <c r="AW61" s="392">
        <v>139301</v>
      </c>
      <c r="AX61" s="392">
        <v>125616</v>
      </c>
      <c r="AY61" s="786">
        <v>151116</v>
      </c>
      <c r="AZ61" s="392">
        <v>1624095</v>
      </c>
      <c r="BA61" s="639">
        <f>SUM(SNAMEB[[#This Row],[Instruction Expenditures]:[Transfers Out/OtherFinancing]])+SUM(SNAMEB[[#This Row],[General Fund Balance]:[Other Enterprise FundBalance]])</f>
        <v>5934116</v>
      </c>
      <c r="BB61" s="639">
        <f>SUM(SNAMEB[[#This Row],[Property Tax Revenue]:[IDEA/Other Fed Revenue]])+SNAMEB[General Long-term DebtProceeds]+SNAMEB[TransfersIn/Other Financing]+SNAMEB[Fixed Asset Disposition]+SNAMEB[Beginning Fund Balance]</f>
        <v>5934116</v>
      </c>
    </row>
    <row r="62" spans="1:54" x14ac:dyDescent="0.2">
      <c r="A62" s="390">
        <v>12</v>
      </c>
      <c r="B62" s="391" t="s">
        <v>137</v>
      </c>
      <c r="C62" s="631">
        <v>1152</v>
      </c>
      <c r="D62" t="s">
        <v>1061</v>
      </c>
      <c r="E62" s="392">
        <v>2128151</v>
      </c>
      <c r="F62" s="392">
        <v>91281</v>
      </c>
      <c r="G62" s="392">
        <v>572777</v>
      </c>
      <c r="H62" s="392">
        <v>0</v>
      </c>
      <c r="I62" s="392">
        <v>0</v>
      </c>
      <c r="J62" s="392">
        <v>0</v>
      </c>
      <c r="K62" s="392">
        <v>401803</v>
      </c>
      <c r="L62" s="392">
        <v>214843</v>
      </c>
      <c r="M62" s="392">
        <v>0</v>
      </c>
      <c r="N62" s="392">
        <v>0</v>
      </c>
      <c r="O62" s="392">
        <v>71721</v>
      </c>
      <c r="P62" s="392">
        <v>0</v>
      </c>
      <c r="Q62" s="392">
        <v>3480575</v>
      </c>
      <c r="R62" s="392">
        <v>3390676</v>
      </c>
      <c r="S62" s="392">
        <v>67445</v>
      </c>
      <c r="T62" s="392">
        <v>321450</v>
      </c>
      <c r="U62" s="392">
        <v>692636</v>
      </c>
      <c r="V62" s="392">
        <v>5310</v>
      </c>
      <c r="W62" s="392">
        <v>231957</v>
      </c>
      <c r="X62" s="392">
        <v>329320</v>
      </c>
      <c r="Y62" s="392">
        <v>225859</v>
      </c>
      <c r="Z62" s="392">
        <v>0</v>
      </c>
      <c r="AA62" s="392">
        <v>6051502</v>
      </c>
      <c r="AB62" s="392">
        <v>0</v>
      </c>
      <c r="AC62" s="392">
        <v>968806</v>
      </c>
      <c r="AD62" s="392">
        <v>48823</v>
      </c>
      <c r="AE62" s="392">
        <v>158714</v>
      </c>
      <c r="AF62" s="392">
        <v>381349</v>
      </c>
      <c r="AG62" s="392">
        <v>12873846</v>
      </c>
      <c r="AH62" s="392">
        <v>0</v>
      </c>
      <c r="AI62" s="392">
        <v>923123</v>
      </c>
      <c r="AJ62" s="392">
        <v>357</v>
      </c>
      <c r="AK62" s="392">
        <v>13797325</v>
      </c>
      <c r="AL62" s="392">
        <v>3731321</v>
      </c>
      <c r="AM62" s="392">
        <v>7515066</v>
      </c>
      <c r="AN62" s="392">
        <v>246184</v>
      </c>
      <c r="AO62" s="392">
        <v>281167</v>
      </c>
      <c r="AP62" s="392">
        <v>279758</v>
      </c>
      <c r="AQ62" s="392">
        <v>607472</v>
      </c>
      <c r="AR62" s="392">
        <v>468768</v>
      </c>
      <c r="AS62" s="392">
        <v>881965</v>
      </c>
      <c r="AT62" s="392">
        <v>397299</v>
      </c>
      <c r="AU62" s="392">
        <v>506153</v>
      </c>
      <c r="AV62" s="392">
        <v>509282</v>
      </c>
      <c r="AW62" s="392">
        <v>922373</v>
      </c>
      <c r="AX62" s="392">
        <v>414267</v>
      </c>
      <c r="AY62" s="786">
        <v>1018317</v>
      </c>
      <c r="AZ62" s="392">
        <v>3480575</v>
      </c>
      <c r="BA62" s="639">
        <f>SUM(SNAMEB[[#This Row],[Instruction Expenditures]:[Transfers Out/OtherFinancing]])+SUM(SNAMEB[[#This Row],[General Fund Balance]:[Other Enterprise FundBalance]])</f>
        <v>17528647</v>
      </c>
      <c r="BB62" s="639">
        <f>SUM(SNAMEB[[#This Row],[Property Tax Revenue]:[IDEA/Other Fed Revenue]])+SNAMEB[General Long-term DebtProceeds]+SNAMEB[TransfersIn/Other Financing]+SNAMEB[Fixed Asset Disposition]+SNAMEB[Beginning Fund Balance]</f>
        <v>17528648</v>
      </c>
    </row>
    <row r="63" spans="1:54" x14ac:dyDescent="0.2">
      <c r="A63" s="390">
        <v>13</v>
      </c>
      <c r="B63" s="391" t="s">
        <v>138</v>
      </c>
      <c r="C63" s="631">
        <v>1197</v>
      </c>
      <c r="D63" t="s">
        <v>1067</v>
      </c>
      <c r="E63" s="392">
        <v>1939701</v>
      </c>
      <c r="F63" s="392">
        <v>177391</v>
      </c>
      <c r="G63" s="392">
        <v>222262</v>
      </c>
      <c r="H63" s="392">
        <v>0</v>
      </c>
      <c r="I63" s="392">
        <v>0</v>
      </c>
      <c r="J63" s="392">
        <v>0</v>
      </c>
      <c r="K63" s="392">
        <v>2567497</v>
      </c>
      <c r="L63" s="392">
        <v>583178</v>
      </c>
      <c r="M63" s="392">
        <v>0</v>
      </c>
      <c r="N63" s="392">
        <v>0</v>
      </c>
      <c r="O63" s="392">
        <v>-42449</v>
      </c>
      <c r="P63" s="392">
        <v>14356</v>
      </c>
      <c r="Q63" s="392">
        <v>5461938</v>
      </c>
      <c r="R63" s="392">
        <v>2742901</v>
      </c>
      <c r="S63" s="392">
        <v>118258</v>
      </c>
      <c r="T63" s="392">
        <v>219139</v>
      </c>
      <c r="U63" s="392">
        <v>1209526</v>
      </c>
      <c r="V63" s="392">
        <v>8814</v>
      </c>
      <c r="W63" s="392">
        <v>242916</v>
      </c>
      <c r="X63" s="392">
        <v>207053</v>
      </c>
      <c r="Y63" s="392">
        <v>223252</v>
      </c>
      <c r="Z63" s="392">
        <v>0</v>
      </c>
      <c r="AA63" s="392">
        <v>5082758</v>
      </c>
      <c r="AB63" s="392">
        <v>0</v>
      </c>
      <c r="AC63" s="392">
        <v>952779</v>
      </c>
      <c r="AD63" s="392">
        <v>56418</v>
      </c>
      <c r="AE63" s="392">
        <v>446371</v>
      </c>
      <c r="AF63" s="392">
        <v>522557</v>
      </c>
      <c r="AG63" s="392">
        <v>12032743</v>
      </c>
      <c r="AH63" s="392">
        <v>0</v>
      </c>
      <c r="AI63" s="392">
        <v>0</v>
      </c>
      <c r="AJ63" s="392">
        <v>6352</v>
      </c>
      <c r="AK63" s="392">
        <v>12039095</v>
      </c>
      <c r="AL63" s="392">
        <v>4973339</v>
      </c>
      <c r="AM63" s="392">
        <v>6823789</v>
      </c>
      <c r="AN63" s="392">
        <v>373167</v>
      </c>
      <c r="AO63" s="392">
        <v>549345</v>
      </c>
      <c r="AP63" s="392">
        <v>274110</v>
      </c>
      <c r="AQ63" s="392">
        <v>575990</v>
      </c>
      <c r="AR63" s="392">
        <v>358144</v>
      </c>
      <c r="AS63" s="392">
        <v>1063117</v>
      </c>
      <c r="AT63" s="392">
        <v>368413</v>
      </c>
      <c r="AU63" s="392">
        <v>604254</v>
      </c>
      <c r="AV63" s="392">
        <v>175752</v>
      </c>
      <c r="AW63" s="392">
        <v>0</v>
      </c>
      <c r="AX63" s="392">
        <v>381831</v>
      </c>
      <c r="AY63" s="786">
        <v>2583</v>
      </c>
      <c r="AZ63" s="392">
        <v>5461938</v>
      </c>
      <c r="BA63" s="639">
        <f>SUM(SNAMEB[[#This Row],[Instruction Expenditures]:[Transfers Out/OtherFinancing]])+SUM(SNAMEB[[#This Row],[General Fund Balance]:[Other Enterprise FundBalance]])</f>
        <v>17012431</v>
      </c>
      <c r="BB63" s="639">
        <f>SUM(SNAMEB[[#This Row],[Property Tax Revenue]:[IDEA/Other Fed Revenue]])+SNAMEB[General Long-term DebtProceeds]+SNAMEB[TransfersIn/Other Financing]+SNAMEB[Fixed Asset Disposition]+SNAMEB[Beginning Fund Balance]</f>
        <v>17012433</v>
      </c>
    </row>
    <row r="64" spans="1:54" x14ac:dyDescent="0.2">
      <c r="A64" s="390">
        <v>5</v>
      </c>
      <c r="B64" s="391" t="s">
        <v>139</v>
      </c>
      <c r="C64" s="631">
        <v>1206</v>
      </c>
      <c r="D64" t="s">
        <v>1636</v>
      </c>
      <c r="E64" s="392">
        <v>2019230</v>
      </c>
      <c r="F64" s="392">
        <v>173369</v>
      </c>
      <c r="G64" s="392">
        <v>915450</v>
      </c>
      <c r="H64" s="392">
        <v>0</v>
      </c>
      <c r="I64" s="392">
        <v>0</v>
      </c>
      <c r="J64" s="392">
        <v>0</v>
      </c>
      <c r="K64" s="392">
        <v>1191495</v>
      </c>
      <c r="L64" s="392">
        <v>482558</v>
      </c>
      <c r="M64" s="392">
        <v>0</v>
      </c>
      <c r="N64" s="392">
        <v>327717</v>
      </c>
      <c r="O64" s="392">
        <v>-80596</v>
      </c>
      <c r="P64" s="392">
        <v>0</v>
      </c>
      <c r="Q64" s="392">
        <v>5029223</v>
      </c>
      <c r="R64" s="392">
        <v>5496062</v>
      </c>
      <c r="S64" s="392">
        <v>188475</v>
      </c>
      <c r="T64" s="392">
        <v>1715</v>
      </c>
      <c r="U64" s="392">
        <v>368846</v>
      </c>
      <c r="V64" s="392">
        <v>24973</v>
      </c>
      <c r="W64" s="392">
        <v>211651</v>
      </c>
      <c r="X64" s="392">
        <v>232964</v>
      </c>
      <c r="Y64" s="392">
        <v>214791</v>
      </c>
      <c r="Z64" s="392">
        <v>0</v>
      </c>
      <c r="AA64" s="392">
        <v>5468145</v>
      </c>
      <c r="AB64" s="392">
        <v>0</v>
      </c>
      <c r="AC64" s="392">
        <v>956851</v>
      </c>
      <c r="AD64" s="392">
        <v>78861</v>
      </c>
      <c r="AE64" s="392">
        <v>322168</v>
      </c>
      <c r="AF64" s="392">
        <v>531431</v>
      </c>
      <c r="AG64" s="392">
        <v>14096934</v>
      </c>
      <c r="AH64" s="392">
        <v>0</v>
      </c>
      <c r="AI64" s="392">
        <v>269425</v>
      </c>
      <c r="AJ64" s="392">
        <v>154603</v>
      </c>
      <c r="AK64" s="392">
        <v>14520961</v>
      </c>
      <c r="AL64" s="392">
        <v>7599293</v>
      </c>
      <c r="AM64" s="392">
        <v>8158446</v>
      </c>
      <c r="AN64" s="392">
        <v>469633</v>
      </c>
      <c r="AO64" s="392">
        <v>494445</v>
      </c>
      <c r="AP64" s="392">
        <v>338988</v>
      </c>
      <c r="AQ64" s="392">
        <v>651320</v>
      </c>
      <c r="AR64" s="392">
        <v>222797</v>
      </c>
      <c r="AS64" s="392">
        <v>894231</v>
      </c>
      <c r="AT64" s="392">
        <v>733135</v>
      </c>
      <c r="AU64" s="392">
        <v>549657</v>
      </c>
      <c r="AV64" s="392">
        <v>840617</v>
      </c>
      <c r="AW64" s="392">
        <v>3059948</v>
      </c>
      <c r="AX64" s="392">
        <v>415383</v>
      </c>
      <c r="AY64" s="786">
        <v>262433</v>
      </c>
      <c r="AZ64" s="392">
        <v>5029223</v>
      </c>
      <c r="BA64" s="639">
        <f>SUM(SNAMEB[[#This Row],[Instruction Expenditures]:[Transfers Out/OtherFinancing]])+SUM(SNAMEB[[#This Row],[General Fund Balance]:[Other Enterprise FundBalance]])</f>
        <v>22120256</v>
      </c>
      <c r="BB64" s="639">
        <f>SUM(SNAMEB[[#This Row],[Property Tax Revenue]:[IDEA/Other Fed Revenue]])+SNAMEB[General Long-term DebtProceeds]+SNAMEB[TransfersIn/Other Financing]+SNAMEB[Fixed Asset Disposition]+SNAMEB[Beginning Fund Balance]</f>
        <v>22120254</v>
      </c>
    </row>
    <row r="65" spans="1:54" x14ac:dyDescent="0.2">
      <c r="A65" s="390">
        <v>13</v>
      </c>
      <c r="B65" s="391" t="s">
        <v>140</v>
      </c>
      <c r="C65" s="631">
        <v>1211</v>
      </c>
      <c r="D65" t="s">
        <v>1068</v>
      </c>
      <c r="E65" s="392">
        <v>3706222</v>
      </c>
      <c r="F65" s="392">
        <v>101107</v>
      </c>
      <c r="G65" s="392">
        <v>542865</v>
      </c>
      <c r="H65" s="392">
        <v>0</v>
      </c>
      <c r="I65" s="392">
        <v>0</v>
      </c>
      <c r="J65" s="392">
        <v>0</v>
      </c>
      <c r="K65" s="392">
        <v>1683613</v>
      </c>
      <c r="L65" s="392">
        <v>686508</v>
      </c>
      <c r="M65" s="392">
        <v>0</v>
      </c>
      <c r="N65" s="392">
        <v>29653</v>
      </c>
      <c r="O65" s="392">
        <v>201759</v>
      </c>
      <c r="P65" s="392">
        <v>0</v>
      </c>
      <c r="Q65" s="392">
        <v>6951726</v>
      </c>
      <c r="R65" s="392">
        <v>4694198</v>
      </c>
      <c r="S65" s="392">
        <v>96746</v>
      </c>
      <c r="T65" s="392">
        <v>271562</v>
      </c>
      <c r="U65" s="392">
        <v>252770</v>
      </c>
      <c r="V65" s="392">
        <v>69543</v>
      </c>
      <c r="W65" s="392">
        <v>246005</v>
      </c>
      <c r="X65" s="392">
        <v>400371</v>
      </c>
      <c r="Y65" s="392">
        <v>100386</v>
      </c>
      <c r="Z65" s="392">
        <v>0</v>
      </c>
      <c r="AA65" s="392">
        <v>9602783</v>
      </c>
      <c r="AB65" s="392">
        <v>0</v>
      </c>
      <c r="AC65" s="392">
        <v>1437582</v>
      </c>
      <c r="AD65" s="392">
        <v>171966</v>
      </c>
      <c r="AE65" s="392">
        <v>337822</v>
      </c>
      <c r="AF65" s="392">
        <v>700835</v>
      </c>
      <c r="AG65" s="392">
        <v>18382568</v>
      </c>
      <c r="AH65" s="392">
        <v>181778</v>
      </c>
      <c r="AI65" s="392">
        <v>62505</v>
      </c>
      <c r="AJ65" s="392">
        <v>10988</v>
      </c>
      <c r="AK65" s="392">
        <v>18637838</v>
      </c>
      <c r="AL65" s="392">
        <v>6976140</v>
      </c>
      <c r="AM65" s="392">
        <v>10860712</v>
      </c>
      <c r="AN65" s="392">
        <v>364999</v>
      </c>
      <c r="AO65" s="392">
        <v>584668</v>
      </c>
      <c r="AP65" s="392">
        <v>311599</v>
      </c>
      <c r="AQ65" s="392">
        <v>715306</v>
      </c>
      <c r="AR65" s="392">
        <v>389275</v>
      </c>
      <c r="AS65" s="392">
        <v>1651490</v>
      </c>
      <c r="AT65" s="392">
        <v>751247</v>
      </c>
      <c r="AU65" s="392">
        <v>698240</v>
      </c>
      <c r="AV65" s="392">
        <v>1122921</v>
      </c>
      <c r="AW65" s="392">
        <v>540560</v>
      </c>
      <c r="AX65" s="392">
        <v>608731</v>
      </c>
      <c r="AY65" s="786">
        <v>62505</v>
      </c>
      <c r="AZ65" s="392">
        <v>6951726</v>
      </c>
      <c r="BA65" s="639">
        <f>SUM(SNAMEB[[#This Row],[Instruction Expenditures]:[Transfers Out/OtherFinancing]])+SUM(SNAMEB[[#This Row],[General Fund Balance]:[Other Enterprise FundBalance]])</f>
        <v>25613980</v>
      </c>
      <c r="BB65" s="639">
        <f>SUM(SNAMEB[[#This Row],[Property Tax Revenue]:[IDEA/Other Fed Revenue]])+SNAMEB[General Long-term DebtProceeds]+SNAMEB[TransfersIn/Other Financing]+SNAMEB[Fixed Asset Disposition]+SNAMEB[Beginning Fund Balance]</f>
        <v>25613980</v>
      </c>
    </row>
    <row r="66" spans="1:54" x14ac:dyDescent="0.2">
      <c r="A66" s="390">
        <v>7</v>
      </c>
      <c r="B66" s="391" t="s">
        <v>141</v>
      </c>
      <c r="C66" s="631">
        <v>1215</v>
      </c>
      <c r="D66" t="s">
        <v>1069</v>
      </c>
      <c r="E66" s="392">
        <v>451403</v>
      </c>
      <c r="F66" s="392">
        <v>19669</v>
      </c>
      <c r="G66" s="392">
        <v>151375</v>
      </c>
      <c r="H66" s="392">
        <v>0</v>
      </c>
      <c r="I66" s="392">
        <v>0</v>
      </c>
      <c r="J66" s="392">
        <v>0</v>
      </c>
      <c r="K66" s="392">
        <v>468668</v>
      </c>
      <c r="L66" s="392">
        <v>180926</v>
      </c>
      <c r="M66" s="392">
        <v>0</v>
      </c>
      <c r="N66" s="392">
        <v>0</v>
      </c>
      <c r="O66" s="392">
        <v>-788</v>
      </c>
      <c r="P66" s="392">
        <v>0</v>
      </c>
      <c r="Q66" s="392">
        <v>1271252</v>
      </c>
      <c r="R66" s="392">
        <v>1227380</v>
      </c>
      <c r="S66" s="392">
        <v>41773</v>
      </c>
      <c r="T66" s="392">
        <v>150214</v>
      </c>
      <c r="U66" s="392">
        <v>142588</v>
      </c>
      <c r="V66" s="392">
        <v>26295</v>
      </c>
      <c r="W66" s="392">
        <v>83695</v>
      </c>
      <c r="X66" s="392">
        <v>115498</v>
      </c>
      <c r="Y66" s="392">
        <v>98873</v>
      </c>
      <c r="Z66" s="392">
        <v>0</v>
      </c>
      <c r="AA66" s="392">
        <v>2195893</v>
      </c>
      <c r="AB66" s="392">
        <v>0</v>
      </c>
      <c r="AC66" s="392">
        <v>322623</v>
      </c>
      <c r="AD66" s="392">
        <v>9794</v>
      </c>
      <c r="AE66" s="392">
        <v>38966</v>
      </c>
      <c r="AF66" s="392">
        <v>141356</v>
      </c>
      <c r="AG66" s="392">
        <v>4594947</v>
      </c>
      <c r="AH66" s="392">
        <v>0</v>
      </c>
      <c r="AI66" s="392">
        <v>36184</v>
      </c>
      <c r="AJ66" s="392">
        <v>0</v>
      </c>
      <c r="AK66" s="392">
        <v>4631132</v>
      </c>
      <c r="AL66" s="392">
        <v>1068143</v>
      </c>
      <c r="AM66" s="392">
        <v>2807140</v>
      </c>
      <c r="AN66" s="392">
        <v>62290</v>
      </c>
      <c r="AO66" s="392">
        <v>143983</v>
      </c>
      <c r="AP66" s="392">
        <v>100177</v>
      </c>
      <c r="AQ66" s="392">
        <v>243956</v>
      </c>
      <c r="AR66" s="392">
        <v>109594</v>
      </c>
      <c r="AS66" s="392">
        <v>264143</v>
      </c>
      <c r="AT66" s="392">
        <v>175683</v>
      </c>
      <c r="AU66" s="392">
        <v>171593</v>
      </c>
      <c r="AV66" s="392">
        <v>61045</v>
      </c>
      <c r="AW66" s="392">
        <v>36184</v>
      </c>
      <c r="AX66" s="392">
        <v>154349</v>
      </c>
      <c r="AY66" s="786">
        <v>97885</v>
      </c>
      <c r="AZ66" s="392">
        <v>1271252</v>
      </c>
      <c r="BA66" s="639">
        <f>SUM(SNAMEB[[#This Row],[Instruction Expenditures]:[Transfers Out/OtherFinancing]])+SUM(SNAMEB[[#This Row],[General Fund Balance]:[Other Enterprise FundBalance]])</f>
        <v>5699275</v>
      </c>
      <c r="BB66" s="639">
        <f>SUM(SNAMEB[[#This Row],[Property Tax Revenue]:[IDEA/Other Fed Revenue]])+SNAMEB[General Long-term DebtProceeds]+SNAMEB[TransfersIn/Other Financing]+SNAMEB[Fixed Asset Disposition]+SNAMEB[Beginning Fund Balance]</f>
        <v>5699275</v>
      </c>
    </row>
    <row r="67" spans="1:54" x14ac:dyDescent="0.2">
      <c r="A67" s="390">
        <v>5</v>
      </c>
      <c r="B67" s="391" t="s">
        <v>142</v>
      </c>
      <c r="C67" s="631">
        <v>1218</v>
      </c>
      <c r="D67" t="s">
        <v>1070</v>
      </c>
      <c r="E67" s="392">
        <v>2237700</v>
      </c>
      <c r="F67" s="392">
        <v>10590</v>
      </c>
      <c r="G67" s="392">
        <v>721462</v>
      </c>
      <c r="H67" s="392">
        <v>0</v>
      </c>
      <c r="I67" s="392">
        <v>0</v>
      </c>
      <c r="J67" s="392">
        <v>0</v>
      </c>
      <c r="K67" s="392">
        <v>1246005</v>
      </c>
      <c r="L67" s="392">
        <v>39962</v>
      </c>
      <c r="M67" s="392">
        <v>0</v>
      </c>
      <c r="N67" s="392">
        <v>0</v>
      </c>
      <c r="O67" s="392">
        <v>25</v>
      </c>
      <c r="P67" s="392">
        <v>0</v>
      </c>
      <c r="Q67" s="392">
        <v>4255744</v>
      </c>
      <c r="R67" s="392">
        <v>2022960</v>
      </c>
      <c r="S67" s="392">
        <v>73566</v>
      </c>
      <c r="T67" s="392">
        <v>0</v>
      </c>
      <c r="U67" s="392">
        <v>127331</v>
      </c>
      <c r="V67" s="392">
        <v>9682</v>
      </c>
      <c r="W67" s="392">
        <v>80293</v>
      </c>
      <c r="X67" s="392">
        <v>97937</v>
      </c>
      <c r="Y67" s="392">
        <v>127561</v>
      </c>
      <c r="Z67" s="392">
        <v>0</v>
      </c>
      <c r="AA67" s="392">
        <v>1643949</v>
      </c>
      <c r="AB67" s="392">
        <v>0</v>
      </c>
      <c r="AC67" s="392">
        <v>514302</v>
      </c>
      <c r="AD67" s="392">
        <v>14563</v>
      </c>
      <c r="AE67" s="392">
        <v>47146</v>
      </c>
      <c r="AF67" s="392">
        <v>239715</v>
      </c>
      <c r="AG67" s="392">
        <v>4999005</v>
      </c>
      <c r="AH67" s="392">
        <v>0</v>
      </c>
      <c r="AI67" s="392">
        <v>2066</v>
      </c>
      <c r="AJ67" s="392">
        <v>0</v>
      </c>
      <c r="AK67" s="392">
        <v>5001071</v>
      </c>
      <c r="AL67" s="392">
        <v>4366153</v>
      </c>
      <c r="AM67" s="392">
        <v>3192354</v>
      </c>
      <c r="AN67" s="392">
        <v>52075</v>
      </c>
      <c r="AO67" s="392">
        <v>70776</v>
      </c>
      <c r="AP67" s="392">
        <v>120264</v>
      </c>
      <c r="AQ67" s="392">
        <v>256351</v>
      </c>
      <c r="AR67" s="392">
        <v>175987</v>
      </c>
      <c r="AS67" s="392">
        <v>383294</v>
      </c>
      <c r="AT67" s="392">
        <v>266794</v>
      </c>
      <c r="AU67" s="392">
        <v>159113</v>
      </c>
      <c r="AV67" s="392">
        <v>243759</v>
      </c>
      <c r="AW67" s="392">
        <v>0</v>
      </c>
      <c r="AX67" s="392">
        <v>160134</v>
      </c>
      <c r="AY67" s="786">
        <v>30579</v>
      </c>
      <c r="AZ67" s="392">
        <v>4255744</v>
      </c>
      <c r="BA67" s="639">
        <f>SUM(SNAMEB[[#This Row],[Instruction Expenditures]:[Transfers Out/OtherFinancing]])+SUM(SNAMEB[[#This Row],[General Fund Balance]:[Other Enterprise FundBalance]])</f>
        <v>9367224</v>
      </c>
      <c r="BB67" s="639">
        <f>SUM(SNAMEB[[#This Row],[Property Tax Revenue]:[IDEA/Other Fed Revenue]])+SNAMEB[General Long-term DebtProceeds]+SNAMEB[TransfersIn/Other Financing]+SNAMEB[Fixed Asset Disposition]+SNAMEB[Beginning Fund Balance]</f>
        <v>9367224</v>
      </c>
    </row>
    <row r="68" spans="1:54" x14ac:dyDescent="0.2">
      <c r="A68" s="390">
        <v>1</v>
      </c>
      <c r="B68" s="391" t="s">
        <v>206</v>
      </c>
      <c r="C68" s="631">
        <v>2763</v>
      </c>
      <c r="D68" t="s">
        <v>1056</v>
      </c>
      <c r="E68" s="392">
        <v>1294036</v>
      </c>
      <c r="F68" s="392">
        <v>113820</v>
      </c>
      <c r="G68" s="392">
        <v>508416</v>
      </c>
      <c r="H68" s="392">
        <v>0</v>
      </c>
      <c r="I68" s="392">
        <v>0</v>
      </c>
      <c r="J68" s="392">
        <v>0</v>
      </c>
      <c r="K68" s="392">
        <v>234422</v>
      </c>
      <c r="L68" s="392">
        <v>195838</v>
      </c>
      <c r="M68" s="392">
        <v>0</v>
      </c>
      <c r="N68" s="392">
        <v>0</v>
      </c>
      <c r="O68" s="392">
        <v>-97248</v>
      </c>
      <c r="P68" s="392">
        <v>0</v>
      </c>
      <c r="Q68" s="392">
        <v>2249285</v>
      </c>
      <c r="R68" s="392">
        <v>3308572</v>
      </c>
      <c r="S68" s="392">
        <v>50783</v>
      </c>
      <c r="T68" s="392">
        <v>0</v>
      </c>
      <c r="U68" s="392">
        <v>1881858</v>
      </c>
      <c r="V68" s="392">
        <v>17618</v>
      </c>
      <c r="W68" s="392">
        <v>205673</v>
      </c>
      <c r="X68" s="392">
        <v>260243</v>
      </c>
      <c r="Y68" s="392">
        <v>133652</v>
      </c>
      <c r="Z68" s="392">
        <v>0</v>
      </c>
      <c r="AA68" s="392">
        <v>2959777</v>
      </c>
      <c r="AB68" s="392">
        <v>0</v>
      </c>
      <c r="AC68" s="392">
        <v>649604</v>
      </c>
      <c r="AD68" s="392">
        <v>44984</v>
      </c>
      <c r="AE68" s="392">
        <v>94768</v>
      </c>
      <c r="AF68" s="392">
        <v>261815</v>
      </c>
      <c r="AG68" s="392">
        <v>9869348</v>
      </c>
      <c r="AH68" s="392">
        <v>0</v>
      </c>
      <c r="AI68" s="392">
        <v>322887</v>
      </c>
      <c r="AJ68" s="392">
        <v>1410</v>
      </c>
      <c r="AK68" s="392">
        <v>10193645</v>
      </c>
      <c r="AL68" s="392">
        <v>2212534</v>
      </c>
      <c r="AM68" s="392">
        <v>6438719</v>
      </c>
      <c r="AN68" s="392">
        <v>232926</v>
      </c>
      <c r="AO68" s="392">
        <v>296282</v>
      </c>
      <c r="AP68" s="392">
        <v>143236</v>
      </c>
      <c r="AQ68" s="392">
        <v>344965</v>
      </c>
      <c r="AR68" s="392">
        <v>117189</v>
      </c>
      <c r="AS68" s="392">
        <v>568773</v>
      </c>
      <c r="AT68" s="392">
        <v>661206</v>
      </c>
      <c r="AU68" s="392">
        <v>392726</v>
      </c>
      <c r="AV68" s="392">
        <v>148946</v>
      </c>
      <c r="AW68" s="392">
        <v>261911</v>
      </c>
      <c r="AX68" s="392">
        <v>263105</v>
      </c>
      <c r="AY68" s="786">
        <v>286911</v>
      </c>
      <c r="AZ68" s="392">
        <v>2249285</v>
      </c>
      <c r="BA68" s="639">
        <f>SUM(SNAMEB[[#This Row],[Instruction Expenditures]:[Transfers Out/OtherFinancing]])+SUM(SNAMEB[[#This Row],[General Fund Balance]:[Other Enterprise FundBalance]])</f>
        <v>12406179</v>
      </c>
      <c r="BB68" s="639">
        <f>SUM(SNAMEB[[#This Row],[Property Tax Revenue]:[IDEA/Other Fed Revenue]])+SNAMEB[General Long-term DebtProceeds]+SNAMEB[TransfersIn/Other Financing]+SNAMEB[Fixed Asset Disposition]+SNAMEB[Beginning Fund Balance]</f>
        <v>12406178</v>
      </c>
    </row>
    <row r="69" spans="1:54" x14ac:dyDescent="0.2">
      <c r="A69" s="390">
        <v>10</v>
      </c>
      <c r="B69" s="391" t="s">
        <v>143</v>
      </c>
      <c r="C69" s="631">
        <v>1221</v>
      </c>
      <c r="D69" t="s">
        <v>655</v>
      </c>
      <c r="E69" s="392">
        <v>340748</v>
      </c>
      <c r="F69" s="392">
        <v>209816</v>
      </c>
      <c r="G69" s="392">
        <v>917528</v>
      </c>
      <c r="H69" s="392">
        <v>0</v>
      </c>
      <c r="I69" s="392">
        <v>82002</v>
      </c>
      <c r="J69" s="392">
        <v>0</v>
      </c>
      <c r="K69" s="392">
        <v>2336060</v>
      </c>
      <c r="L69" s="392">
        <v>24283</v>
      </c>
      <c r="M69" s="392">
        <v>9861449</v>
      </c>
      <c r="N69" s="392">
        <v>1256721</v>
      </c>
      <c r="O69" s="392">
        <v>485768</v>
      </c>
      <c r="P69" s="392">
        <v>19287</v>
      </c>
      <c r="Q69" s="392">
        <v>15533663</v>
      </c>
      <c r="R69" s="392">
        <v>10930508</v>
      </c>
      <c r="S69" s="392">
        <v>588304</v>
      </c>
      <c r="T69" s="392">
        <v>403449</v>
      </c>
      <c r="U69" s="392">
        <v>2068366</v>
      </c>
      <c r="V69" s="392">
        <v>30782</v>
      </c>
      <c r="W69" s="392">
        <v>666608</v>
      </c>
      <c r="X69" s="392">
        <v>233362</v>
      </c>
      <c r="Y69" s="392">
        <v>960475</v>
      </c>
      <c r="Z69" s="392">
        <v>0</v>
      </c>
      <c r="AA69" s="392">
        <v>10289584</v>
      </c>
      <c r="AB69" s="392">
        <v>0</v>
      </c>
      <c r="AC69" s="392">
        <v>2395835</v>
      </c>
      <c r="AD69" s="392">
        <v>746551</v>
      </c>
      <c r="AE69" s="392">
        <v>160324</v>
      </c>
      <c r="AF69" s="392">
        <v>1148379</v>
      </c>
      <c r="AG69" s="392">
        <v>30622525</v>
      </c>
      <c r="AH69" s="392">
        <v>6115398</v>
      </c>
      <c r="AI69" s="392">
        <v>1479780</v>
      </c>
      <c r="AJ69" s="392">
        <v>14154</v>
      </c>
      <c r="AK69" s="392">
        <v>38231857</v>
      </c>
      <c r="AL69" s="392">
        <v>23443373</v>
      </c>
      <c r="AM69" s="392">
        <v>15885247</v>
      </c>
      <c r="AN69" s="392">
        <v>582982</v>
      </c>
      <c r="AO69" s="392">
        <v>1414257</v>
      </c>
      <c r="AP69" s="392">
        <v>1021899</v>
      </c>
      <c r="AQ69" s="392">
        <v>1855178</v>
      </c>
      <c r="AR69" s="392">
        <v>173175</v>
      </c>
      <c r="AS69" s="392">
        <v>2674555</v>
      </c>
      <c r="AT69" s="392">
        <v>1104889</v>
      </c>
      <c r="AU69" s="392">
        <v>1661424</v>
      </c>
      <c r="AV69" s="392">
        <v>12036104</v>
      </c>
      <c r="AW69" s="392">
        <v>5467725</v>
      </c>
      <c r="AX69" s="392">
        <v>796497</v>
      </c>
      <c r="AY69" s="786">
        <v>1467634</v>
      </c>
      <c r="AZ69" s="392">
        <v>15533663</v>
      </c>
      <c r="BA69" s="639">
        <f>SUM(SNAMEB[[#This Row],[Instruction Expenditures]:[Transfers Out/OtherFinancing]])+SUM(SNAMEB[[#This Row],[General Fund Balance]:[Other Enterprise FundBalance]])</f>
        <v>61675228</v>
      </c>
      <c r="BB69" s="639">
        <f>SUM(SNAMEB[[#This Row],[Property Tax Revenue]:[IDEA/Other Fed Revenue]])+SNAMEB[General Long-term DebtProceeds]+SNAMEB[TransfersIn/Other Financing]+SNAMEB[Fixed Asset Disposition]+SNAMEB[Beginning Fund Balance]</f>
        <v>61675232</v>
      </c>
    </row>
    <row r="70" spans="1:54" x14ac:dyDescent="0.2">
      <c r="A70" s="390">
        <v>7</v>
      </c>
      <c r="B70" s="391" t="s">
        <v>144</v>
      </c>
      <c r="C70" s="631">
        <v>1233</v>
      </c>
      <c r="D70" t="s">
        <v>1071</v>
      </c>
      <c r="E70" s="392">
        <v>1903781</v>
      </c>
      <c r="F70" s="392">
        <v>327078</v>
      </c>
      <c r="G70" s="392">
        <v>1260697</v>
      </c>
      <c r="H70" s="392">
        <v>0</v>
      </c>
      <c r="I70" s="392">
        <v>0</v>
      </c>
      <c r="J70" s="392">
        <v>0</v>
      </c>
      <c r="K70" s="392">
        <v>3397136</v>
      </c>
      <c r="L70" s="392">
        <v>320251</v>
      </c>
      <c r="M70" s="392">
        <v>0</v>
      </c>
      <c r="N70" s="392">
        <v>707542</v>
      </c>
      <c r="O70" s="392">
        <v>39382</v>
      </c>
      <c r="P70" s="392">
        <v>33</v>
      </c>
      <c r="Q70" s="392">
        <v>7955901</v>
      </c>
      <c r="R70" s="392">
        <v>6439434</v>
      </c>
      <c r="S70" s="392">
        <v>387918</v>
      </c>
      <c r="T70" s="392">
        <v>606929</v>
      </c>
      <c r="U70" s="392">
        <v>1082762</v>
      </c>
      <c r="V70" s="392">
        <v>40695</v>
      </c>
      <c r="W70" s="392">
        <v>387275</v>
      </c>
      <c r="X70" s="392">
        <v>646692</v>
      </c>
      <c r="Y70" s="392">
        <v>394495</v>
      </c>
      <c r="Z70" s="392">
        <v>0</v>
      </c>
      <c r="AA70" s="392">
        <v>5837902</v>
      </c>
      <c r="AB70" s="392">
        <v>0</v>
      </c>
      <c r="AC70" s="392">
        <v>1214323</v>
      </c>
      <c r="AD70" s="392">
        <v>139373</v>
      </c>
      <c r="AE70" s="392">
        <v>148179</v>
      </c>
      <c r="AF70" s="392">
        <v>479605</v>
      </c>
      <c r="AG70" s="392">
        <v>17805581</v>
      </c>
      <c r="AH70" s="392">
        <v>0</v>
      </c>
      <c r="AI70" s="392">
        <v>621877</v>
      </c>
      <c r="AJ70" s="392">
        <v>0</v>
      </c>
      <c r="AK70" s="392">
        <v>18427458</v>
      </c>
      <c r="AL70" s="392">
        <v>9012024</v>
      </c>
      <c r="AM70" s="392">
        <v>10642078</v>
      </c>
      <c r="AN70" s="392">
        <v>165909</v>
      </c>
      <c r="AO70" s="392">
        <v>665425</v>
      </c>
      <c r="AP70" s="392">
        <v>523709</v>
      </c>
      <c r="AQ70" s="392">
        <v>841445</v>
      </c>
      <c r="AR70" s="392">
        <v>143113</v>
      </c>
      <c r="AS70" s="392">
        <v>1413167</v>
      </c>
      <c r="AT70" s="392">
        <v>750797</v>
      </c>
      <c r="AU70" s="392">
        <v>781850</v>
      </c>
      <c r="AV70" s="392">
        <v>1330705</v>
      </c>
      <c r="AW70" s="392">
        <v>979040</v>
      </c>
      <c r="AX70" s="392">
        <v>528448</v>
      </c>
      <c r="AY70" s="786">
        <v>717894</v>
      </c>
      <c r="AZ70" s="392">
        <v>7955901</v>
      </c>
      <c r="BA70" s="639">
        <f>SUM(SNAMEB[[#This Row],[Instruction Expenditures]:[Transfers Out/OtherFinancing]])+SUM(SNAMEB[[#This Row],[General Fund Balance]:[Other Enterprise FundBalance]])</f>
        <v>27439480</v>
      </c>
      <c r="BB70" s="639">
        <f>SUM(SNAMEB[[#This Row],[Property Tax Revenue]:[IDEA/Other Fed Revenue]])+SNAMEB[General Long-term DebtProceeds]+SNAMEB[TransfersIn/Other Financing]+SNAMEB[Fixed Asset Disposition]+SNAMEB[Beginning Fund Balance]</f>
        <v>27439483</v>
      </c>
    </row>
    <row r="71" spans="1:54" x14ac:dyDescent="0.2">
      <c r="A71" s="390">
        <v>9</v>
      </c>
      <c r="B71" s="391" t="s">
        <v>145</v>
      </c>
      <c r="C71" s="631">
        <v>1278</v>
      </c>
      <c r="D71" t="s">
        <v>1072</v>
      </c>
      <c r="E71" s="392">
        <v>3550932</v>
      </c>
      <c r="F71" s="392">
        <v>-704990</v>
      </c>
      <c r="G71" s="392">
        <v>326279</v>
      </c>
      <c r="H71" s="392">
        <v>0</v>
      </c>
      <c r="I71" s="392">
        <v>49046</v>
      </c>
      <c r="J71" s="392">
        <v>0</v>
      </c>
      <c r="K71" s="392">
        <v>6711835</v>
      </c>
      <c r="L71" s="392">
        <v>167627</v>
      </c>
      <c r="M71" s="392">
        <v>0</v>
      </c>
      <c r="N71" s="392">
        <v>-351393</v>
      </c>
      <c r="O71" s="392">
        <v>1423562</v>
      </c>
      <c r="P71" s="392">
        <v>267316</v>
      </c>
      <c r="Q71" s="392">
        <v>11440215</v>
      </c>
      <c r="R71" s="392">
        <v>13418959</v>
      </c>
      <c r="S71" s="392">
        <v>1073855</v>
      </c>
      <c r="T71" s="392">
        <v>1523343</v>
      </c>
      <c r="U71" s="392">
        <v>446309</v>
      </c>
      <c r="V71" s="392">
        <v>73851</v>
      </c>
      <c r="W71" s="392">
        <v>531215</v>
      </c>
      <c r="X71" s="392">
        <v>557127</v>
      </c>
      <c r="Y71" s="392">
        <v>778327</v>
      </c>
      <c r="Z71" s="392">
        <v>0</v>
      </c>
      <c r="AA71" s="392">
        <v>25803342</v>
      </c>
      <c r="AB71" s="392">
        <v>0</v>
      </c>
      <c r="AC71" s="392">
        <v>5281166</v>
      </c>
      <c r="AD71" s="392">
        <v>759821</v>
      </c>
      <c r="AE71" s="392">
        <v>947552</v>
      </c>
      <c r="AF71" s="392">
        <v>2783483</v>
      </c>
      <c r="AG71" s="392">
        <v>53978350</v>
      </c>
      <c r="AH71" s="392">
        <v>171756</v>
      </c>
      <c r="AI71" s="392">
        <v>3650105</v>
      </c>
      <c r="AJ71" s="392">
        <v>13050</v>
      </c>
      <c r="AK71" s="392">
        <v>57813261</v>
      </c>
      <c r="AL71" s="392">
        <v>9688230</v>
      </c>
      <c r="AM71" s="392">
        <v>29522619</v>
      </c>
      <c r="AN71" s="392">
        <v>2478179</v>
      </c>
      <c r="AO71" s="392">
        <v>1036937</v>
      </c>
      <c r="AP71" s="392">
        <v>732092</v>
      </c>
      <c r="AQ71" s="392">
        <v>2315134</v>
      </c>
      <c r="AR71" s="392">
        <v>1844394</v>
      </c>
      <c r="AS71" s="392">
        <v>4713783</v>
      </c>
      <c r="AT71" s="392">
        <v>1476528</v>
      </c>
      <c r="AU71" s="392">
        <v>1678508</v>
      </c>
      <c r="AV71" s="392">
        <v>389285</v>
      </c>
      <c r="AW71" s="392">
        <v>4553065</v>
      </c>
      <c r="AX71" s="392">
        <v>1680684</v>
      </c>
      <c r="AY71" s="786">
        <v>3640069</v>
      </c>
      <c r="AZ71" s="392">
        <v>11440215</v>
      </c>
      <c r="BA71" s="639">
        <f>SUM(SNAMEB[[#This Row],[Instruction Expenditures]:[Transfers Out/OtherFinancing]])+SUM(SNAMEB[[#This Row],[General Fund Balance]:[Other Enterprise FundBalance]])</f>
        <v>67501491</v>
      </c>
      <c r="BB71" s="639">
        <f>SUM(SNAMEB[[#This Row],[Property Tax Revenue]:[IDEA/Other Fed Revenue]])+SNAMEB[General Long-term DebtProceeds]+SNAMEB[TransfersIn/Other Financing]+SNAMEB[Fixed Asset Disposition]+SNAMEB[Beginning Fund Balance]</f>
        <v>67501491</v>
      </c>
    </row>
    <row r="72" spans="1:54" x14ac:dyDescent="0.2">
      <c r="A72" s="390">
        <v>11</v>
      </c>
      <c r="B72" s="391" t="s">
        <v>146</v>
      </c>
      <c r="C72" s="631">
        <v>1332</v>
      </c>
      <c r="D72" t="s">
        <v>1073</v>
      </c>
      <c r="E72" s="392">
        <v>410100</v>
      </c>
      <c r="F72" s="392">
        <v>37830</v>
      </c>
      <c r="G72" s="392">
        <v>242551</v>
      </c>
      <c r="H72" s="392">
        <v>0</v>
      </c>
      <c r="I72" s="392">
        <v>206977</v>
      </c>
      <c r="J72" s="392">
        <v>0</v>
      </c>
      <c r="K72" s="392">
        <v>1484623</v>
      </c>
      <c r="L72" s="392">
        <v>187946</v>
      </c>
      <c r="M72" s="392">
        <v>0</v>
      </c>
      <c r="N72" s="392">
        <v>123723</v>
      </c>
      <c r="O72" s="392">
        <v>30108</v>
      </c>
      <c r="P72" s="392">
        <v>0</v>
      </c>
      <c r="Q72" s="392">
        <v>2723857</v>
      </c>
      <c r="R72" s="392">
        <v>2798881</v>
      </c>
      <c r="S72" s="392">
        <v>190240</v>
      </c>
      <c r="T72" s="392">
        <v>295848</v>
      </c>
      <c r="U72" s="392">
        <v>106374</v>
      </c>
      <c r="V72" s="392">
        <v>4710</v>
      </c>
      <c r="W72" s="392">
        <v>134916</v>
      </c>
      <c r="X72" s="392">
        <v>27566</v>
      </c>
      <c r="Y72" s="392">
        <v>255371</v>
      </c>
      <c r="Z72" s="392">
        <v>0</v>
      </c>
      <c r="AA72" s="392">
        <v>4543694</v>
      </c>
      <c r="AB72" s="392">
        <v>0</v>
      </c>
      <c r="AC72" s="392">
        <v>689154</v>
      </c>
      <c r="AD72" s="392">
        <v>36718</v>
      </c>
      <c r="AE72" s="392">
        <v>132185</v>
      </c>
      <c r="AF72" s="392">
        <v>447079</v>
      </c>
      <c r="AG72" s="392">
        <v>9662735</v>
      </c>
      <c r="AH72" s="392">
        <v>0</v>
      </c>
      <c r="AI72" s="392">
        <v>0</v>
      </c>
      <c r="AJ72" s="392">
        <v>10</v>
      </c>
      <c r="AK72" s="392">
        <v>9662745</v>
      </c>
      <c r="AL72" s="392">
        <v>2338019</v>
      </c>
      <c r="AM72" s="392">
        <v>5776571</v>
      </c>
      <c r="AN72" s="392">
        <v>103548</v>
      </c>
      <c r="AO72" s="392">
        <v>70665</v>
      </c>
      <c r="AP72" s="392">
        <v>489446</v>
      </c>
      <c r="AQ72" s="392">
        <v>365385</v>
      </c>
      <c r="AR72" s="392">
        <v>166058</v>
      </c>
      <c r="AS72" s="392">
        <v>624311</v>
      </c>
      <c r="AT72" s="392">
        <v>377581</v>
      </c>
      <c r="AU72" s="392">
        <v>330094</v>
      </c>
      <c r="AV72" s="392">
        <v>185225</v>
      </c>
      <c r="AW72" s="392">
        <v>490943</v>
      </c>
      <c r="AX72" s="392">
        <v>297083</v>
      </c>
      <c r="AY72" s="786">
        <v>0</v>
      </c>
      <c r="AZ72" s="392">
        <v>2723857</v>
      </c>
      <c r="BA72" s="639">
        <f>SUM(SNAMEB[[#This Row],[Instruction Expenditures]:[Transfers Out/OtherFinancing]])+SUM(SNAMEB[[#This Row],[General Fund Balance]:[Other Enterprise FundBalance]])</f>
        <v>12000768</v>
      </c>
      <c r="BB72" s="639">
        <f>SUM(SNAMEB[[#This Row],[Property Tax Revenue]:[IDEA/Other Fed Revenue]])+SNAMEB[General Long-term DebtProceeds]+SNAMEB[TransfersIn/Other Financing]+SNAMEB[Fixed Asset Disposition]+SNAMEB[Beginning Fund Balance]</f>
        <v>12000765</v>
      </c>
    </row>
    <row r="73" spans="1:54" x14ac:dyDescent="0.2">
      <c r="A73" s="390">
        <v>10</v>
      </c>
      <c r="B73" s="391" t="s">
        <v>147</v>
      </c>
      <c r="C73" s="631">
        <v>1337</v>
      </c>
      <c r="D73" t="s">
        <v>1074</v>
      </c>
      <c r="E73" s="392">
        <v>914780</v>
      </c>
      <c r="F73" s="392">
        <v>596629</v>
      </c>
      <c r="G73" s="392">
        <v>1551808</v>
      </c>
      <c r="H73" s="392">
        <v>0</v>
      </c>
      <c r="I73" s="392">
        <v>0</v>
      </c>
      <c r="J73" s="392">
        <v>0</v>
      </c>
      <c r="K73" s="392">
        <v>2197549</v>
      </c>
      <c r="L73" s="392">
        <v>985039</v>
      </c>
      <c r="M73" s="392">
        <v>0</v>
      </c>
      <c r="N73" s="392">
        <v>823659</v>
      </c>
      <c r="O73" s="392">
        <v>79161</v>
      </c>
      <c r="P73" s="392">
        <v>-258570</v>
      </c>
      <c r="Q73" s="392">
        <v>6890055</v>
      </c>
      <c r="R73" s="392">
        <v>26905354</v>
      </c>
      <c r="S73" s="392">
        <v>2101683</v>
      </c>
      <c r="T73" s="392">
        <v>0</v>
      </c>
      <c r="U73" s="392">
        <v>5000288</v>
      </c>
      <c r="V73" s="392">
        <v>6283</v>
      </c>
      <c r="W73" s="392">
        <v>1467294</v>
      </c>
      <c r="X73" s="392">
        <v>1167971</v>
      </c>
      <c r="Y73" s="392">
        <v>2981887</v>
      </c>
      <c r="Z73" s="392">
        <v>0</v>
      </c>
      <c r="AA73" s="392">
        <v>25213983</v>
      </c>
      <c r="AB73" s="392">
        <v>0</v>
      </c>
      <c r="AC73" s="392">
        <v>6510580</v>
      </c>
      <c r="AD73" s="392">
        <v>1260718</v>
      </c>
      <c r="AE73" s="392">
        <v>476150</v>
      </c>
      <c r="AF73" s="392">
        <v>2044959</v>
      </c>
      <c r="AG73" s="392">
        <v>75137149</v>
      </c>
      <c r="AH73" s="392">
        <v>0</v>
      </c>
      <c r="AI73" s="392">
        <v>2292779</v>
      </c>
      <c r="AJ73" s="392">
        <v>0</v>
      </c>
      <c r="AK73" s="392">
        <v>77429928</v>
      </c>
      <c r="AL73" s="392">
        <v>7253390</v>
      </c>
      <c r="AM73" s="392">
        <v>39415828</v>
      </c>
      <c r="AN73" s="392">
        <v>1926381</v>
      </c>
      <c r="AO73" s="392">
        <v>5879032</v>
      </c>
      <c r="AP73" s="392">
        <v>646367</v>
      </c>
      <c r="AQ73" s="392">
        <v>3186208</v>
      </c>
      <c r="AR73" s="392">
        <v>1801358</v>
      </c>
      <c r="AS73" s="392">
        <v>5274371</v>
      </c>
      <c r="AT73" s="392">
        <v>2877797</v>
      </c>
      <c r="AU73" s="392">
        <v>4584709</v>
      </c>
      <c r="AV73" s="392">
        <v>2206459</v>
      </c>
      <c r="AW73" s="392">
        <v>5948030</v>
      </c>
      <c r="AX73" s="392">
        <v>2046725</v>
      </c>
      <c r="AY73" s="786">
        <v>2000000</v>
      </c>
      <c r="AZ73" s="392">
        <v>6890055</v>
      </c>
      <c r="BA73" s="639">
        <f>SUM(SNAMEB[[#This Row],[Instruction Expenditures]:[Transfers Out/OtherFinancing]])+SUM(SNAMEB[[#This Row],[General Fund Balance]:[Other Enterprise FundBalance]])</f>
        <v>84683320</v>
      </c>
      <c r="BB73" s="639">
        <f>SUM(SNAMEB[[#This Row],[Property Tax Revenue]:[IDEA/Other Fed Revenue]])+SNAMEB[General Long-term DebtProceeds]+SNAMEB[TransfersIn/Other Financing]+SNAMEB[Fixed Asset Disposition]+SNAMEB[Beginning Fund Balance]</f>
        <v>84683319</v>
      </c>
    </row>
    <row r="74" spans="1:54" x14ac:dyDescent="0.2">
      <c r="A74" s="390">
        <v>11</v>
      </c>
      <c r="B74" s="391" t="s">
        <v>148</v>
      </c>
      <c r="C74" s="631">
        <v>1350</v>
      </c>
      <c r="D74" t="s">
        <v>1075</v>
      </c>
      <c r="E74" s="392">
        <v>629556</v>
      </c>
      <c r="F74" s="392">
        <v>110875</v>
      </c>
      <c r="G74" s="392">
        <v>359898</v>
      </c>
      <c r="H74" s="392">
        <v>0</v>
      </c>
      <c r="I74" s="392">
        <v>0</v>
      </c>
      <c r="J74" s="392">
        <v>0</v>
      </c>
      <c r="K74" s="392">
        <v>1562283</v>
      </c>
      <c r="L74" s="392">
        <v>3777</v>
      </c>
      <c r="M74" s="392">
        <v>0</v>
      </c>
      <c r="N74" s="392">
        <v>380901</v>
      </c>
      <c r="O74" s="392">
        <v>-15</v>
      </c>
      <c r="P74" s="392">
        <v>0</v>
      </c>
      <c r="Q74" s="392">
        <v>3047275</v>
      </c>
      <c r="R74" s="392">
        <v>2058355</v>
      </c>
      <c r="S74" s="392">
        <v>74874</v>
      </c>
      <c r="T74" s="392">
        <v>27183</v>
      </c>
      <c r="U74" s="392">
        <v>201784</v>
      </c>
      <c r="V74" s="392">
        <v>7892</v>
      </c>
      <c r="W74" s="392">
        <v>130840</v>
      </c>
      <c r="X74" s="392">
        <v>94945</v>
      </c>
      <c r="Y74" s="392">
        <v>50547</v>
      </c>
      <c r="Z74" s="392">
        <v>0</v>
      </c>
      <c r="AA74" s="392">
        <v>2745776</v>
      </c>
      <c r="AB74" s="392">
        <v>0</v>
      </c>
      <c r="AC74" s="392">
        <v>649234</v>
      </c>
      <c r="AD74" s="392">
        <v>9601</v>
      </c>
      <c r="AE74" s="392">
        <v>45778</v>
      </c>
      <c r="AF74" s="392">
        <v>180490</v>
      </c>
      <c r="AG74" s="392">
        <v>6277299</v>
      </c>
      <c r="AH74" s="392">
        <v>111407</v>
      </c>
      <c r="AI74" s="392">
        <v>204940</v>
      </c>
      <c r="AJ74" s="392">
        <v>1280</v>
      </c>
      <c r="AK74" s="392">
        <v>6594926</v>
      </c>
      <c r="AL74" s="392">
        <v>2913978</v>
      </c>
      <c r="AM74" s="392">
        <v>3808353</v>
      </c>
      <c r="AN74" s="392">
        <v>148594</v>
      </c>
      <c r="AO74" s="392">
        <v>184045</v>
      </c>
      <c r="AP74" s="392">
        <v>175940</v>
      </c>
      <c r="AQ74" s="392">
        <v>249058</v>
      </c>
      <c r="AR74" s="392">
        <v>99053</v>
      </c>
      <c r="AS74" s="392">
        <v>369449</v>
      </c>
      <c r="AT74" s="392">
        <v>241391</v>
      </c>
      <c r="AU74" s="392">
        <v>208299</v>
      </c>
      <c r="AV74" s="392">
        <v>371351</v>
      </c>
      <c r="AW74" s="392">
        <v>206673</v>
      </c>
      <c r="AX74" s="392">
        <v>190549</v>
      </c>
      <c r="AY74" s="786">
        <v>208874</v>
      </c>
      <c r="AZ74" s="392">
        <v>3047275</v>
      </c>
      <c r="BA74" s="639">
        <f>SUM(SNAMEB[[#This Row],[Instruction Expenditures]:[Transfers Out/OtherFinancing]])+SUM(SNAMEB[[#This Row],[General Fund Balance]:[Other Enterprise FundBalance]])</f>
        <v>9508904</v>
      </c>
      <c r="BB74" s="639">
        <f>SUM(SNAMEB[[#This Row],[Property Tax Revenue]:[IDEA/Other Fed Revenue]])+SNAMEB[General Long-term DebtProceeds]+SNAMEB[TransfersIn/Other Financing]+SNAMEB[Fixed Asset Disposition]+SNAMEB[Beginning Fund Balance]</f>
        <v>9508904</v>
      </c>
    </row>
    <row r="75" spans="1:54" x14ac:dyDescent="0.2">
      <c r="A75" s="390">
        <v>11</v>
      </c>
      <c r="B75" s="391" t="s">
        <v>149</v>
      </c>
      <c r="C75" s="631">
        <v>1359</v>
      </c>
      <c r="D75" t="s">
        <v>1076</v>
      </c>
      <c r="E75" s="392">
        <v>1014021</v>
      </c>
      <c r="F75" s="392">
        <v>60643</v>
      </c>
      <c r="G75" s="392">
        <v>218867</v>
      </c>
      <c r="H75" s="392">
        <v>0</v>
      </c>
      <c r="I75" s="392">
        <v>0</v>
      </c>
      <c r="J75" s="392">
        <v>0</v>
      </c>
      <c r="K75" s="392">
        <v>386965</v>
      </c>
      <c r="L75" s="392">
        <v>53250</v>
      </c>
      <c r="M75" s="392">
        <v>0</v>
      </c>
      <c r="N75" s="392">
        <v>689517</v>
      </c>
      <c r="O75" s="392">
        <v>-34419</v>
      </c>
      <c r="P75" s="392">
        <v>30704</v>
      </c>
      <c r="Q75" s="392">
        <v>2419548</v>
      </c>
      <c r="R75" s="392">
        <v>3423110</v>
      </c>
      <c r="S75" s="392">
        <v>142825</v>
      </c>
      <c r="T75" s="392">
        <v>222022</v>
      </c>
      <c r="U75" s="392">
        <v>188820</v>
      </c>
      <c r="V75" s="392">
        <v>19215</v>
      </c>
      <c r="W75" s="392">
        <v>127436</v>
      </c>
      <c r="X75" s="392">
        <v>128014</v>
      </c>
      <c r="Y75" s="392">
        <v>188250</v>
      </c>
      <c r="Z75" s="392">
        <v>0</v>
      </c>
      <c r="AA75" s="392">
        <v>2666706</v>
      </c>
      <c r="AB75" s="392">
        <v>0</v>
      </c>
      <c r="AC75" s="392">
        <v>547303</v>
      </c>
      <c r="AD75" s="392">
        <v>86567</v>
      </c>
      <c r="AE75" s="392">
        <v>78840</v>
      </c>
      <c r="AF75" s="392">
        <v>223888</v>
      </c>
      <c r="AG75" s="392">
        <v>8042997</v>
      </c>
      <c r="AH75" s="392">
        <v>84102</v>
      </c>
      <c r="AI75" s="392">
        <v>590363</v>
      </c>
      <c r="AJ75" s="392">
        <v>800</v>
      </c>
      <c r="AK75" s="392">
        <v>8718262</v>
      </c>
      <c r="AL75" s="392">
        <v>1628474</v>
      </c>
      <c r="AM75" s="392">
        <v>4135223</v>
      </c>
      <c r="AN75" s="392">
        <v>39824</v>
      </c>
      <c r="AO75" s="392">
        <v>153771</v>
      </c>
      <c r="AP75" s="392">
        <v>87802</v>
      </c>
      <c r="AQ75" s="392">
        <v>345368</v>
      </c>
      <c r="AR75" s="392">
        <v>198075</v>
      </c>
      <c r="AS75" s="392">
        <v>567963</v>
      </c>
      <c r="AT75" s="392">
        <v>357794</v>
      </c>
      <c r="AU75" s="392">
        <v>340815</v>
      </c>
      <c r="AV75" s="392">
        <v>323340</v>
      </c>
      <c r="AW75" s="392">
        <v>607622</v>
      </c>
      <c r="AX75" s="392">
        <v>201243</v>
      </c>
      <c r="AY75" s="786">
        <v>568349</v>
      </c>
      <c r="AZ75" s="392">
        <v>2419548</v>
      </c>
      <c r="BA75" s="639">
        <f>SUM(SNAMEB[[#This Row],[Instruction Expenditures]:[Transfers Out/OtherFinancing]])+SUM(SNAMEB[[#This Row],[General Fund Balance]:[Other Enterprise FundBalance]])</f>
        <v>10346737</v>
      </c>
      <c r="BB75" s="639">
        <f>SUM(SNAMEB[[#This Row],[Property Tax Revenue]:[IDEA/Other Fed Revenue]])+SNAMEB[General Long-term DebtProceeds]+SNAMEB[TransfersIn/Other Financing]+SNAMEB[Fixed Asset Disposition]+SNAMEB[Beginning Fund Balance]</f>
        <v>10346735</v>
      </c>
    </row>
    <row r="76" spans="1:54" x14ac:dyDescent="0.2">
      <c r="A76" s="390">
        <v>9</v>
      </c>
      <c r="B76" s="391" t="s">
        <v>150</v>
      </c>
      <c r="C76" s="631">
        <v>1368</v>
      </c>
      <c r="D76" t="s">
        <v>1077</v>
      </c>
      <c r="E76" s="392">
        <v>1952005</v>
      </c>
      <c r="F76" s="392">
        <v>62006</v>
      </c>
      <c r="G76" s="392">
        <v>336686</v>
      </c>
      <c r="H76" s="392">
        <v>1248</v>
      </c>
      <c r="I76" s="392">
        <v>0</v>
      </c>
      <c r="J76" s="392">
        <v>0</v>
      </c>
      <c r="K76" s="392">
        <v>1020451</v>
      </c>
      <c r="L76" s="392">
        <v>58475</v>
      </c>
      <c r="M76" s="392">
        <v>0</v>
      </c>
      <c r="N76" s="392">
        <v>779523</v>
      </c>
      <c r="O76" s="392">
        <v>43218</v>
      </c>
      <c r="P76" s="392">
        <v>94845</v>
      </c>
      <c r="Q76" s="392">
        <v>4348455</v>
      </c>
      <c r="R76" s="392">
        <v>3443462</v>
      </c>
      <c r="S76" s="392">
        <v>39352</v>
      </c>
      <c r="T76" s="392">
        <v>367963</v>
      </c>
      <c r="U76" s="392">
        <v>59063</v>
      </c>
      <c r="V76" s="392">
        <v>12592</v>
      </c>
      <c r="W76" s="392">
        <v>117543</v>
      </c>
      <c r="X76" s="392">
        <v>63585</v>
      </c>
      <c r="Y76" s="392">
        <v>334099</v>
      </c>
      <c r="Z76" s="392">
        <v>0</v>
      </c>
      <c r="AA76" s="392">
        <v>5357045</v>
      </c>
      <c r="AB76" s="392">
        <v>0</v>
      </c>
      <c r="AC76" s="392">
        <v>919389</v>
      </c>
      <c r="AD76" s="392">
        <v>19615</v>
      </c>
      <c r="AE76" s="392">
        <v>296615</v>
      </c>
      <c r="AF76" s="392">
        <v>533697</v>
      </c>
      <c r="AG76" s="392">
        <v>11564019</v>
      </c>
      <c r="AH76" s="392">
        <v>0</v>
      </c>
      <c r="AI76" s="392">
        <v>751121</v>
      </c>
      <c r="AJ76" s="392">
        <v>0</v>
      </c>
      <c r="AK76" s="392">
        <v>12315141</v>
      </c>
      <c r="AL76" s="392">
        <v>4290863</v>
      </c>
      <c r="AM76" s="392">
        <v>6189666</v>
      </c>
      <c r="AN76" s="392">
        <v>220635</v>
      </c>
      <c r="AO76" s="392">
        <v>426608</v>
      </c>
      <c r="AP76" s="392">
        <v>143213</v>
      </c>
      <c r="AQ76" s="392">
        <v>350161</v>
      </c>
      <c r="AR76" s="392">
        <v>249071</v>
      </c>
      <c r="AS76" s="392">
        <v>712619</v>
      </c>
      <c r="AT76" s="392">
        <v>318923</v>
      </c>
      <c r="AU76" s="392">
        <v>553630</v>
      </c>
      <c r="AV76" s="392">
        <v>167129</v>
      </c>
      <c r="AW76" s="392">
        <v>1823360</v>
      </c>
      <c r="AX76" s="392">
        <v>367178</v>
      </c>
      <c r="AY76" s="786">
        <v>735357</v>
      </c>
      <c r="AZ76" s="392">
        <v>4348455</v>
      </c>
      <c r="BA76" s="639">
        <f>SUM(SNAMEB[[#This Row],[Instruction Expenditures]:[Transfers Out/OtherFinancing]])+SUM(SNAMEB[[#This Row],[General Fund Balance]:[Other Enterprise FundBalance]])</f>
        <v>16606007</v>
      </c>
      <c r="BB76" s="639">
        <f>SUM(SNAMEB[[#This Row],[Property Tax Revenue]:[IDEA/Other Fed Revenue]])+SNAMEB[General Long-term DebtProceeds]+SNAMEB[TransfersIn/Other Financing]+SNAMEB[Fixed Asset Disposition]+SNAMEB[Beginning Fund Balance]</f>
        <v>16606004</v>
      </c>
    </row>
    <row r="77" spans="1:54" x14ac:dyDescent="0.2">
      <c r="A77" s="390">
        <v>11</v>
      </c>
      <c r="B77" s="391" t="s">
        <v>151</v>
      </c>
      <c r="C77" s="631">
        <v>1413</v>
      </c>
      <c r="D77" t="s">
        <v>638</v>
      </c>
      <c r="E77" s="392">
        <v>1491781</v>
      </c>
      <c r="F77" s="392">
        <v>76313</v>
      </c>
      <c r="G77" s="392">
        <v>96310</v>
      </c>
      <c r="H77" s="392">
        <v>0</v>
      </c>
      <c r="I77" s="392">
        <v>0</v>
      </c>
      <c r="J77" s="392">
        <v>0</v>
      </c>
      <c r="K77" s="392">
        <v>510163</v>
      </c>
      <c r="L77" s="392">
        <v>417997</v>
      </c>
      <c r="M77" s="392">
        <v>0</v>
      </c>
      <c r="N77" s="392">
        <v>225132</v>
      </c>
      <c r="O77" s="392">
        <v>115134</v>
      </c>
      <c r="P77" s="392">
        <v>0</v>
      </c>
      <c r="Q77" s="392">
        <v>2932830</v>
      </c>
      <c r="R77" s="392">
        <v>2347680</v>
      </c>
      <c r="S77" s="392">
        <v>25679</v>
      </c>
      <c r="T77" s="392">
        <v>128559</v>
      </c>
      <c r="U77" s="392">
        <v>185668</v>
      </c>
      <c r="V77" s="392">
        <v>4496</v>
      </c>
      <c r="W77" s="392">
        <v>99555</v>
      </c>
      <c r="X77" s="392">
        <v>167691</v>
      </c>
      <c r="Y77" s="392">
        <v>109314</v>
      </c>
      <c r="Z77" s="392">
        <v>0</v>
      </c>
      <c r="AA77" s="392">
        <v>2013918</v>
      </c>
      <c r="AB77" s="392">
        <v>0</v>
      </c>
      <c r="AC77" s="392">
        <v>397660</v>
      </c>
      <c r="AD77" s="392">
        <v>27925</v>
      </c>
      <c r="AE77" s="392">
        <v>75207</v>
      </c>
      <c r="AF77" s="392">
        <v>221251</v>
      </c>
      <c r="AG77" s="392">
        <v>5804603</v>
      </c>
      <c r="AH77" s="392">
        <v>0</v>
      </c>
      <c r="AI77" s="392">
        <v>316364</v>
      </c>
      <c r="AJ77" s="392">
        <v>5045</v>
      </c>
      <c r="AK77" s="392">
        <v>6126012</v>
      </c>
      <c r="AL77" s="392">
        <v>2565255</v>
      </c>
      <c r="AM77" s="392">
        <v>3200158</v>
      </c>
      <c r="AN77" s="392">
        <v>106501</v>
      </c>
      <c r="AO77" s="392">
        <v>230718</v>
      </c>
      <c r="AP77" s="392">
        <v>167292</v>
      </c>
      <c r="AQ77" s="392">
        <v>161668</v>
      </c>
      <c r="AR77" s="392">
        <v>193907</v>
      </c>
      <c r="AS77" s="392">
        <v>378651</v>
      </c>
      <c r="AT77" s="392">
        <v>237721</v>
      </c>
      <c r="AU77" s="392">
        <v>218775</v>
      </c>
      <c r="AV77" s="392">
        <v>63606</v>
      </c>
      <c r="AW77" s="392">
        <v>316614</v>
      </c>
      <c r="AX77" s="392">
        <v>166397</v>
      </c>
      <c r="AY77" s="786">
        <v>316429</v>
      </c>
      <c r="AZ77" s="392">
        <v>2932830</v>
      </c>
      <c r="BA77" s="639">
        <f>SUM(SNAMEB[[#This Row],[Instruction Expenditures]:[Transfers Out/OtherFinancing]])+SUM(SNAMEB[[#This Row],[General Fund Balance]:[Other Enterprise FundBalance]])</f>
        <v>8691267</v>
      </c>
      <c r="BB77" s="639">
        <f>SUM(SNAMEB[[#This Row],[Property Tax Revenue]:[IDEA/Other Fed Revenue]])+SNAMEB[General Long-term DebtProceeds]+SNAMEB[TransfersIn/Other Financing]+SNAMEB[Fixed Asset Disposition]+SNAMEB[Beginning Fund Balance]</f>
        <v>8691267</v>
      </c>
    </row>
    <row r="78" spans="1:54" x14ac:dyDescent="0.2">
      <c r="A78" s="390">
        <v>13</v>
      </c>
      <c r="B78" s="391" t="s">
        <v>152</v>
      </c>
      <c r="C78" s="631">
        <v>1431</v>
      </c>
      <c r="D78" t="s">
        <v>1078</v>
      </c>
      <c r="E78" s="392">
        <v>319099</v>
      </c>
      <c r="F78" s="392">
        <v>87700</v>
      </c>
      <c r="G78" s="392">
        <v>71997</v>
      </c>
      <c r="H78" s="392">
        <v>0</v>
      </c>
      <c r="I78" s="392">
        <v>0</v>
      </c>
      <c r="J78" s="392">
        <v>0</v>
      </c>
      <c r="K78" s="392">
        <v>375738</v>
      </c>
      <c r="L78" s="392">
        <v>14477</v>
      </c>
      <c r="M78" s="392">
        <v>0</v>
      </c>
      <c r="N78" s="392">
        <v>181736</v>
      </c>
      <c r="O78" s="392">
        <v>-26906</v>
      </c>
      <c r="P78" s="392">
        <v>0</v>
      </c>
      <c r="Q78" s="392">
        <v>1023842</v>
      </c>
      <c r="R78" s="392">
        <v>2747037</v>
      </c>
      <c r="S78" s="392">
        <v>127367</v>
      </c>
      <c r="T78" s="392">
        <v>107483</v>
      </c>
      <c r="U78" s="392">
        <v>962988</v>
      </c>
      <c r="V78" s="392">
        <v>1863</v>
      </c>
      <c r="W78" s="392">
        <v>79070</v>
      </c>
      <c r="X78" s="392">
        <v>180743</v>
      </c>
      <c r="Y78" s="392">
        <v>199935</v>
      </c>
      <c r="Z78" s="392">
        <v>0</v>
      </c>
      <c r="AA78" s="392">
        <v>2342676</v>
      </c>
      <c r="AB78" s="392">
        <v>0</v>
      </c>
      <c r="AC78" s="392">
        <v>449643</v>
      </c>
      <c r="AD78" s="392">
        <v>38879</v>
      </c>
      <c r="AE78" s="392">
        <v>89191</v>
      </c>
      <c r="AF78" s="392">
        <v>228489</v>
      </c>
      <c r="AG78" s="392">
        <v>7555365</v>
      </c>
      <c r="AH78" s="392">
        <v>0</v>
      </c>
      <c r="AI78" s="392">
        <v>148694</v>
      </c>
      <c r="AJ78" s="392">
        <v>8920</v>
      </c>
      <c r="AK78" s="392">
        <v>7712979</v>
      </c>
      <c r="AL78" s="392">
        <v>1280384</v>
      </c>
      <c r="AM78" s="392">
        <v>4223382</v>
      </c>
      <c r="AN78" s="392">
        <v>134731</v>
      </c>
      <c r="AO78" s="392">
        <v>318261</v>
      </c>
      <c r="AP78" s="392">
        <v>240357</v>
      </c>
      <c r="AQ78" s="392">
        <v>335131</v>
      </c>
      <c r="AR78" s="392">
        <v>98848</v>
      </c>
      <c r="AS78" s="392">
        <v>527550</v>
      </c>
      <c r="AT78" s="392">
        <v>495572</v>
      </c>
      <c r="AU78" s="392">
        <v>214244</v>
      </c>
      <c r="AV78" s="392">
        <v>473296</v>
      </c>
      <c r="AW78" s="392">
        <v>576713</v>
      </c>
      <c r="AX78" s="392">
        <v>182744</v>
      </c>
      <c r="AY78" s="786">
        <v>148694</v>
      </c>
      <c r="AZ78" s="392">
        <v>1023842</v>
      </c>
      <c r="BA78" s="639">
        <f>SUM(SNAMEB[[#This Row],[Instruction Expenditures]:[Transfers Out/OtherFinancing]])+SUM(SNAMEB[[#This Row],[General Fund Balance]:[Other Enterprise FundBalance]])</f>
        <v>8993364</v>
      </c>
      <c r="BB78" s="639">
        <f>SUM(SNAMEB[[#This Row],[Property Tax Revenue]:[IDEA/Other Fed Revenue]])+SNAMEB[General Long-term DebtProceeds]+SNAMEB[TransfersIn/Other Financing]+SNAMEB[Fixed Asset Disposition]+SNAMEB[Beginning Fund Balance]</f>
        <v>8993362</v>
      </c>
    </row>
    <row r="79" spans="1:54" x14ac:dyDescent="0.2">
      <c r="A79" s="390">
        <v>13</v>
      </c>
      <c r="B79" s="391" t="s">
        <v>153</v>
      </c>
      <c r="C79" s="631">
        <v>1476</v>
      </c>
      <c r="D79" t="s">
        <v>1079</v>
      </c>
      <c r="E79" s="392">
        <v>10396578</v>
      </c>
      <c r="F79" s="392">
        <v>215257</v>
      </c>
      <c r="G79" s="392">
        <v>2581167</v>
      </c>
      <c r="H79" s="392">
        <v>0</v>
      </c>
      <c r="I79" s="392">
        <v>0</v>
      </c>
      <c r="J79" s="392">
        <v>0</v>
      </c>
      <c r="K79" s="392">
        <v>4439490</v>
      </c>
      <c r="L79" s="392">
        <v>2105173</v>
      </c>
      <c r="M79" s="392">
        <v>-1026163</v>
      </c>
      <c r="N79" s="392">
        <v>9605339</v>
      </c>
      <c r="O79" s="392">
        <v>1037702</v>
      </c>
      <c r="P79" s="392">
        <v>0</v>
      </c>
      <c r="Q79" s="392">
        <v>29354543</v>
      </c>
      <c r="R79" s="392">
        <v>32914724</v>
      </c>
      <c r="S79" s="392">
        <v>1536345</v>
      </c>
      <c r="T79" s="392">
        <v>0</v>
      </c>
      <c r="U79" s="392">
        <v>3113622</v>
      </c>
      <c r="V79" s="392">
        <v>152768</v>
      </c>
      <c r="W79" s="392">
        <v>437719</v>
      </c>
      <c r="X79" s="392">
        <v>912303</v>
      </c>
      <c r="Y79" s="392">
        <v>10423996</v>
      </c>
      <c r="Z79" s="392">
        <v>0</v>
      </c>
      <c r="AA79" s="392">
        <v>65641126</v>
      </c>
      <c r="AB79" s="392">
        <v>0</v>
      </c>
      <c r="AC79" s="392">
        <v>9978788</v>
      </c>
      <c r="AD79" s="392">
        <v>1568912</v>
      </c>
      <c r="AE79" s="392">
        <v>2295242</v>
      </c>
      <c r="AF79" s="392">
        <v>7890725</v>
      </c>
      <c r="AG79" s="392">
        <v>136866270</v>
      </c>
      <c r="AH79" s="392">
        <v>42167000</v>
      </c>
      <c r="AI79" s="392">
        <v>10889436</v>
      </c>
      <c r="AJ79" s="392">
        <v>0</v>
      </c>
      <c r="AK79" s="392">
        <v>189922707</v>
      </c>
      <c r="AL79" s="392">
        <v>36679455</v>
      </c>
      <c r="AM79" s="392">
        <v>76777644</v>
      </c>
      <c r="AN79" s="392">
        <v>4525018</v>
      </c>
      <c r="AO79" s="392">
        <v>4766185</v>
      </c>
      <c r="AP79" s="392">
        <v>1194187</v>
      </c>
      <c r="AQ79" s="392">
        <v>6163145</v>
      </c>
      <c r="AR79" s="392">
        <v>5397333</v>
      </c>
      <c r="AS79" s="392">
        <v>9726237</v>
      </c>
      <c r="AT79" s="392">
        <v>3921872</v>
      </c>
      <c r="AU79" s="392">
        <v>4696904</v>
      </c>
      <c r="AV79" s="392">
        <v>14441068</v>
      </c>
      <c r="AW79" s="392">
        <v>50880146</v>
      </c>
      <c r="AX79" s="392">
        <v>4040318</v>
      </c>
      <c r="AY79" s="786">
        <v>10717562</v>
      </c>
      <c r="AZ79" s="392">
        <v>29354543</v>
      </c>
      <c r="BA79" s="639">
        <f>SUM(SNAMEB[[#This Row],[Instruction Expenditures]:[Transfers Out/OtherFinancing]])+SUM(SNAMEB[[#This Row],[General Fund Balance]:[Other Enterprise FundBalance]])</f>
        <v>226602162</v>
      </c>
      <c r="BB79" s="639">
        <f>SUM(SNAMEB[[#This Row],[Property Tax Revenue]:[IDEA/Other Fed Revenue]])+SNAMEB[General Long-term DebtProceeds]+SNAMEB[TransfersIn/Other Financing]+SNAMEB[Fixed Asset Disposition]+SNAMEB[Beginning Fund Balance]</f>
        <v>226602161</v>
      </c>
    </row>
    <row r="80" spans="1:54" x14ac:dyDescent="0.2">
      <c r="A80" s="390">
        <v>13</v>
      </c>
      <c r="B80" s="391" t="s">
        <v>154</v>
      </c>
      <c r="C80" s="631">
        <v>1503</v>
      </c>
      <c r="D80" t="s">
        <v>1080</v>
      </c>
      <c r="E80" s="392">
        <v>-461483</v>
      </c>
      <c r="F80" s="392">
        <v>130143</v>
      </c>
      <c r="G80" s="392">
        <v>311759</v>
      </c>
      <c r="H80" s="392">
        <v>0</v>
      </c>
      <c r="I80" s="392">
        <v>0</v>
      </c>
      <c r="J80" s="392">
        <v>0</v>
      </c>
      <c r="K80" s="392">
        <v>2112562</v>
      </c>
      <c r="L80" s="392">
        <v>896166</v>
      </c>
      <c r="M80" s="392">
        <v>0</v>
      </c>
      <c r="N80" s="392">
        <v>62390</v>
      </c>
      <c r="O80" s="392">
        <v>243117</v>
      </c>
      <c r="P80" s="392">
        <v>0</v>
      </c>
      <c r="Q80" s="392">
        <v>3294653</v>
      </c>
      <c r="R80" s="392">
        <v>5899044</v>
      </c>
      <c r="S80" s="392">
        <v>343706</v>
      </c>
      <c r="T80" s="392">
        <v>145788</v>
      </c>
      <c r="U80" s="392">
        <v>864623</v>
      </c>
      <c r="V80" s="392">
        <v>6061</v>
      </c>
      <c r="W80" s="392">
        <v>274362</v>
      </c>
      <c r="X80" s="392">
        <v>341127</v>
      </c>
      <c r="Y80" s="392">
        <v>496028</v>
      </c>
      <c r="Z80" s="392">
        <v>0</v>
      </c>
      <c r="AA80" s="392">
        <v>9549516</v>
      </c>
      <c r="AB80" s="392">
        <v>0</v>
      </c>
      <c r="AC80" s="392">
        <v>1563730</v>
      </c>
      <c r="AD80" s="392">
        <v>216</v>
      </c>
      <c r="AE80" s="392">
        <v>309150</v>
      </c>
      <c r="AF80" s="392">
        <v>864185</v>
      </c>
      <c r="AG80" s="392">
        <v>20657535</v>
      </c>
      <c r="AH80" s="392">
        <v>0</v>
      </c>
      <c r="AI80" s="392">
        <v>271848</v>
      </c>
      <c r="AJ80" s="392">
        <v>49966</v>
      </c>
      <c r="AK80" s="392">
        <v>20979349</v>
      </c>
      <c r="AL80" s="392">
        <v>3312763</v>
      </c>
      <c r="AM80" s="392">
        <v>12245666</v>
      </c>
      <c r="AN80" s="392">
        <v>486333</v>
      </c>
      <c r="AO80" s="392">
        <v>951962</v>
      </c>
      <c r="AP80" s="392">
        <v>520034</v>
      </c>
      <c r="AQ80" s="392">
        <v>1060619</v>
      </c>
      <c r="AR80" s="392">
        <v>282975</v>
      </c>
      <c r="AS80" s="392">
        <v>1492366</v>
      </c>
      <c r="AT80" s="392">
        <v>777173</v>
      </c>
      <c r="AU80" s="392">
        <v>804736</v>
      </c>
      <c r="AV80" s="392">
        <v>470904</v>
      </c>
      <c r="AW80" s="392">
        <v>1003193</v>
      </c>
      <c r="AX80" s="392">
        <v>632283</v>
      </c>
      <c r="AY80" s="786">
        <v>269216</v>
      </c>
      <c r="AZ80" s="392">
        <v>3294653</v>
      </c>
      <c r="BA80" s="639">
        <f>SUM(SNAMEB[[#This Row],[Instruction Expenditures]:[Transfers Out/OtherFinancing]])+SUM(SNAMEB[[#This Row],[General Fund Balance]:[Other Enterprise FundBalance]])</f>
        <v>24292114</v>
      </c>
      <c r="BB80" s="639">
        <f>SUM(SNAMEB[[#This Row],[Property Tax Revenue]:[IDEA/Other Fed Revenue]])+SNAMEB[General Long-term DebtProceeds]+SNAMEB[TransfersIn/Other Financing]+SNAMEB[Fixed Asset Disposition]+SNAMEB[Beginning Fund Balance]</f>
        <v>24292113</v>
      </c>
    </row>
    <row r="81" spans="1:54" x14ac:dyDescent="0.2">
      <c r="A81" s="390">
        <v>11</v>
      </c>
      <c r="B81" s="391" t="s">
        <v>155</v>
      </c>
      <c r="C81" s="631">
        <v>1576</v>
      </c>
      <c r="D81" t="s">
        <v>1081</v>
      </c>
      <c r="E81" s="392">
        <v>3601697</v>
      </c>
      <c r="F81" s="392">
        <v>214575</v>
      </c>
      <c r="G81" s="392">
        <v>191429</v>
      </c>
      <c r="H81" s="392">
        <v>0</v>
      </c>
      <c r="I81" s="392">
        <v>0</v>
      </c>
      <c r="J81" s="392">
        <v>0</v>
      </c>
      <c r="K81" s="392">
        <v>3291280</v>
      </c>
      <c r="L81" s="392">
        <v>1365153</v>
      </c>
      <c r="M81" s="392">
        <v>12772565</v>
      </c>
      <c r="N81" s="392">
        <v>7396929</v>
      </c>
      <c r="O81" s="392">
        <v>503012</v>
      </c>
      <c r="P81" s="392">
        <v>63970</v>
      </c>
      <c r="Q81" s="392">
        <v>29400611</v>
      </c>
      <c r="R81" s="392">
        <v>12670497</v>
      </c>
      <c r="S81" s="392">
        <v>399274</v>
      </c>
      <c r="T81" s="392">
        <v>0</v>
      </c>
      <c r="U81" s="392">
        <v>2620213</v>
      </c>
      <c r="V81" s="392">
        <v>178161</v>
      </c>
      <c r="W81" s="392">
        <v>1010222</v>
      </c>
      <c r="X81" s="392">
        <v>746014</v>
      </c>
      <c r="Y81" s="392">
        <v>1285710</v>
      </c>
      <c r="Z81" s="392">
        <v>0</v>
      </c>
      <c r="AA81" s="392">
        <v>13307672</v>
      </c>
      <c r="AB81" s="392">
        <v>0</v>
      </c>
      <c r="AC81" s="392">
        <v>3344927</v>
      </c>
      <c r="AD81" s="392">
        <v>47057</v>
      </c>
      <c r="AE81" s="392">
        <v>116822</v>
      </c>
      <c r="AF81" s="392">
        <v>929063</v>
      </c>
      <c r="AG81" s="392">
        <v>36655633</v>
      </c>
      <c r="AH81" s="392">
        <v>14298843</v>
      </c>
      <c r="AI81" s="392">
        <v>566124</v>
      </c>
      <c r="AJ81" s="392">
        <v>0</v>
      </c>
      <c r="AK81" s="392">
        <v>51520599</v>
      </c>
      <c r="AL81" s="392">
        <v>14987960</v>
      </c>
      <c r="AM81" s="392">
        <v>17702146</v>
      </c>
      <c r="AN81" s="392">
        <v>762618</v>
      </c>
      <c r="AO81" s="392">
        <v>1783497</v>
      </c>
      <c r="AP81" s="392">
        <v>700756</v>
      </c>
      <c r="AQ81" s="392">
        <v>1457508</v>
      </c>
      <c r="AR81" s="392">
        <v>474093</v>
      </c>
      <c r="AS81" s="392">
        <v>2965043</v>
      </c>
      <c r="AT81" s="392">
        <v>1260698</v>
      </c>
      <c r="AU81" s="392">
        <v>1483240</v>
      </c>
      <c r="AV81" s="392">
        <v>3385286</v>
      </c>
      <c r="AW81" s="392">
        <v>3419447</v>
      </c>
      <c r="AX81" s="392">
        <v>960969</v>
      </c>
      <c r="AY81" s="786">
        <v>752648</v>
      </c>
      <c r="AZ81" s="392">
        <v>29400611</v>
      </c>
      <c r="BA81" s="639">
        <f>SUM(SNAMEB[[#This Row],[Instruction Expenditures]:[Transfers Out/OtherFinancing]])+SUM(SNAMEB[[#This Row],[General Fund Balance]:[Other Enterprise FundBalance]])</f>
        <v>66508559</v>
      </c>
      <c r="BB81" s="639">
        <f>SUM(SNAMEB[[#This Row],[Property Tax Revenue]:[IDEA/Other Fed Revenue]])+SNAMEB[General Long-term DebtProceeds]+SNAMEB[TransfersIn/Other Financing]+SNAMEB[Fixed Asset Disposition]+SNAMEB[Beginning Fund Balance]</f>
        <v>66508559</v>
      </c>
    </row>
    <row r="82" spans="1:54" x14ac:dyDescent="0.2">
      <c r="A82" s="390">
        <v>15</v>
      </c>
      <c r="B82" s="391" t="s">
        <v>156</v>
      </c>
      <c r="C82" s="631">
        <v>1602</v>
      </c>
      <c r="D82" t="s">
        <v>1082</v>
      </c>
      <c r="E82" s="392">
        <v>1226078</v>
      </c>
      <c r="F82" s="392">
        <v>148438</v>
      </c>
      <c r="G82" s="392">
        <v>165540</v>
      </c>
      <c r="H82" s="392">
        <v>0</v>
      </c>
      <c r="I82" s="392">
        <v>0</v>
      </c>
      <c r="J82" s="392">
        <v>0</v>
      </c>
      <c r="K82" s="392">
        <v>93741</v>
      </c>
      <c r="L82" s="392">
        <v>71159</v>
      </c>
      <c r="M82" s="392">
        <v>0</v>
      </c>
      <c r="N82" s="392">
        <v>3445</v>
      </c>
      <c r="O82" s="392">
        <v>100260</v>
      </c>
      <c r="P82" s="392">
        <v>-11302</v>
      </c>
      <c r="Q82" s="392">
        <v>1797358</v>
      </c>
      <c r="R82" s="392">
        <v>1990370</v>
      </c>
      <c r="S82" s="392">
        <v>127633</v>
      </c>
      <c r="T82" s="392">
        <v>191702</v>
      </c>
      <c r="U82" s="392">
        <v>1135509</v>
      </c>
      <c r="V82" s="392">
        <v>5547</v>
      </c>
      <c r="W82" s="392">
        <v>241355</v>
      </c>
      <c r="X82" s="392">
        <v>225858</v>
      </c>
      <c r="Y82" s="392">
        <v>374962</v>
      </c>
      <c r="Z82" s="392">
        <v>0</v>
      </c>
      <c r="AA82" s="392">
        <v>2931803</v>
      </c>
      <c r="AB82" s="392">
        <v>0</v>
      </c>
      <c r="AC82" s="392">
        <v>526932</v>
      </c>
      <c r="AD82" s="392">
        <v>12605</v>
      </c>
      <c r="AE82" s="392">
        <v>54249</v>
      </c>
      <c r="AF82" s="392">
        <v>248014</v>
      </c>
      <c r="AG82" s="392">
        <v>8066539</v>
      </c>
      <c r="AH82" s="392">
        <v>0</v>
      </c>
      <c r="AI82" s="392">
        <v>187060</v>
      </c>
      <c r="AJ82" s="392">
        <v>2678</v>
      </c>
      <c r="AK82" s="392">
        <v>8256277</v>
      </c>
      <c r="AL82" s="392">
        <v>1759198</v>
      </c>
      <c r="AM82" s="392">
        <v>4823664</v>
      </c>
      <c r="AN82" s="392">
        <v>136665</v>
      </c>
      <c r="AO82" s="392">
        <v>76760</v>
      </c>
      <c r="AP82" s="392">
        <v>254820</v>
      </c>
      <c r="AQ82" s="392">
        <v>373304</v>
      </c>
      <c r="AR82" s="392">
        <v>78900</v>
      </c>
      <c r="AS82" s="392">
        <v>536332</v>
      </c>
      <c r="AT82" s="392">
        <v>315596</v>
      </c>
      <c r="AU82" s="392">
        <v>659015</v>
      </c>
      <c r="AV82" s="392">
        <v>192236</v>
      </c>
      <c r="AW82" s="392">
        <v>383533</v>
      </c>
      <c r="AX82" s="392">
        <v>200320</v>
      </c>
      <c r="AY82" s="786">
        <v>186973</v>
      </c>
      <c r="AZ82" s="392">
        <v>1797358</v>
      </c>
      <c r="BA82" s="639">
        <f>SUM(SNAMEB[[#This Row],[Instruction Expenditures]:[Transfers Out/OtherFinancing]])+SUM(SNAMEB[[#This Row],[General Fund Balance]:[Other Enterprise FundBalance]])</f>
        <v>10015477</v>
      </c>
      <c r="BB82" s="639">
        <f>SUM(SNAMEB[[#This Row],[Property Tax Revenue]:[IDEA/Other Fed Revenue]])+SNAMEB[General Long-term DebtProceeds]+SNAMEB[TransfersIn/Other Financing]+SNAMEB[Fixed Asset Disposition]+SNAMEB[Beginning Fund Balance]</f>
        <v>10015475</v>
      </c>
    </row>
    <row r="83" spans="1:54" x14ac:dyDescent="0.2">
      <c r="A83" s="390">
        <v>9</v>
      </c>
      <c r="B83" s="391" t="s">
        <v>157</v>
      </c>
      <c r="C83" s="631">
        <v>1611</v>
      </c>
      <c r="D83" t="s">
        <v>1083</v>
      </c>
      <c r="E83" s="392">
        <v>20932475</v>
      </c>
      <c r="F83" s="392">
        <v>522320</v>
      </c>
      <c r="G83" s="392">
        <v>7074083</v>
      </c>
      <c r="H83" s="392">
        <v>0</v>
      </c>
      <c r="I83" s="392">
        <v>0</v>
      </c>
      <c r="J83" s="392">
        <v>0</v>
      </c>
      <c r="K83" s="392">
        <v>2688423</v>
      </c>
      <c r="L83" s="392">
        <v>5983255</v>
      </c>
      <c r="M83" s="392">
        <v>4748798</v>
      </c>
      <c r="N83" s="392">
        <v>1933865</v>
      </c>
      <c r="O83" s="392">
        <v>1061196</v>
      </c>
      <c r="P83" s="392">
        <v>-43294</v>
      </c>
      <c r="Q83" s="392">
        <v>44901120</v>
      </c>
      <c r="R83" s="392">
        <v>62169118</v>
      </c>
      <c r="S83" s="392">
        <v>3545882</v>
      </c>
      <c r="T83" s="392">
        <v>0</v>
      </c>
      <c r="U83" s="392">
        <v>2083904</v>
      </c>
      <c r="V83" s="392">
        <v>87070</v>
      </c>
      <c r="W83" s="392">
        <v>1670841</v>
      </c>
      <c r="X83" s="392">
        <v>1339259</v>
      </c>
      <c r="Y83" s="392">
        <v>4419463</v>
      </c>
      <c r="Z83" s="392">
        <v>0</v>
      </c>
      <c r="AA83" s="392">
        <v>104230229</v>
      </c>
      <c r="AB83" s="392">
        <v>0</v>
      </c>
      <c r="AC83" s="392">
        <v>16813851</v>
      </c>
      <c r="AD83" s="392">
        <v>1244985</v>
      </c>
      <c r="AE83" s="392">
        <v>5491273</v>
      </c>
      <c r="AF83" s="392">
        <v>14704352</v>
      </c>
      <c r="AG83" s="392">
        <v>217800226</v>
      </c>
      <c r="AH83" s="392">
        <v>0</v>
      </c>
      <c r="AI83" s="392">
        <v>22835830</v>
      </c>
      <c r="AJ83" s="392">
        <v>0</v>
      </c>
      <c r="AK83" s="392">
        <v>240636057</v>
      </c>
      <c r="AL83" s="392">
        <v>65799149</v>
      </c>
      <c r="AM83" s="392">
        <v>123986228</v>
      </c>
      <c r="AN83" s="392">
        <v>15778545</v>
      </c>
      <c r="AO83" s="392">
        <v>5886915</v>
      </c>
      <c r="AP83" s="392">
        <v>6232163</v>
      </c>
      <c r="AQ83" s="392">
        <v>11758998</v>
      </c>
      <c r="AR83" s="392">
        <v>6472501</v>
      </c>
      <c r="AS83" s="392">
        <v>13350034</v>
      </c>
      <c r="AT83" s="392">
        <v>6383459</v>
      </c>
      <c r="AU83" s="392">
        <v>9182143</v>
      </c>
      <c r="AV83" s="392">
        <v>26783703</v>
      </c>
      <c r="AW83" s="392">
        <v>2420314</v>
      </c>
      <c r="AX83" s="392">
        <v>6885657</v>
      </c>
      <c r="AY83" s="786">
        <v>26413426</v>
      </c>
      <c r="AZ83" s="392">
        <v>44901120</v>
      </c>
      <c r="BA83" s="639">
        <f>SUM(SNAMEB[[#This Row],[Instruction Expenditures]:[Transfers Out/OtherFinancing]])+SUM(SNAMEB[[#This Row],[General Fund Balance]:[Other Enterprise FundBalance]])</f>
        <v>306435207</v>
      </c>
      <c r="BB83" s="639">
        <f>SUM(SNAMEB[[#This Row],[Property Tax Revenue]:[IDEA/Other Fed Revenue]])+SNAMEB[General Long-term DebtProceeds]+SNAMEB[TransfersIn/Other Financing]+SNAMEB[Fixed Asset Disposition]+SNAMEB[Beginning Fund Balance]</f>
        <v>306435206</v>
      </c>
    </row>
    <row r="84" spans="1:54" x14ac:dyDescent="0.2">
      <c r="A84" s="390">
        <v>15</v>
      </c>
      <c r="B84" s="391" t="s">
        <v>158</v>
      </c>
      <c r="C84" s="631">
        <v>1619</v>
      </c>
      <c r="D84" t="s">
        <v>1084</v>
      </c>
      <c r="E84" s="392">
        <v>2750837</v>
      </c>
      <c r="F84" s="392">
        <v>145187</v>
      </c>
      <c r="G84" s="392">
        <v>420039</v>
      </c>
      <c r="H84" s="392">
        <v>0</v>
      </c>
      <c r="I84" s="392">
        <v>0</v>
      </c>
      <c r="J84" s="392">
        <v>0</v>
      </c>
      <c r="K84" s="392">
        <v>587249</v>
      </c>
      <c r="L84" s="392">
        <v>68100</v>
      </c>
      <c r="M84" s="392">
        <v>0</v>
      </c>
      <c r="N84" s="392">
        <v>1386014</v>
      </c>
      <c r="O84" s="392">
        <v>281129</v>
      </c>
      <c r="P84" s="392">
        <v>0</v>
      </c>
      <c r="Q84" s="392">
        <v>5638554</v>
      </c>
      <c r="R84" s="392">
        <v>4816388</v>
      </c>
      <c r="S84" s="392">
        <v>47857</v>
      </c>
      <c r="T84" s="392">
        <v>0</v>
      </c>
      <c r="U84" s="392">
        <v>904245</v>
      </c>
      <c r="V84" s="392">
        <v>31129</v>
      </c>
      <c r="W84" s="392">
        <v>278776</v>
      </c>
      <c r="X84" s="392">
        <v>151269</v>
      </c>
      <c r="Y84" s="392">
        <v>256562</v>
      </c>
      <c r="Z84" s="392">
        <v>0</v>
      </c>
      <c r="AA84" s="392">
        <v>6933452</v>
      </c>
      <c r="AB84" s="392">
        <v>0</v>
      </c>
      <c r="AC84" s="392">
        <v>1558512</v>
      </c>
      <c r="AD84" s="392">
        <v>31320</v>
      </c>
      <c r="AE84" s="392">
        <v>403503</v>
      </c>
      <c r="AF84" s="392">
        <v>752864</v>
      </c>
      <c r="AG84" s="392">
        <v>16165877</v>
      </c>
      <c r="AH84" s="392">
        <v>0</v>
      </c>
      <c r="AI84" s="392">
        <v>1038943</v>
      </c>
      <c r="AJ84" s="392">
        <v>8369</v>
      </c>
      <c r="AK84" s="392">
        <v>17213189</v>
      </c>
      <c r="AL84" s="392">
        <v>5154735</v>
      </c>
      <c r="AM84" s="392">
        <v>8881289</v>
      </c>
      <c r="AN84" s="392">
        <v>246849</v>
      </c>
      <c r="AO84" s="392">
        <v>641005</v>
      </c>
      <c r="AP84" s="392">
        <v>464560</v>
      </c>
      <c r="AQ84" s="392">
        <v>722198</v>
      </c>
      <c r="AR84" s="392">
        <v>507566</v>
      </c>
      <c r="AS84" s="392">
        <v>1072960</v>
      </c>
      <c r="AT84" s="392">
        <v>1054650</v>
      </c>
      <c r="AU84" s="392">
        <v>678758</v>
      </c>
      <c r="AV84" s="392">
        <v>176843</v>
      </c>
      <c r="AW84" s="392">
        <v>777739</v>
      </c>
      <c r="AX84" s="392">
        <v>467209</v>
      </c>
      <c r="AY84" s="786">
        <v>1037746</v>
      </c>
      <c r="AZ84" s="392">
        <v>5638554</v>
      </c>
      <c r="BA84" s="639">
        <f>SUM(SNAMEB[[#This Row],[Instruction Expenditures]:[Transfers Out/OtherFinancing]])+SUM(SNAMEB[[#This Row],[General Fund Balance]:[Other Enterprise FundBalance]])</f>
        <v>22367927</v>
      </c>
      <c r="BB84" s="639">
        <f>SUM(SNAMEB[[#This Row],[Property Tax Revenue]:[IDEA/Other Fed Revenue]])+SNAMEB[General Long-term DebtProceeds]+SNAMEB[TransfersIn/Other Financing]+SNAMEB[Fixed Asset Disposition]+SNAMEB[Beginning Fund Balance]</f>
        <v>22367924</v>
      </c>
    </row>
    <row r="85" spans="1:54" x14ac:dyDescent="0.2">
      <c r="A85" s="390">
        <v>1</v>
      </c>
      <c r="B85" s="391" t="s">
        <v>159</v>
      </c>
      <c r="C85" s="631">
        <v>1638</v>
      </c>
      <c r="D85" t="s">
        <v>1085</v>
      </c>
      <c r="E85" s="392">
        <v>2329923</v>
      </c>
      <c r="F85" s="392">
        <v>201267</v>
      </c>
      <c r="G85" s="392">
        <v>674776</v>
      </c>
      <c r="H85" s="392">
        <v>0</v>
      </c>
      <c r="I85" s="392">
        <v>0</v>
      </c>
      <c r="J85" s="392">
        <v>0</v>
      </c>
      <c r="K85" s="392">
        <v>883125</v>
      </c>
      <c r="L85" s="392">
        <v>756818</v>
      </c>
      <c r="M85" s="392">
        <v>153</v>
      </c>
      <c r="N85" s="392">
        <v>118292</v>
      </c>
      <c r="O85" s="392">
        <v>328035</v>
      </c>
      <c r="P85" s="392">
        <v>61028</v>
      </c>
      <c r="Q85" s="392">
        <v>5353418</v>
      </c>
      <c r="R85" s="392">
        <v>8141123</v>
      </c>
      <c r="S85" s="392">
        <v>119628</v>
      </c>
      <c r="T85" s="392">
        <v>538017</v>
      </c>
      <c r="U85" s="392">
        <v>3129497</v>
      </c>
      <c r="V85" s="392">
        <v>6769</v>
      </c>
      <c r="W85" s="392">
        <v>674561</v>
      </c>
      <c r="X85" s="392">
        <v>862974</v>
      </c>
      <c r="Y85" s="392">
        <v>976587</v>
      </c>
      <c r="Z85" s="392">
        <v>0</v>
      </c>
      <c r="AA85" s="392">
        <v>7359915</v>
      </c>
      <c r="AB85" s="392">
        <v>0</v>
      </c>
      <c r="AC85" s="392">
        <v>1878314</v>
      </c>
      <c r="AD85" s="392">
        <v>224032</v>
      </c>
      <c r="AE85" s="392">
        <v>138066</v>
      </c>
      <c r="AF85" s="392">
        <v>588322</v>
      </c>
      <c r="AG85" s="392">
        <v>24637804</v>
      </c>
      <c r="AH85" s="392">
        <v>94578</v>
      </c>
      <c r="AI85" s="392">
        <v>1931075</v>
      </c>
      <c r="AJ85" s="392">
        <v>24960</v>
      </c>
      <c r="AK85" s="392">
        <v>26688417</v>
      </c>
      <c r="AL85" s="392">
        <v>5227244</v>
      </c>
      <c r="AM85" s="392">
        <v>13433292</v>
      </c>
      <c r="AN85" s="392">
        <v>715620</v>
      </c>
      <c r="AO85" s="392">
        <v>1161005</v>
      </c>
      <c r="AP85" s="392">
        <v>442719</v>
      </c>
      <c r="AQ85" s="392">
        <v>989968</v>
      </c>
      <c r="AR85" s="392">
        <v>214860</v>
      </c>
      <c r="AS85" s="392">
        <v>1824302</v>
      </c>
      <c r="AT85" s="392">
        <v>828459</v>
      </c>
      <c r="AU85" s="392">
        <v>1113653</v>
      </c>
      <c r="AV85" s="392">
        <v>230953</v>
      </c>
      <c r="AW85" s="392">
        <v>3081761</v>
      </c>
      <c r="AX85" s="392">
        <v>594576</v>
      </c>
      <c r="AY85" s="786">
        <v>1931075</v>
      </c>
      <c r="AZ85" s="392">
        <v>5353418</v>
      </c>
      <c r="BA85" s="639">
        <f>SUM(SNAMEB[[#This Row],[Instruction Expenditures]:[Transfers Out/OtherFinancing]])+SUM(SNAMEB[[#This Row],[General Fund Balance]:[Other Enterprise FundBalance]])</f>
        <v>31915660</v>
      </c>
      <c r="BB85" s="639">
        <f>SUM(SNAMEB[[#This Row],[Property Tax Revenue]:[IDEA/Other Fed Revenue]])+SNAMEB[General Long-term DebtProceeds]+SNAMEB[TransfersIn/Other Financing]+SNAMEB[Fixed Asset Disposition]+SNAMEB[Beginning Fund Balance]</f>
        <v>31915662</v>
      </c>
    </row>
    <row r="86" spans="1:54" x14ac:dyDescent="0.2">
      <c r="A86" s="390">
        <v>9</v>
      </c>
      <c r="B86" s="391" t="s">
        <v>160</v>
      </c>
      <c r="C86" s="631">
        <v>1675</v>
      </c>
      <c r="D86" t="s">
        <v>1086</v>
      </c>
      <c r="E86" s="392">
        <v>1226156</v>
      </c>
      <c r="F86" s="392">
        <v>8844</v>
      </c>
      <c r="G86" s="392">
        <v>164161</v>
      </c>
      <c r="H86" s="392">
        <v>0</v>
      </c>
      <c r="I86" s="392">
        <v>0</v>
      </c>
      <c r="J86" s="392">
        <v>0</v>
      </c>
      <c r="K86" s="392">
        <v>747066</v>
      </c>
      <c r="L86" s="392">
        <v>153681</v>
      </c>
      <c r="M86" s="392">
        <v>0</v>
      </c>
      <c r="N86" s="392">
        <v>0</v>
      </c>
      <c r="O86" s="392">
        <v>8183</v>
      </c>
      <c r="P86" s="392">
        <v>0</v>
      </c>
      <c r="Q86" s="392">
        <v>2308091</v>
      </c>
      <c r="R86" s="392">
        <v>915313</v>
      </c>
      <c r="S86" s="392">
        <v>25494</v>
      </c>
      <c r="T86" s="392">
        <v>101854</v>
      </c>
      <c r="U86" s="392">
        <v>342937</v>
      </c>
      <c r="V86" s="392">
        <v>9908</v>
      </c>
      <c r="W86" s="392">
        <v>34208</v>
      </c>
      <c r="X86" s="392">
        <v>18669</v>
      </c>
      <c r="Y86" s="392">
        <v>10953</v>
      </c>
      <c r="Z86" s="392">
        <v>750</v>
      </c>
      <c r="AA86" s="392">
        <v>1145178</v>
      </c>
      <c r="AB86" s="392">
        <v>0</v>
      </c>
      <c r="AC86" s="392">
        <v>202976</v>
      </c>
      <c r="AD86" s="392">
        <v>3244</v>
      </c>
      <c r="AE86" s="392">
        <v>32636</v>
      </c>
      <c r="AF86" s="392">
        <v>80532</v>
      </c>
      <c r="AG86" s="392">
        <v>2924651</v>
      </c>
      <c r="AH86" s="392">
        <v>0</v>
      </c>
      <c r="AI86" s="392">
        <v>0</v>
      </c>
      <c r="AJ86" s="392">
        <v>0</v>
      </c>
      <c r="AK86" s="392">
        <v>2924651</v>
      </c>
      <c r="AL86" s="392">
        <v>2157362</v>
      </c>
      <c r="AM86" s="392">
        <v>1673408</v>
      </c>
      <c r="AN86" s="392">
        <v>26353</v>
      </c>
      <c r="AO86" s="392">
        <v>130802</v>
      </c>
      <c r="AP86" s="392">
        <v>123177</v>
      </c>
      <c r="AQ86" s="392">
        <v>77455</v>
      </c>
      <c r="AR86" s="392">
        <v>71074</v>
      </c>
      <c r="AS86" s="392">
        <v>151994</v>
      </c>
      <c r="AT86" s="392">
        <v>226841</v>
      </c>
      <c r="AU86" s="392">
        <v>126257</v>
      </c>
      <c r="AV86" s="392">
        <v>19126</v>
      </c>
      <c r="AW86" s="392">
        <v>0</v>
      </c>
      <c r="AX86" s="392">
        <v>89857</v>
      </c>
      <c r="AY86" s="786">
        <v>57579</v>
      </c>
      <c r="AZ86" s="392">
        <v>2308091</v>
      </c>
      <c r="BA86" s="639">
        <f>SUM(SNAMEB[[#This Row],[Instruction Expenditures]:[Transfers Out/OtherFinancing]])+SUM(SNAMEB[[#This Row],[General Fund Balance]:[Other Enterprise FundBalance]])</f>
        <v>5082014</v>
      </c>
      <c r="BB86" s="639">
        <f>SUM(SNAMEB[[#This Row],[Property Tax Revenue]:[IDEA/Other Fed Revenue]])+SNAMEB[General Long-term DebtProceeds]+SNAMEB[TransfersIn/Other Financing]+SNAMEB[Fixed Asset Disposition]+SNAMEB[Beginning Fund Balance]</f>
        <v>5082014</v>
      </c>
    </row>
    <row r="87" spans="1:54" x14ac:dyDescent="0.2">
      <c r="A87" s="390">
        <v>12</v>
      </c>
      <c r="B87" s="391" t="s">
        <v>161</v>
      </c>
      <c r="C87" s="631">
        <v>1701</v>
      </c>
      <c r="D87" t="s">
        <v>1087</v>
      </c>
      <c r="E87" s="392">
        <v>3215719</v>
      </c>
      <c r="F87" s="392">
        <v>133267</v>
      </c>
      <c r="G87" s="392">
        <v>428900</v>
      </c>
      <c r="H87" s="392">
        <v>0</v>
      </c>
      <c r="I87" s="392">
        <v>0</v>
      </c>
      <c r="J87" s="392">
        <v>0</v>
      </c>
      <c r="K87" s="392">
        <v>1177966</v>
      </c>
      <c r="L87" s="392">
        <v>219345</v>
      </c>
      <c r="M87" s="392">
        <v>0</v>
      </c>
      <c r="N87" s="392">
        <v>1126967</v>
      </c>
      <c r="O87" s="392">
        <v>615660</v>
      </c>
      <c r="P87" s="392">
        <v>0</v>
      </c>
      <c r="Q87" s="392">
        <v>6917824</v>
      </c>
      <c r="R87" s="392">
        <v>5379629</v>
      </c>
      <c r="S87" s="392">
        <v>58676</v>
      </c>
      <c r="T87" s="392">
        <v>581860</v>
      </c>
      <c r="U87" s="392">
        <v>1025588</v>
      </c>
      <c r="V87" s="392">
        <v>28458</v>
      </c>
      <c r="W87" s="392">
        <v>327574</v>
      </c>
      <c r="X87" s="392">
        <v>530492</v>
      </c>
      <c r="Y87" s="392">
        <v>154486</v>
      </c>
      <c r="Z87" s="392">
        <v>16421</v>
      </c>
      <c r="AA87" s="392">
        <v>14192227</v>
      </c>
      <c r="AB87" s="392">
        <v>0</v>
      </c>
      <c r="AC87" s="392">
        <v>2097996</v>
      </c>
      <c r="AD87" s="392">
        <v>201245</v>
      </c>
      <c r="AE87" s="392">
        <v>817371</v>
      </c>
      <c r="AF87" s="392">
        <v>1517960</v>
      </c>
      <c r="AG87" s="392">
        <v>26929982</v>
      </c>
      <c r="AH87" s="392">
        <v>0</v>
      </c>
      <c r="AI87" s="392">
        <v>357739</v>
      </c>
      <c r="AJ87" s="392">
        <v>8529</v>
      </c>
      <c r="AK87" s="392">
        <v>27296250</v>
      </c>
      <c r="AL87" s="392">
        <v>11056578</v>
      </c>
      <c r="AM87" s="392">
        <v>15862904</v>
      </c>
      <c r="AN87" s="392">
        <v>726435</v>
      </c>
      <c r="AO87" s="392">
        <v>1261498</v>
      </c>
      <c r="AP87" s="392">
        <v>339850</v>
      </c>
      <c r="AQ87" s="392">
        <v>1169065</v>
      </c>
      <c r="AR87" s="392">
        <v>380350</v>
      </c>
      <c r="AS87" s="392">
        <v>2116730</v>
      </c>
      <c r="AT87" s="392">
        <v>1129741</v>
      </c>
      <c r="AU87" s="392">
        <v>1501379</v>
      </c>
      <c r="AV87" s="392">
        <v>1850042</v>
      </c>
      <c r="AW87" s="392">
        <v>3801765</v>
      </c>
      <c r="AX87" s="392">
        <v>895832</v>
      </c>
      <c r="AY87" s="786">
        <v>399414</v>
      </c>
      <c r="AZ87" s="392">
        <v>6917824</v>
      </c>
      <c r="BA87" s="639">
        <f>SUM(SNAMEB[[#This Row],[Instruction Expenditures]:[Transfers Out/OtherFinancing]])+SUM(SNAMEB[[#This Row],[General Fund Balance]:[Other Enterprise FundBalance]])</f>
        <v>38352829</v>
      </c>
      <c r="BB87" s="639">
        <f>SUM(SNAMEB[[#This Row],[Property Tax Revenue]:[IDEA/Other Fed Revenue]])+SNAMEB[General Long-term DebtProceeds]+SNAMEB[TransfersIn/Other Financing]+SNAMEB[Fixed Asset Disposition]+SNAMEB[Beginning Fund Balance]</f>
        <v>38352829</v>
      </c>
    </row>
    <row r="88" spans="1:54" x14ac:dyDescent="0.2">
      <c r="A88" s="390">
        <v>7</v>
      </c>
      <c r="B88" s="391" t="s">
        <v>162</v>
      </c>
      <c r="C88" s="631">
        <v>1719</v>
      </c>
      <c r="D88" t="s">
        <v>1088</v>
      </c>
      <c r="E88" s="392">
        <v>1550443</v>
      </c>
      <c r="F88" s="392">
        <v>157565</v>
      </c>
      <c r="G88" s="392">
        <v>220872</v>
      </c>
      <c r="H88" s="392">
        <v>0</v>
      </c>
      <c r="I88" s="392">
        <v>0</v>
      </c>
      <c r="J88" s="392">
        <v>0</v>
      </c>
      <c r="K88" s="392">
        <v>2002549</v>
      </c>
      <c r="L88" s="392">
        <v>502008</v>
      </c>
      <c r="M88" s="392">
        <v>6774317</v>
      </c>
      <c r="N88" s="392">
        <v>721723</v>
      </c>
      <c r="O88" s="392">
        <v>61568</v>
      </c>
      <c r="P88" s="392">
        <v>0</v>
      </c>
      <c r="Q88" s="392">
        <v>11991044</v>
      </c>
      <c r="R88" s="392">
        <v>2700569</v>
      </c>
      <c r="S88" s="392">
        <v>66928</v>
      </c>
      <c r="T88" s="392">
        <v>204565</v>
      </c>
      <c r="U88" s="392">
        <v>478854</v>
      </c>
      <c r="V88" s="392">
        <v>47073</v>
      </c>
      <c r="W88" s="392">
        <v>226466</v>
      </c>
      <c r="X88" s="392">
        <v>245307</v>
      </c>
      <c r="Y88" s="392">
        <v>124058</v>
      </c>
      <c r="Z88" s="392">
        <v>0</v>
      </c>
      <c r="AA88" s="392">
        <v>4001198</v>
      </c>
      <c r="AB88" s="392">
        <v>0</v>
      </c>
      <c r="AC88" s="392">
        <v>699949</v>
      </c>
      <c r="AD88" s="392">
        <v>14986</v>
      </c>
      <c r="AE88" s="392">
        <v>47690</v>
      </c>
      <c r="AF88" s="392">
        <v>259494</v>
      </c>
      <c r="AG88" s="392">
        <v>9117136</v>
      </c>
      <c r="AH88" s="392">
        <v>7465034</v>
      </c>
      <c r="AI88" s="392">
        <v>309290</v>
      </c>
      <c r="AJ88" s="392">
        <v>34</v>
      </c>
      <c r="AK88" s="392">
        <v>16891494</v>
      </c>
      <c r="AL88" s="392">
        <v>4522937</v>
      </c>
      <c r="AM88" s="392">
        <v>5009179</v>
      </c>
      <c r="AN88" s="392">
        <v>113143</v>
      </c>
      <c r="AO88" s="392">
        <v>402612</v>
      </c>
      <c r="AP88" s="392">
        <v>314832</v>
      </c>
      <c r="AQ88" s="392">
        <v>402637</v>
      </c>
      <c r="AR88" s="392">
        <v>137003</v>
      </c>
      <c r="AS88" s="392">
        <v>574786</v>
      </c>
      <c r="AT88" s="392">
        <v>166241</v>
      </c>
      <c r="AU88" s="392">
        <v>353690</v>
      </c>
      <c r="AV88" s="392">
        <v>726123</v>
      </c>
      <c r="AW88" s="392">
        <v>613838</v>
      </c>
      <c r="AX88" s="392">
        <v>296845</v>
      </c>
      <c r="AY88" s="786">
        <v>312457</v>
      </c>
      <c r="AZ88" s="392">
        <v>11991044</v>
      </c>
      <c r="BA88" s="639">
        <f>SUM(SNAMEB[[#This Row],[Instruction Expenditures]:[Transfers Out/OtherFinancing]])+SUM(SNAMEB[[#This Row],[General Fund Balance]:[Other Enterprise FundBalance]])</f>
        <v>21414431</v>
      </c>
      <c r="BB88" s="639">
        <f>SUM(SNAMEB[[#This Row],[Property Tax Revenue]:[IDEA/Other Fed Revenue]])+SNAMEB[General Long-term DebtProceeds]+SNAMEB[TransfersIn/Other Financing]+SNAMEB[Fixed Asset Disposition]+SNAMEB[Beginning Fund Balance]</f>
        <v>21414432</v>
      </c>
    </row>
    <row r="89" spans="1:54" x14ac:dyDescent="0.2">
      <c r="A89" s="390">
        <v>11</v>
      </c>
      <c r="B89" s="391" t="s">
        <v>163</v>
      </c>
      <c r="C89" s="631">
        <v>1737</v>
      </c>
      <c r="D89" t="s">
        <v>1089</v>
      </c>
      <c r="E89" s="392">
        <v>81725696</v>
      </c>
      <c r="F89" s="392">
        <v>1660251</v>
      </c>
      <c r="G89" s="392">
        <v>4785177</v>
      </c>
      <c r="H89" s="392">
        <v>261043</v>
      </c>
      <c r="I89" s="392">
        <v>3456826</v>
      </c>
      <c r="J89" s="392">
        <v>0</v>
      </c>
      <c r="K89" s="392">
        <v>76293730</v>
      </c>
      <c r="L89" s="392">
        <v>6858738</v>
      </c>
      <c r="M89" s="392">
        <v>0</v>
      </c>
      <c r="N89" s="392">
        <v>0</v>
      </c>
      <c r="O89" s="392">
        <v>1352210</v>
      </c>
      <c r="P89" s="392">
        <v>-845998</v>
      </c>
      <c r="Q89" s="392">
        <v>175547673</v>
      </c>
      <c r="R89" s="392">
        <v>118077981</v>
      </c>
      <c r="S89" s="392">
        <v>3829231</v>
      </c>
      <c r="T89" s="392">
        <v>0</v>
      </c>
      <c r="U89" s="392">
        <v>7713552</v>
      </c>
      <c r="V89" s="392">
        <v>1517592</v>
      </c>
      <c r="W89" s="392">
        <v>1900356</v>
      </c>
      <c r="X89" s="392">
        <v>2096762</v>
      </c>
      <c r="Y89" s="392">
        <v>21855694</v>
      </c>
      <c r="Z89" s="392">
        <v>12396</v>
      </c>
      <c r="AA89" s="392">
        <v>238276661</v>
      </c>
      <c r="AB89" s="392">
        <v>0</v>
      </c>
      <c r="AC89" s="392">
        <v>45715534</v>
      </c>
      <c r="AD89" s="392">
        <v>5244400</v>
      </c>
      <c r="AE89" s="392">
        <v>12388984</v>
      </c>
      <c r="AF89" s="392">
        <v>36957470</v>
      </c>
      <c r="AG89" s="392">
        <v>495586613</v>
      </c>
      <c r="AH89" s="392">
        <v>0</v>
      </c>
      <c r="AI89" s="392">
        <v>18529723</v>
      </c>
      <c r="AJ89" s="392">
        <v>92730</v>
      </c>
      <c r="AK89" s="392">
        <v>514209067</v>
      </c>
      <c r="AL89" s="392">
        <v>199333955</v>
      </c>
      <c r="AM89" s="392">
        <v>268363557</v>
      </c>
      <c r="AN89" s="392">
        <v>24022042</v>
      </c>
      <c r="AO89" s="392">
        <v>23630355</v>
      </c>
      <c r="AP89" s="392">
        <v>8889296</v>
      </c>
      <c r="AQ89" s="392">
        <v>22485710</v>
      </c>
      <c r="AR89" s="392">
        <v>17614051</v>
      </c>
      <c r="AS89" s="392">
        <v>38145837</v>
      </c>
      <c r="AT89" s="392">
        <v>12804275</v>
      </c>
      <c r="AU89" s="392">
        <v>24655911</v>
      </c>
      <c r="AV89" s="392">
        <v>46411679</v>
      </c>
      <c r="AW89" s="392">
        <v>18498820</v>
      </c>
      <c r="AX89" s="392">
        <v>13974996</v>
      </c>
      <c r="AY89" s="786">
        <v>18498820</v>
      </c>
      <c r="AZ89" s="392">
        <v>175547673</v>
      </c>
      <c r="BA89" s="639">
        <f>SUM(SNAMEB[[#This Row],[Instruction Expenditures]:[Transfers Out/OtherFinancing]])+SUM(SNAMEB[[#This Row],[General Fund Balance]:[Other Enterprise FundBalance]])</f>
        <v>713543022</v>
      </c>
      <c r="BB89" s="639">
        <f>SUM(SNAMEB[[#This Row],[Property Tax Revenue]:[IDEA/Other Fed Revenue]])+SNAMEB[General Long-term DebtProceeds]+SNAMEB[TransfersIn/Other Financing]+SNAMEB[Fixed Asset Disposition]+SNAMEB[Beginning Fund Balance]</f>
        <v>713543021</v>
      </c>
    </row>
    <row r="90" spans="1:54" x14ac:dyDescent="0.2">
      <c r="A90" s="390">
        <v>13</v>
      </c>
      <c r="B90" s="391" t="s">
        <v>164</v>
      </c>
      <c r="C90" s="631">
        <v>1782</v>
      </c>
      <c r="D90" t="s">
        <v>1090</v>
      </c>
      <c r="E90" s="392">
        <v>672652</v>
      </c>
      <c r="F90" s="392">
        <v>35006</v>
      </c>
      <c r="G90" s="392">
        <v>132623</v>
      </c>
      <c r="H90" s="392">
        <v>0</v>
      </c>
      <c r="I90" s="392">
        <v>8204</v>
      </c>
      <c r="J90" s="392">
        <v>0</v>
      </c>
      <c r="K90" s="392">
        <v>206558</v>
      </c>
      <c r="L90" s="392">
        <v>28995</v>
      </c>
      <c r="M90" s="392">
        <v>0</v>
      </c>
      <c r="N90" s="392">
        <v>0</v>
      </c>
      <c r="O90" s="392">
        <v>-22567</v>
      </c>
      <c r="P90" s="392">
        <v>-52487</v>
      </c>
      <c r="Q90" s="392">
        <v>1008983</v>
      </c>
      <c r="R90" s="392">
        <v>632613</v>
      </c>
      <c r="S90" s="392">
        <v>27236</v>
      </c>
      <c r="T90" s="392">
        <v>35357</v>
      </c>
      <c r="U90" s="392">
        <v>275779</v>
      </c>
      <c r="V90" s="392">
        <v>1976</v>
      </c>
      <c r="W90" s="392">
        <v>39855</v>
      </c>
      <c r="X90" s="392">
        <v>72706</v>
      </c>
      <c r="Y90" s="392">
        <v>264528</v>
      </c>
      <c r="Z90" s="392">
        <v>0</v>
      </c>
      <c r="AA90" s="392">
        <v>555978</v>
      </c>
      <c r="AB90" s="392">
        <v>0</v>
      </c>
      <c r="AC90" s="392">
        <v>100187</v>
      </c>
      <c r="AD90" s="392">
        <v>3516</v>
      </c>
      <c r="AE90" s="392">
        <v>24769</v>
      </c>
      <c r="AF90" s="392">
        <v>133350</v>
      </c>
      <c r="AG90" s="392">
        <v>2167850</v>
      </c>
      <c r="AH90" s="392">
        <v>0</v>
      </c>
      <c r="AI90" s="392">
        <v>0</v>
      </c>
      <c r="AJ90" s="392">
        <v>0</v>
      </c>
      <c r="AK90" s="392">
        <v>2167850</v>
      </c>
      <c r="AL90" s="392">
        <v>985662</v>
      </c>
      <c r="AM90" s="392">
        <v>1150501</v>
      </c>
      <c r="AN90" s="392">
        <v>10037</v>
      </c>
      <c r="AO90" s="392">
        <v>53624</v>
      </c>
      <c r="AP90" s="392">
        <v>86477</v>
      </c>
      <c r="AQ90" s="392">
        <v>121634</v>
      </c>
      <c r="AR90" s="392">
        <v>14694</v>
      </c>
      <c r="AS90" s="392">
        <v>155703</v>
      </c>
      <c r="AT90" s="392">
        <v>103509</v>
      </c>
      <c r="AU90" s="392">
        <v>230681</v>
      </c>
      <c r="AV90" s="392">
        <v>176103</v>
      </c>
      <c r="AW90" s="392">
        <v>0</v>
      </c>
      <c r="AX90" s="392">
        <v>41565</v>
      </c>
      <c r="AY90" s="786">
        <v>0</v>
      </c>
      <c r="AZ90" s="392">
        <v>1008983</v>
      </c>
      <c r="BA90" s="639">
        <f>SUM(SNAMEB[[#This Row],[Instruction Expenditures]:[Transfers Out/OtherFinancing]])+SUM(SNAMEB[[#This Row],[General Fund Balance]:[Other Enterprise FundBalance]])</f>
        <v>3153512</v>
      </c>
      <c r="BB90" s="639">
        <f>SUM(SNAMEB[[#This Row],[Property Tax Revenue]:[IDEA/Other Fed Revenue]])+SNAMEB[General Long-term DebtProceeds]+SNAMEB[TransfersIn/Other Financing]+SNAMEB[Fixed Asset Disposition]+SNAMEB[Beginning Fund Balance]</f>
        <v>3153512</v>
      </c>
    </row>
    <row r="91" spans="1:54" x14ac:dyDescent="0.2">
      <c r="A91" s="390">
        <v>7</v>
      </c>
      <c r="B91" s="391" t="s">
        <v>165</v>
      </c>
      <c r="C91" s="631">
        <v>1791</v>
      </c>
      <c r="D91" t="s">
        <v>1091</v>
      </c>
      <c r="E91" s="392">
        <v>1615780</v>
      </c>
      <c r="F91" s="392">
        <v>174370</v>
      </c>
      <c r="G91" s="392">
        <v>151720</v>
      </c>
      <c r="H91" s="392">
        <v>0</v>
      </c>
      <c r="I91" s="392">
        <v>0</v>
      </c>
      <c r="J91" s="392">
        <v>0</v>
      </c>
      <c r="K91" s="392">
        <v>1007574</v>
      </c>
      <c r="L91" s="392">
        <v>5715</v>
      </c>
      <c r="M91" s="392">
        <v>0</v>
      </c>
      <c r="N91" s="392">
        <v>445863</v>
      </c>
      <c r="O91" s="392">
        <v>168940</v>
      </c>
      <c r="P91" s="392">
        <v>-7036</v>
      </c>
      <c r="Q91" s="392">
        <v>3562927</v>
      </c>
      <c r="R91" s="392">
        <v>2883838</v>
      </c>
      <c r="S91" s="392">
        <v>126007</v>
      </c>
      <c r="T91" s="392">
        <v>331332</v>
      </c>
      <c r="U91" s="392">
        <v>286153</v>
      </c>
      <c r="V91" s="392">
        <v>53924</v>
      </c>
      <c r="W91" s="392">
        <v>305379</v>
      </c>
      <c r="X91" s="392">
        <v>474453</v>
      </c>
      <c r="Y91" s="392">
        <v>264473</v>
      </c>
      <c r="Z91" s="392">
        <v>0</v>
      </c>
      <c r="AA91" s="392">
        <v>5247168</v>
      </c>
      <c r="AB91" s="392">
        <v>0</v>
      </c>
      <c r="AC91" s="392">
        <v>872430</v>
      </c>
      <c r="AD91" s="392">
        <v>31280</v>
      </c>
      <c r="AE91" s="392">
        <v>75567</v>
      </c>
      <c r="AF91" s="392">
        <v>410850</v>
      </c>
      <c r="AG91" s="392">
        <v>11362854</v>
      </c>
      <c r="AH91" s="392">
        <v>500125</v>
      </c>
      <c r="AI91" s="392">
        <v>517027</v>
      </c>
      <c r="AJ91" s="392">
        <v>2148</v>
      </c>
      <c r="AK91" s="392">
        <v>12382153</v>
      </c>
      <c r="AL91" s="392">
        <v>3673681</v>
      </c>
      <c r="AM91" s="392">
        <v>6784056</v>
      </c>
      <c r="AN91" s="392">
        <v>161281</v>
      </c>
      <c r="AO91" s="392">
        <v>986332</v>
      </c>
      <c r="AP91" s="392">
        <v>269444</v>
      </c>
      <c r="AQ91" s="392">
        <v>539606</v>
      </c>
      <c r="AR91" s="392">
        <v>153988</v>
      </c>
      <c r="AS91" s="392">
        <v>708438</v>
      </c>
      <c r="AT91" s="392">
        <v>477329</v>
      </c>
      <c r="AU91" s="392">
        <v>506100</v>
      </c>
      <c r="AV91" s="392">
        <v>374118</v>
      </c>
      <c r="AW91" s="392">
        <v>637411</v>
      </c>
      <c r="AX91" s="392">
        <v>384051</v>
      </c>
      <c r="AY91" s="786">
        <v>510754</v>
      </c>
      <c r="AZ91" s="392">
        <v>3562927</v>
      </c>
      <c r="BA91" s="639">
        <f>SUM(SNAMEB[[#This Row],[Instruction Expenditures]:[Transfers Out/OtherFinancing]])+SUM(SNAMEB[[#This Row],[General Fund Balance]:[Other Enterprise FundBalance]])</f>
        <v>16055834</v>
      </c>
      <c r="BB91" s="639">
        <f>SUM(SNAMEB[[#This Row],[Property Tax Revenue]:[IDEA/Other Fed Revenue]])+SNAMEB[General Long-term DebtProceeds]+SNAMEB[TransfersIn/Other Financing]+SNAMEB[Fixed Asset Disposition]+SNAMEB[Beginning Fund Balance]</f>
        <v>16055835</v>
      </c>
    </row>
    <row r="92" spans="1:54" x14ac:dyDescent="0.2">
      <c r="A92" s="390">
        <v>1</v>
      </c>
      <c r="B92" s="391" t="s">
        <v>166</v>
      </c>
      <c r="C92" s="631">
        <v>1863</v>
      </c>
      <c r="D92" t="s">
        <v>1092</v>
      </c>
      <c r="E92" s="392">
        <v>12455428</v>
      </c>
      <c r="F92" s="392">
        <v>828340</v>
      </c>
      <c r="G92" s="392">
        <v>8257566</v>
      </c>
      <c r="H92" s="392">
        <v>0</v>
      </c>
      <c r="I92" s="392">
        <v>0</v>
      </c>
      <c r="J92" s="392">
        <v>0</v>
      </c>
      <c r="K92" s="392">
        <v>12818094</v>
      </c>
      <c r="L92" s="392">
        <v>3990037</v>
      </c>
      <c r="M92" s="392">
        <v>0</v>
      </c>
      <c r="N92" s="392">
        <v>6030627</v>
      </c>
      <c r="O92" s="392">
        <v>-299141</v>
      </c>
      <c r="P92" s="392">
        <v>0</v>
      </c>
      <c r="Q92" s="392">
        <v>44080951</v>
      </c>
      <c r="R92" s="392">
        <v>44425033</v>
      </c>
      <c r="S92" s="392">
        <v>1215380</v>
      </c>
      <c r="T92" s="392">
        <v>0</v>
      </c>
      <c r="U92" s="392">
        <v>2460104</v>
      </c>
      <c r="V92" s="392">
        <v>310114</v>
      </c>
      <c r="W92" s="392">
        <v>2273857</v>
      </c>
      <c r="X92" s="392">
        <v>508618</v>
      </c>
      <c r="Y92" s="392">
        <v>3554069</v>
      </c>
      <c r="Z92" s="392">
        <v>0</v>
      </c>
      <c r="AA92" s="392">
        <v>69744649</v>
      </c>
      <c r="AB92" s="392">
        <v>0</v>
      </c>
      <c r="AC92" s="392">
        <v>11262090</v>
      </c>
      <c r="AD92" s="392">
        <v>1707973</v>
      </c>
      <c r="AE92" s="392">
        <v>2113675</v>
      </c>
      <c r="AF92" s="392">
        <v>7645395</v>
      </c>
      <c r="AG92" s="392">
        <v>147220957</v>
      </c>
      <c r="AH92" s="392">
        <v>0</v>
      </c>
      <c r="AI92" s="392">
        <v>3426382</v>
      </c>
      <c r="AJ92" s="392">
        <v>534587</v>
      </c>
      <c r="AK92" s="392">
        <v>151181926</v>
      </c>
      <c r="AL92" s="392">
        <v>46439090</v>
      </c>
      <c r="AM92" s="392">
        <v>88831594</v>
      </c>
      <c r="AN92" s="392">
        <v>6267003</v>
      </c>
      <c r="AO92" s="392">
        <v>6352863</v>
      </c>
      <c r="AP92" s="392">
        <v>1934238</v>
      </c>
      <c r="AQ92" s="392">
        <v>6873721</v>
      </c>
      <c r="AR92" s="392">
        <v>5470582</v>
      </c>
      <c r="AS92" s="392">
        <v>11609966</v>
      </c>
      <c r="AT92" s="392">
        <v>4471942</v>
      </c>
      <c r="AU92" s="392">
        <v>5263878</v>
      </c>
      <c r="AV92" s="392">
        <v>5336369</v>
      </c>
      <c r="AW92" s="392">
        <v>2720143</v>
      </c>
      <c r="AX92" s="392">
        <v>4981385</v>
      </c>
      <c r="AY92" s="786">
        <v>3426382</v>
      </c>
      <c r="AZ92" s="392">
        <v>44080951</v>
      </c>
      <c r="BA92" s="639">
        <f>SUM(SNAMEB[[#This Row],[Instruction Expenditures]:[Transfers Out/OtherFinancing]])+SUM(SNAMEB[[#This Row],[General Fund Balance]:[Other Enterprise FundBalance]])</f>
        <v>197621017</v>
      </c>
      <c r="BB92" s="639">
        <f>SUM(SNAMEB[[#This Row],[Property Tax Revenue]:[IDEA/Other Fed Revenue]])+SNAMEB[General Long-term DebtProceeds]+SNAMEB[TransfersIn/Other Financing]+SNAMEB[Fixed Asset Disposition]+SNAMEB[Beginning Fund Balance]</f>
        <v>197621016</v>
      </c>
    </row>
    <row r="93" spans="1:54" x14ac:dyDescent="0.2">
      <c r="A93" s="390">
        <v>7</v>
      </c>
      <c r="B93" s="391" t="s">
        <v>167</v>
      </c>
      <c r="C93" s="631">
        <v>1908</v>
      </c>
      <c r="D93" t="s">
        <v>1093</v>
      </c>
      <c r="E93" s="392">
        <v>1257078</v>
      </c>
      <c r="F93" s="392">
        <v>36114</v>
      </c>
      <c r="G93" s="392">
        <v>622708</v>
      </c>
      <c r="H93" s="392">
        <v>0</v>
      </c>
      <c r="I93" s="392">
        <v>0</v>
      </c>
      <c r="J93" s="392">
        <v>0</v>
      </c>
      <c r="K93" s="392">
        <v>612331</v>
      </c>
      <c r="L93" s="392">
        <v>305946</v>
      </c>
      <c r="M93" s="392">
        <v>0</v>
      </c>
      <c r="N93" s="392">
        <v>641372</v>
      </c>
      <c r="O93" s="392">
        <v>66646</v>
      </c>
      <c r="P93" s="392">
        <v>37639</v>
      </c>
      <c r="Q93" s="392">
        <v>3579834</v>
      </c>
      <c r="R93" s="392">
        <v>2163725</v>
      </c>
      <c r="S93" s="392">
        <v>155873</v>
      </c>
      <c r="T93" s="392">
        <v>205213</v>
      </c>
      <c r="U93" s="392">
        <v>339845</v>
      </c>
      <c r="V93" s="392">
        <v>3274</v>
      </c>
      <c r="W93" s="392">
        <v>114898</v>
      </c>
      <c r="X93" s="392">
        <v>119063</v>
      </c>
      <c r="Y93" s="392">
        <v>112661</v>
      </c>
      <c r="Z93" s="392">
        <v>0</v>
      </c>
      <c r="AA93" s="392">
        <v>2728525</v>
      </c>
      <c r="AB93" s="392">
        <v>0</v>
      </c>
      <c r="AC93" s="392">
        <v>482305</v>
      </c>
      <c r="AD93" s="392">
        <v>32556</v>
      </c>
      <c r="AE93" s="392">
        <v>52216</v>
      </c>
      <c r="AF93" s="392">
        <v>229535</v>
      </c>
      <c r="AG93" s="392">
        <v>6739688</v>
      </c>
      <c r="AH93" s="392">
        <v>0</v>
      </c>
      <c r="AI93" s="392">
        <v>314706</v>
      </c>
      <c r="AJ93" s="392">
        <v>26</v>
      </c>
      <c r="AK93" s="392">
        <v>7054420</v>
      </c>
      <c r="AL93" s="392">
        <v>2712909</v>
      </c>
      <c r="AM93" s="392">
        <v>3507652</v>
      </c>
      <c r="AN93" s="392">
        <v>91668</v>
      </c>
      <c r="AO93" s="392">
        <v>218369</v>
      </c>
      <c r="AP93" s="392">
        <v>180692</v>
      </c>
      <c r="AQ93" s="392">
        <v>289103</v>
      </c>
      <c r="AR93" s="392">
        <v>55680</v>
      </c>
      <c r="AS93" s="392">
        <v>495768</v>
      </c>
      <c r="AT93" s="392">
        <v>175891</v>
      </c>
      <c r="AU93" s="392">
        <v>238597</v>
      </c>
      <c r="AV93" s="392">
        <v>31110</v>
      </c>
      <c r="AW93" s="392">
        <v>421140</v>
      </c>
      <c r="AX93" s="392">
        <v>205885</v>
      </c>
      <c r="AY93" s="786">
        <v>275940</v>
      </c>
      <c r="AZ93" s="392">
        <v>3579834</v>
      </c>
      <c r="BA93" s="639">
        <f>SUM(SNAMEB[[#This Row],[Instruction Expenditures]:[Transfers Out/OtherFinancing]])+SUM(SNAMEB[[#This Row],[General Fund Balance]:[Other Enterprise FundBalance]])</f>
        <v>9767329</v>
      </c>
      <c r="BB93" s="639">
        <f>SUM(SNAMEB[[#This Row],[Property Tax Revenue]:[IDEA/Other Fed Revenue]])+SNAMEB[General Long-term DebtProceeds]+SNAMEB[TransfersIn/Other Financing]+SNAMEB[Fixed Asset Disposition]+SNAMEB[Beginning Fund Balance]</f>
        <v>9767330</v>
      </c>
    </row>
    <row r="94" spans="1:54" x14ac:dyDescent="0.2">
      <c r="A94" s="390">
        <v>9</v>
      </c>
      <c r="B94" s="391" t="s">
        <v>169</v>
      </c>
      <c r="C94" s="631">
        <v>1926</v>
      </c>
      <c r="D94" t="s">
        <v>1095</v>
      </c>
      <c r="E94" s="392">
        <v>1674451</v>
      </c>
      <c r="F94" s="392">
        <v>69404</v>
      </c>
      <c r="G94" s="392">
        <v>157052</v>
      </c>
      <c r="H94" s="392">
        <v>0</v>
      </c>
      <c r="I94" s="392">
        <v>0</v>
      </c>
      <c r="J94" s="392">
        <v>0</v>
      </c>
      <c r="K94" s="392">
        <v>324022</v>
      </c>
      <c r="L94" s="392">
        <v>37294</v>
      </c>
      <c r="M94" s="392">
        <v>0</v>
      </c>
      <c r="N94" s="392">
        <v>329274</v>
      </c>
      <c r="O94" s="392">
        <v>-36314</v>
      </c>
      <c r="P94" s="392">
        <v>0</v>
      </c>
      <c r="Q94" s="392">
        <v>2555182</v>
      </c>
      <c r="R94" s="392">
        <v>2316177</v>
      </c>
      <c r="S94" s="392">
        <v>127375</v>
      </c>
      <c r="T94" s="392">
        <v>293274</v>
      </c>
      <c r="U94" s="392">
        <v>821242</v>
      </c>
      <c r="V94" s="392">
        <v>13670</v>
      </c>
      <c r="W94" s="392">
        <v>205608</v>
      </c>
      <c r="X94" s="392">
        <v>296766</v>
      </c>
      <c r="Y94" s="392">
        <v>260756</v>
      </c>
      <c r="Z94" s="392">
        <v>3728</v>
      </c>
      <c r="AA94" s="392">
        <v>3268002</v>
      </c>
      <c r="AB94" s="392">
        <v>0</v>
      </c>
      <c r="AC94" s="392">
        <v>654345</v>
      </c>
      <c r="AD94" s="392">
        <v>64631</v>
      </c>
      <c r="AE94" s="392">
        <v>50415</v>
      </c>
      <c r="AF94" s="392">
        <v>214225</v>
      </c>
      <c r="AG94" s="392">
        <v>8590214</v>
      </c>
      <c r="AH94" s="392">
        <v>498116</v>
      </c>
      <c r="AI94" s="392">
        <v>550708</v>
      </c>
      <c r="AJ94" s="392">
        <v>46516</v>
      </c>
      <c r="AK94" s="392">
        <v>9685554</v>
      </c>
      <c r="AL94" s="392">
        <v>2586166</v>
      </c>
      <c r="AM94" s="392">
        <v>5336716</v>
      </c>
      <c r="AN94" s="392">
        <v>150903</v>
      </c>
      <c r="AO94" s="392">
        <v>262433</v>
      </c>
      <c r="AP94" s="392">
        <v>306309</v>
      </c>
      <c r="AQ94" s="392">
        <v>440294</v>
      </c>
      <c r="AR94" s="392">
        <v>109161</v>
      </c>
      <c r="AS94" s="392">
        <v>642301</v>
      </c>
      <c r="AT94" s="392">
        <v>431326</v>
      </c>
      <c r="AU94" s="392">
        <v>362506</v>
      </c>
      <c r="AV94" s="392">
        <v>242866</v>
      </c>
      <c r="AW94" s="392">
        <v>637056</v>
      </c>
      <c r="AX94" s="392">
        <v>234478</v>
      </c>
      <c r="AY94" s="786">
        <v>560191</v>
      </c>
      <c r="AZ94" s="392">
        <v>2555182</v>
      </c>
      <c r="BA94" s="639">
        <f>SUM(SNAMEB[[#This Row],[Instruction Expenditures]:[Transfers Out/OtherFinancing]])+SUM(SNAMEB[[#This Row],[General Fund Balance]:[Other Enterprise FundBalance]])</f>
        <v>12271723</v>
      </c>
      <c r="BB94" s="639">
        <f>SUM(SNAMEB[[#This Row],[Property Tax Revenue]:[IDEA/Other Fed Revenue]])+SNAMEB[General Long-term DebtProceeds]+SNAMEB[TransfersIn/Other Financing]+SNAMEB[Fixed Asset Disposition]+SNAMEB[Beginning Fund Balance]</f>
        <v>12271720</v>
      </c>
    </row>
    <row r="95" spans="1:54" x14ac:dyDescent="0.2">
      <c r="A95" s="390">
        <v>5</v>
      </c>
      <c r="B95" s="391" t="s">
        <v>171</v>
      </c>
      <c r="C95" s="631">
        <v>1944</v>
      </c>
      <c r="D95" t="s">
        <v>1096</v>
      </c>
      <c r="E95" s="392">
        <v>2313966</v>
      </c>
      <c r="F95" s="392">
        <v>110755</v>
      </c>
      <c r="G95" s="392">
        <v>607034</v>
      </c>
      <c r="H95" s="392">
        <v>0</v>
      </c>
      <c r="I95" s="392">
        <v>0</v>
      </c>
      <c r="J95" s="392">
        <v>0</v>
      </c>
      <c r="K95" s="392">
        <v>1380530</v>
      </c>
      <c r="L95" s="392">
        <v>17665</v>
      </c>
      <c r="M95" s="392">
        <v>0</v>
      </c>
      <c r="N95" s="392">
        <v>16797</v>
      </c>
      <c r="O95" s="392">
        <v>-15550</v>
      </c>
      <c r="P95" s="392">
        <v>0</v>
      </c>
      <c r="Q95" s="392">
        <v>4431197</v>
      </c>
      <c r="R95" s="392">
        <v>3748811</v>
      </c>
      <c r="S95" s="392">
        <v>62075</v>
      </c>
      <c r="T95" s="392">
        <v>254937</v>
      </c>
      <c r="U95" s="392">
        <v>461778</v>
      </c>
      <c r="V95" s="392">
        <v>12808</v>
      </c>
      <c r="W95" s="392">
        <v>160427</v>
      </c>
      <c r="X95" s="392">
        <v>378827</v>
      </c>
      <c r="Y95" s="392">
        <v>195699</v>
      </c>
      <c r="Z95" s="392">
        <v>0</v>
      </c>
      <c r="AA95" s="392">
        <v>5462424</v>
      </c>
      <c r="AB95" s="392">
        <v>0</v>
      </c>
      <c r="AC95" s="392">
        <v>842475</v>
      </c>
      <c r="AD95" s="392">
        <v>66915</v>
      </c>
      <c r="AE95" s="392">
        <v>204168</v>
      </c>
      <c r="AF95" s="392">
        <v>624259</v>
      </c>
      <c r="AG95" s="392">
        <v>12475605</v>
      </c>
      <c r="AH95" s="392">
        <v>0</v>
      </c>
      <c r="AI95" s="392">
        <v>231374</v>
      </c>
      <c r="AJ95" s="392">
        <v>0</v>
      </c>
      <c r="AK95" s="392">
        <v>12706979</v>
      </c>
      <c r="AL95" s="392">
        <v>3974639</v>
      </c>
      <c r="AM95" s="392">
        <v>7025750</v>
      </c>
      <c r="AN95" s="392">
        <v>204391</v>
      </c>
      <c r="AO95" s="392">
        <v>478210</v>
      </c>
      <c r="AP95" s="392">
        <v>426173</v>
      </c>
      <c r="AQ95" s="392">
        <v>561401</v>
      </c>
      <c r="AR95" s="392">
        <v>186609</v>
      </c>
      <c r="AS95" s="392">
        <v>609882</v>
      </c>
      <c r="AT95" s="392">
        <v>491754</v>
      </c>
      <c r="AU95" s="392">
        <v>557439</v>
      </c>
      <c r="AV95" s="392">
        <v>704153</v>
      </c>
      <c r="AW95" s="392">
        <v>410350</v>
      </c>
      <c r="AX95" s="392">
        <v>373001</v>
      </c>
      <c r="AY95" s="786">
        <v>221308</v>
      </c>
      <c r="AZ95" s="392">
        <v>4431197</v>
      </c>
      <c r="BA95" s="639">
        <f>SUM(SNAMEB[[#This Row],[Instruction Expenditures]:[Transfers Out/OtherFinancing]])+SUM(SNAMEB[[#This Row],[General Fund Balance]:[Other Enterprise FundBalance]])</f>
        <v>16681618</v>
      </c>
      <c r="BB95" s="639">
        <f>SUM(SNAMEB[[#This Row],[Property Tax Revenue]:[IDEA/Other Fed Revenue]])+SNAMEB[General Long-term DebtProceeds]+SNAMEB[TransfersIn/Other Financing]+SNAMEB[Fixed Asset Disposition]+SNAMEB[Beginning Fund Balance]</f>
        <v>16681616</v>
      </c>
    </row>
    <row r="96" spans="1:54" x14ac:dyDescent="0.2">
      <c r="A96" s="390">
        <v>11</v>
      </c>
      <c r="B96" s="391" t="s">
        <v>172</v>
      </c>
      <c r="C96" s="631">
        <v>1953</v>
      </c>
      <c r="D96" t="s">
        <v>1097</v>
      </c>
      <c r="E96" s="392">
        <v>1283648</v>
      </c>
      <c r="F96" s="392">
        <v>37917</v>
      </c>
      <c r="G96" s="392">
        <v>107874</v>
      </c>
      <c r="H96" s="392">
        <v>0</v>
      </c>
      <c r="I96" s="392">
        <v>0</v>
      </c>
      <c r="J96" s="392">
        <v>0</v>
      </c>
      <c r="K96" s="392">
        <v>651579</v>
      </c>
      <c r="L96" s="392">
        <v>282128</v>
      </c>
      <c r="M96" s="392">
        <v>0</v>
      </c>
      <c r="N96" s="392">
        <v>640947</v>
      </c>
      <c r="O96" s="392">
        <v>-40645</v>
      </c>
      <c r="P96" s="392">
        <v>0</v>
      </c>
      <c r="Q96" s="392">
        <v>2963448</v>
      </c>
      <c r="R96" s="392">
        <v>2621876</v>
      </c>
      <c r="S96" s="392">
        <v>243387</v>
      </c>
      <c r="T96" s="392">
        <v>0</v>
      </c>
      <c r="U96" s="392">
        <v>424814</v>
      </c>
      <c r="V96" s="392">
        <v>4610</v>
      </c>
      <c r="W96" s="392">
        <v>253333</v>
      </c>
      <c r="X96" s="392">
        <v>176761</v>
      </c>
      <c r="Y96" s="392">
        <v>198873</v>
      </c>
      <c r="Z96" s="392">
        <v>0</v>
      </c>
      <c r="AA96" s="392">
        <v>3963429</v>
      </c>
      <c r="AB96" s="392">
        <v>0</v>
      </c>
      <c r="AC96" s="392">
        <v>643162</v>
      </c>
      <c r="AD96" s="392">
        <v>23491</v>
      </c>
      <c r="AE96" s="392">
        <v>55933</v>
      </c>
      <c r="AF96" s="392">
        <v>223018</v>
      </c>
      <c r="AG96" s="392">
        <v>8832687</v>
      </c>
      <c r="AH96" s="392">
        <v>0</v>
      </c>
      <c r="AI96" s="392">
        <v>542203</v>
      </c>
      <c r="AJ96" s="392">
        <v>1062</v>
      </c>
      <c r="AK96" s="392">
        <v>9375952</v>
      </c>
      <c r="AL96" s="392">
        <v>2396520</v>
      </c>
      <c r="AM96" s="392">
        <v>4709882</v>
      </c>
      <c r="AN96" s="392">
        <v>167832</v>
      </c>
      <c r="AO96" s="392">
        <v>431082</v>
      </c>
      <c r="AP96" s="392">
        <v>186306</v>
      </c>
      <c r="AQ96" s="392">
        <v>281816</v>
      </c>
      <c r="AR96" s="392">
        <v>243565</v>
      </c>
      <c r="AS96" s="392">
        <v>685142</v>
      </c>
      <c r="AT96" s="392">
        <v>154151</v>
      </c>
      <c r="AU96" s="392">
        <v>392393</v>
      </c>
      <c r="AV96" s="392">
        <v>149575</v>
      </c>
      <c r="AW96" s="392">
        <v>649090</v>
      </c>
      <c r="AX96" s="392">
        <v>260063</v>
      </c>
      <c r="AY96" s="786">
        <v>498126</v>
      </c>
      <c r="AZ96" s="392">
        <v>2963448</v>
      </c>
      <c r="BA96" s="639">
        <f>SUM(SNAMEB[[#This Row],[Instruction Expenditures]:[Transfers Out/OtherFinancing]])+SUM(SNAMEB[[#This Row],[General Fund Balance]:[Other Enterprise FundBalance]])</f>
        <v>11772471</v>
      </c>
      <c r="BB96" s="639">
        <f>SUM(SNAMEB[[#This Row],[Property Tax Revenue]:[IDEA/Other Fed Revenue]])+SNAMEB[General Long-term DebtProceeds]+SNAMEB[TransfersIn/Other Financing]+SNAMEB[Fixed Asset Disposition]+SNAMEB[Beginning Fund Balance]</f>
        <v>11772472</v>
      </c>
    </row>
    <row r="97" spans="1:54" x14ac:dyDescent="0.2">
      <c r="A97" s="390">
        <v>7</v>
      </c>
      <c r="B97" s="391" t="s">
        <v>173</v>
      </c>
      <c r="C97" s="631">
        <v>1963</v>
      </c>
      <c r="D97" t="s">
        <v>1098</v>
      </c>
      <c r="E97" s="392">
        <v>1916667</v>
      </c>
      <c r="F97" s="392">
        <v>105485</v>
      </c>
      <c r="G97" s="392">
        <v>554720</v>
      </c>
      <c r="H97" s="392">
        <v>0</v>
      </c>
      <c r="I97" s="392">
        <v>0</v>
      </c>
      <c r="J97" s="392">
        <v>0</v>
      </c>
      <c r="K97" s="392">
        <v>2472713</v>
      </c>
      <c r="L97" s="392">
        <v>367862</v>
      </c>
      <c r="M97" s="392">
        <v>0</v>
      </c>
      <c r="N97" s="392">
        <v>0</v>
      </c>
      <c r="O97" s="392">
        <v>-5951</v>
      </c>
      <c r="P97" s="392">
        <v>0</v>
      </c>
      <c r="Q97" s="392">
        <v>5411496</v>
      </c>
      <c r="R97" s="392">
        <v>2328604</v>
      </c>
      <c r="S97" s="392">
        <v>49217</v>
      </c>
      <c r="T97" s="392">
        <v>26725</v>
      </c>
      <c r="U97" s="392">
        <v>574085</v>
      </c>
      <c r="V97" s="392">
        <v>56250</v>
      </c>
      <c r="W97" s="392">
        <v>164726</v>
      </c>
      <c r="X97" s="392">
        <v>236537</v>
      </c>
      <c r="Y97" s="392">
        <v>110314</v>
      </c>
      <c r="Z97" s="392">
        <v>0</v>
      </c>
      <c r="AA97" s="392">
        <v>3358324</v>
      </c>
      <c r="AB97" s="392">
        <v>0</v>
      </c>
      <c r="AC97" s="392">
        <v>623869</v>
      </c>
      <c r="AD97" s="392">
        <v>37968</v>
      </c>
      <c r="AE97" s="392">
        <v>66461</v>
      </c>
      <c r="AF97" s="392">
        <v>298217</v>
      </c>
      <c r="AG97" s="392">
        <v>7931296</v>
      </c>
      <c r="AH97" s="392">
        <v>0</v>
      </c>
      <c r="AI97" s="392">
        <v>416166</v>
      </c>
      <c r="AJ97" s="392">
        <v>1</v>
      </c>
      <c r="AK97" s="392">
        <v>8347463</v>
      </c>
      <c r="AL97" s="392">
        <v>5372677</v>
      </c>
      <c r="AM97" s="392">
        <v>4774474</v>
      </c>
      <c r="AN97" s="392">
        <v>165800</v>
      </c>
      <c r="AO97" s="392">
        <v>258228</v>
      </c>
      <c r="AP97" s="392">
        <v>242644</v>
      </c>
      <c r="AQ97" s="392">
        <v>338604</v>
      </c>
      <c r="AR97" s="392">
        <v>97464</v>
      </c>
      <c r="AS97" s="392">
        <v>454280</v>
      </c>
      <c r="AT97" s="392">
        <v>354350</v>
      </c>
      <c r="AU97" s="392">
        <v>320035</v>
      </c>
      <c r="AV97" s="392">
        <v>182613</v>
      </c>
      <c r="AW97" s="392">
        <v>416166</v>
      </c>
      <c r="AX97" s="392">
        <v>250525</v>
      </c>
      <c r="AY97" s="786">
        <v>453462</v>
      </c>
      <c r="AZ97" s="392">
        <v>5411496</v>
      </c>
      <c r="BA97" s="639">
        <f>SUM(SNAMEB[[#This Row],[Instruction Expenditures]:[Transfers Out/OtherFinancing]])+SUM(SNAMEB[[#This Row],[General Fund Balance]:[Other Enterprise FundBalance]])</f>
        <v>13720141</v>
      </c>
      <c r="BB97" s="639">
        <f>SUM(SNAMEB[[#This Row],[Property Tax Revenue]:[IDEA/Other Fed Revenue]])+SNAMEB[General Long-term DebtProceeds]+SNAMEB[TransfersIn/Other Financing]+SNAMEB[Fixed Asset Disposition]+SNAMEB[Beginning Fund Balance]</f>
        <v>13720141</v>
      </c>
    </row>
    <row r="98" spans="1:54" x14ac:dyDescent="0.2">
      <c r="A98" s="390">
        <v>7</v>
      </c>
      <c r="B98" s="391" t="s">
        <v>238</v>
      </c>
      <c r="C98" s="631">
        <v>1968</v>
      </c>
      <c r="D98" t="s">
        <v>1157</v>
      </c>
      <c r="E98" s="392">
        <v>1653567</v>
      </c>
      <c r="F98" s="392">
        <v>113272</v>
      </c>
      <c r="G98" s="392">
        <v>192197</v>
      </c>
      <c r="H98" s="392">
        <v>68377</v>
      </c>
      <c r="I98" s="392">
        <v>0</v>
      </c>
      <c r="J98" s="392">
        <v>0</v>
      </c>
      <c r="K98" s="392">
        <v>2451187</v>
      </c>
      <c r="L98" s="392">
        <v>185102</v>
      </c>
      <c r="M98" s="392">
        <v>0</v>
      </c>
      <c r="N98" s="392">
        <v>3714</v>
      </c>
      <c r="O98" s="392">
        <v>100872</v>
      </c>
      <c r="P98" s="392">
        <v>0</v>
      </c>
      <c r="Q98" s="392">
        <v>4768288</v>
      </c>
      <c r="R98" s="392">
        <v>3132614</v>
      </c>
      <c r="S98" s="392">
        <v>55290</v>
      </c>
      <c r="T98" s="392">
        <v>285823</v>
      </c>
      <c r="U98" s="392">
        <v>2454031</v>
      </c>
      <c r="V98" s="392">
        <v>9443</v>
      </c>
      <c r="W98" s="392">
        <v>207199</v>
      </c>
      <c r="X98" s="392">
        <v>154087</v>
      </c>
      <c r="Y98" s="392">
        <v>260439</v>
      </c>
      <c r="Z98" s="392">
        <v>0</v>
      </c>
      <c r="AA98" s="392">
        <v>3506283</v>
      </c>
      <c r="AB98" s="392">
        <v>0</v>
      </c>
      <c r="AC98" s="392">
        <v>605651</v>
      </c>
      <c r="AD98" s="392">
        <v>39948</v>
      </c>
      <c r="AE98" s="392">
        <v>104461</v>
      </c>
      <c r="AF98" s="392">
        <v>309637</v>
      </c>
      <c r="AG98" s="392">
        <v>11124905</v>
      </c>
      <c r="AH98" s="392">
        <v>2885000</v>
      </c>
      <c r="AI98" s="392">
        <v>243974</v>
      </c>
      <c r="AJ98" s="392">
        <v>3785</v>
      </c>
      <c r="AK98" s="392">
        <v>14257664</v>
      </c>
      <c r="AL98" s="392">
        <v>2751407</v>
      </c>
      <c r="AM98" s="392">
        <v>6075884</v>
      </c>
      <c r="AN98" s="392">
        <v>413364</v>
      </c>
      <c r="AO98" s="392">
        <v>281595</v>
      </c>
      <c r="AP98" s="392">
        <v>250384</v>
      </c>
      <c r="AQ98" s="392">
        <v>562380</v>
      </c>
      <c r="AR98" s="392">
        <v>296075</v>
      </c>
      <c r="AS98" s="392">
        <v>897513</v>
      </c>
      <c r="AT98" s="392">
        <v>611190</v>
      </c>
      <c r="AU98" s="392">
        <v>409241</v>
      </c>
      <c r="AV98" s="392">
        <v>1327139</v>
      </c>
      <c r="AW98" s="392">
        <v>599918</v>
      </c>
      <c r="AX98" s="392">
        <v>272126</v>
      </c>
      <c r="AY98" s="786">
        <v>243974</v>
      </c>
      <c r="AZ98" s="392">
        <v>4768288</v>
      </c>
      <c r="BA98" s="639">
        <f>SUM(SNAMEB[[#This Row],[Instruction Expenditures]:[Transfers Out/OtherFinancing]])+SUM(SNAMEB[[#This Row],[General Fund Balance]:[Other Enterprise FundBalance]])</f>
        <v>17009071</v>
      </c>
      <c r="BB98" s="639">
        <f>SUM(SNAMEB[[#This Row],[Property Tax Revenue]:[IDEA/Other Fed Revenue]])+SNAMEB[General Long-term DebtProceeds]+SNAMEB[TransfersIn/Other Financing]+SNAMEB[Fixed Asset Disposition]+SNAMEB[Beginning Fund Balance]</f>
        <v>17009072</v>
      </c>
    </row>
    <row r="99" spans="1:54" x14ac:dyDescent="0.2">
      <c r="A99" s="390">
        <v>13</v>
      </c>
      <c r="B99" s="391" t="s">
        <v>251</v>
      </c>
      <c r="C99" s="631">
        <v>3978</v>
      </c>
      <c r="D99" t="s">
        <v>1480</v>
      </c>
      <c r="E99" s="392">
        <v>3421384</v>
      </c>
      <c r="F99" s="392">
        <v>87082</v>
      </c>
      <c r="G99" s="392">
        <v>2165925</v>
      </c>
      <c r="H99" s="392">
        <v>0</v>
      </c>
      <c r="I99" s="392">
        <v>0</v>
      </c>
      <c r="J99" s="392">
        <v>0</v>
      </c>
      <c r="K99" s="392">
        <v>798105</v>
      </c>
      <c r="L99" s="392">
        <v>145637</v>
      </c>
      <c r="M99" s="392">
        <v>0</v>
      </c>
      <c r="N99" s="392">
        <v>113696</v>
      </c>
      <c r="O99" s="392">
        <v>-1806</v>
      </c>
      <c r="P99" s="392">
        <v>0</v>
      </c>
      <c r="Q99" s="392">
        <v>6730022</v>
      </c>
      <c r="R99" s="392">
        <v>3276937</v>
      </c>
      <c r="S99" s="392">
        <v>137131</v>
      </c>
      <c r="T99" s="392">
        <v>200450</v>
      </c>
      <c r="U99" s="392">
        <v>118255</v>
      </c>
      <c r="V99" s="392">
        <v>50874</v>
      </c>
      <c r="W99" s="392">
        <v>102359</v>
      </c>
      <c r="X99" s="392">
        <v>102652</v>
      </c>
      <c r="Y99" s="392">
        <v>293675</v>
      </c>
      <c r="Z99" s="392">
        <v>0</v>
      </c>
      <c r="AA99" s="392">
        <v>2571585</v>
      </c>
      <c r="AB99" s="392">
        <v>0</v>
      </c>
      <c r="AC99" s="392">
        <v>550873</v>
      </c>
      <c r="AD99" s="392">
        <v>13775</v>
      </c>
      <c r="AE99" s="392">
        <v>103002</v>
      </c>
      <c r="AF99" s="392">
        <v>257955</v>
      </c>
      <c r="AG99" s="392">
        <v>7779524</v>
      </c>
      <c r="AH99" s="392">
        <v>1707456</v>
      </c>
      <c r="AI99" s="392">
        <v>432560</v>
      </c>
      <c r="AJ99" s="392">
        <v>0</v>
      </c>
      <c r="AK99" s="392">
        <v>9919540</v>
      </c>
      <c r="AL99" s="392">
        <v>5969458</v>
      </c>
      <c r="AM99" s="392">
        <v>3867228</v>
      </c>
      <c r="AN99" s="392">
        <v>84261</v>
      </c>
      <c r="AO99" s="392">
        <v>166882</v>
      </c>
      <c r="AP99" s="392">
        <v>221442</v>
      </c>
      <c r="AQ99" s="392">
        <v>223908</v>
      </c>
      <c r="AR99" s="392">
        <v>152643</v>
      </c>
      <c r="AS99" s="392">
        <v>725009</v>
      </c>
      <c r="AT99" s="392">
        <v>440194</v>
      </c>
      <c r="AU99" s="392">
        <v>230561</v>
      </c>
      <c r="AV99" s="392">
        <v>1886043</v>
      </c>
      <c r="AW99" s="392">
        <v>501533</v>
      </c>
      <c r="AX99" s="392">
        <v>226712</v>
      </c>
      <c r="AY99" s="786">
        <v>432560</v>
      </c>
      <c r="AZ99" s="392">
        <v>6730022</v>
      </c>
      <c r="BA99" s="639">
        <f>SUM(SNAMEB[[#This Row],[Instruction Expenditures]:[Transfers Out/OtherFinancing]])+SUM(SNAMEB[[#This Row],[General Fund Balance]:[Other Enterprise FundBalance]])</f>
        <v>15888999</v>
      </c>
      <c r="BB99" s="639">
        <f>SUM(SNAMEB[[#This Row],[Property Tax Revenue]:[IDEA/Other Fed Revenue]])+SNAMEB[General Long-term DebtProceeds]+SNAMEB[TransfersIn/Other Financing]+SNAMEB[Fixed Asset Disposition]+SNAMEB[Beginning Fund Balance]</f>
        <v>15888997</v>
      </c>
    </row>
    <row r="100" spans="1:54" x14ac:dyDescent="0.2">
      <c r="A100" s="390">
        <v>5</v>
      </c>
      <c r="B100" s="391" t="s">
        <v>375</v>
      </c>
      <c r="C100" s="631">
        <v>6741</v>
      </c>
      <c r="D100" t="s">
        <v>1485</v>
      </c>
      <c r="E100" s="392">
        <v>1782782</v>
      </c>
      <c r="F100" s="392">
        <v>219145</v>
      </c>
      <c r="G100" s="392">
        <v>338854</v>
      </c>
      <c r="H100" s="392">
        <v>0</v>
      </c>
      <c r="I100" s="392">
        <v>0</v>
      </c>
      <c r="J100" s="392">
        <v>0</v>
      </c>
      <c r="K100" s="392">
        <v>1582508</v>
      </c>
      <c r="L100" s="392">
        <v>244020</v>
      </c>
      <c r="M100" s="392">
        <v>0</v>
      </c>
      <c r="N100" s="392">
        <v>0</v>
      </c>
      <c r="O100" s="392">
        <v>274031</v>
      </c>
      <c r="P100" s="392">
        <v>0</v>
      </c>
      <c r="Q100" s="392">
        <v>4441340</v>
      </c>
      <c r="R100" s="392">
        <v>4395778</v>
      </c>
      <c r="S100" s="392">
        <v>34129</v>
      </c>
      <c r="T100" s="392">
        <v>55199</v>
      </c>
      <c r="U100" s="392">
        <v>429161</v>
      </c>
      <c r="V100" s="392">
        <v>5923</v>
      </c>
      <c r="W100" s="392">
        <v>264978</v>
      </c>
      <c r="X100" s="392">
        <v>277059</v>
      </c>
      <c r="Y100" s="392">
        <v>239552</v>
      </c>
      <c r="Z100" s="392">
        <v>0</v>
      </c>
      <c r="AA100" s="392">
        <v>4871545</v>
      </c>
      <c r="AB100" s="392">
        <v>0</v>
      </c>
      <c r="AC100" s="392">
        <v>848301</v>
      </c>
      <c r="AD100" s="392">
        <v>45387</v>
      </c>
      <c r="AE100" s="392">
        <v>131665</v>
      </c>
      <c r="AF100" s="392">
        <v>488534</v>
      </c>
      <c r="AG100" s="392">
        <v>12087210</v>
      </c>
      <c r="AH100" s="392">
        <v>0</v>
      </c>
      <c r="AI100" s="392">
        <v>2733</v>
      </c>
      <c r="AJ100" s="392">
        <v>0</v>
      </c>
      <c r="AK100" s="392">
        <v>12089943</v>
      </c>
      <c r="AL100" s="392">
        <v>3736367</v>
      </c>
      <c r="AM100" s="392">
        <v>7217244</v>
      </c>
      <c r="AN100" s="392">
        <v>153664</v>
      </c>
      <c r="AO100" s="392">
        <v>347683</v>
      </c>
      <c r="AP100" s="392">
        <v>302478</v>
      </c>
      <c r="AQ100" s="392">
        <v>484190</v>
      </c>
      <c r="AR100" s="392">
        <v>113594</v>
      </c>
      <c r="AS100" s="392">
        <v>1176789</v>
      </c>
      <c r="AT100" s="392">
        <v>664044</v>
      </c>
      <c r="AU100" s="392">
        <v>535824</v>
      </c>
      <c r="AV100" s="392">
        <v>3590</v>
      </c>
      <c r="AW100" s="392">
        <v>0</v>
      </c>
      <c r="AX100" s="392">
        <v>385871</v>
      </c>
      <c r="AY100" s="786">
        <v>0</v>
      </c>
      <c r="AZ100" s="392">
        <v>4441340</v>
      </c>
      <c r="BA100" s="639">
        <f>SUM(SNAMEB[[#This Row],[Instruction Expenditures]:[Transfers Out/OtherFinancing]])+SUM(SNAMEB[[#This Row],[General Fund Balance]:[Other Enterprise FundBalance]])</f>
        <v>15826311</v>
      </c>
      <c r="BB100" s="639">
        <f>SUM(SNAMEB[[#This Row],[Property Tax Revenue]:[IDEA/Other Fed Revenue]])+SNAMEB[General Long-term DebtProceeds]+SNAMEB[TransfersIn/Other Financing]+SNAMEB[Fixed Asset Disposition]+SNAMEB[Beginning Fund Balance]</f>
        <v>15826311</v>
      </c>
    </row>
    <row r="101" spans="1:54" x14ac:dyDescent="0.2">
      <c r="A101" s="390">
        <v>13</v>
      </c>
      <c r="B101" s="391" t="s">
        <v>175</v>
      </c>
      <c r="C101" s="631">
        <v>1970</v>
      </c>
      <c r="D101" t="s">
        <v>1099</v>
      </c>
      <c r="E101" s="392">
        <v>105516</v>
      </c>
      <c r="F101" s="392">
        <v>96381</v>
      </c>
      <c r="G101" s="392">
        <v>2242</v>
      </c>
      <c r="H101" s="392">
        <v>0</v>
      </c>
      <c r="I101" s="392">
        <v>0</v>
      </c>
      <c r="J101" s="392">
        <v>0</v>
      </c>
      <c r="K101" s="392">
        <v>459129</v>
      </c>
      <c r="L101" s="392">
        <v>30762</v>
      </c>
      <c r="M101" s="392">
        <v>32237</v>
      </c>
      <c r="N101" s="392">
        <v>162836</v>
      </c>
      <c r="O101" s="392">
        <v>14371</v>
      </c>
      <c r="P101" s="392">
        <v>-17364</v>
      </c>
      <c r="Q101" s="392">
        <v>886110</v>
      </c>
      <c r="R101" s="392">
        <v>2285611</v>
      </c>
      <c r="S101" s="392">
        <v>78099</v>
      </c>
      <c r="T101" s="392">
        <v>228288</v>
      </c>
      <c r="U101" s="392">
        <v>403221</v>
      </c>
      <c r="V101" s="392">
        <v>1818</v>
      </c>
      <c r="W101" s="392">
        <v>113352</v>
      </c>
      <c r="X101" s="392">
        <v>171394</v>
      </c>
      <c r="Y101" s="392">
        <v>339578</v>
      </c>
      <c r="Z101" s="392">
        <v>0</v>
      </c>
      <c r="AA101" s="392">
        <v>3349650</v>
      </c>
      <c r="AB101" s="392">
        <v>0</v>
      </c>
      <c r="AC101" s="392">
        <v>712229</v>
      </c>
      <c r="AD101" s="392">
        <v>15709</v>
      </c>
      <c r="AE101" s="392">
        <v>117281</v>
      </c>
      <c r="AF101" s="392">
        <v>382960</v>
      </c>
      <c r="AG101" s="392">
        <v>8199189</v>
      </c>
      <c r="AH101" s="392">
        <v>0</v>
      </c>
      <c r="AI101" s="392">
        <v>228016</v>
      </c>
      <c r="AJ101" s="392">
        <v>0</v>
      </c>
      <c r="AK101" s="392">
        <v>8427205</v>
      </c>
      <c r="AL101" s="392">
        <v>467524</v>
      </c>
      <c r="AM101" s="392">
        <v>4654483</v>
      </c>
      <c r="AN101" s="392">
        <v>57082</v>
      </c>
      <c r="AO101" s="392">
        <v>322724</v>
      </c>
      <c r="AP101" s="392">
        <v>255971</v>
      </c>
      <c r="AQ101" s="392">
        <v>388278</v>
      </c>
      <c r="AR101" s="392">
        <v>108994</v>
      </c>
      <c r="AS101" s="392">
        <v>503459</v>
      </c>
      <c r="AT101" s="392">
        <v>338301</v>
      </c>
      <c r="AU101" s="392">
        <v>413399</v>
      </c>
      <c r="AV101" s="392">
        <v>75720</v>
      </c>
      <c r="AW101" s="392">
        <v>449729</v>
      </c>
      <c r="AX101" s="392">
        <v>216594</v>
      </c>
      <c r="AY101" s="786">
        <v>223885</v>
      </c>
      <c r="AZ101" s="392">
        <v>886110</v>
      </c>
      <c r="BA101" s="639">
        <f>SUM(SNAMEB[[#This Row],[Instruction Expenditures]:[Transfers Out/OtherFinancing]])+SUM(SNAMEB[[#This Row],[General Fund Balance]:[Other Enterprise FundBalance]])</f>
        <v>8894729</v>
      </c>
      <c r="BB101" s="639">
        <f>SUM(SNAMEB[[#This Row],[Property Tax Revenue]:[IDEA/Other Fed Revenue]])+SNAMEB[General Long-term DebtProceeds]+SNAMEB[TransfersIn/Other Financing]+SNAMEB[Fixed Asset Disposition]+SNAMEB[Beginning Fund Balance]</f>
        <v>8894730</v>
      </c>
    </row>
    <row r="102" spans="1:54" x14ac:dyDescent="0.2">
      <c r="A102" s="390">
        <v>1</v>
      </c>
      <c r="B102" s="391" t="s">
        <v>176</v>
      </c>
      <c r="C102" s="631">
        <v>1972</v>
      </c>
      <c r="D102" t="s">
        <v>1100</v>
      </c>
      <c r="E102" s="392">
        <v>571677</v>
      </c>
      <c r="F102" s="392">
        <v>42561</v>
      </c>
      <c r="G102" s="392">
        <v>250593</v>
      </c>
      <c r="H102" s="392">
        <v>0</v>
      </c>
      <c r="I102" s="392">
        <v>0</v>
      </c>
      <c r="J102" s="392">
        <v>0</v>
      </c>
      <c r="K102" s="392">
        <v>400972</v>
      </c>
      <c r="L102" s="392">
        <v>57004</v>
      </c>
      <c r="M102" s="392">
        <v>1</v>
      </c>
      <c r="N102" s="392">
        <v>22218</v>
      </c>
      <c r="O102" s="392">
        <v>-20542</v>
      </c>
      <c r="P102" s="392">
        <v>0</v>
      </c>
      <c r="Q102" s="392">
        <v>1324483</v>
      </c>
      <c r="R102" s="392">
        <v>1645218</v>
      </c>
      <c r="S102" s="392">
        <v>592070</v>
      </c>
      <c r="T102" s="392">
        <v>195254</v>
      </c>
      <c r="U102" s="392">
        <v>148927</v>
      </c>
      <c r="V102" s="392">
        <v>5080</v>
      </c>
      <c r="W102" s="392">
        <v>147964</v>
      </c>
      <c r="X102" s="392">
        <v>123466</v>
      </c>
      <c r="Y102" s="392">
        <v>67764</v>
      </c>
      <c r="Z102" s="392">
        <v>99</v>
      </c>
      <c r="AA102" s="392">
        <v>1621706</v>
      </c>
      <c r="AB102" s="392">
        <v>0</v>
      </c>
      <c r="AC102" s="392">
        <v>469948</v>
      </c>
      <c r="AD102" s="392">
        <v>24328</v>
      </c>
      <c r="AE102" s="392">
        <v>51770</v>
      </c>
      <c r="AF102" s="392">
        <v>175085</v>
      </c>
      <c r="AG102" s="392">
        <v>5268679</v>
      </c>
      <c r="AH102" s="392">
        <v>37515</v>
      </c>
      <c r="AI102" s="392">
        <v>98105</v>
      </c>
      <c r="AJ102" s="392">
        <v>0</v>
      </c>
      <c r="AK102" s="392">
        <v>5404299</v>
      </c>
      <c r="AL102" s="392">
        <v>1412508</v>
      </c>
      <c r="AM102" s="392">
        <v>2846886</v>
      </c>
      <c r="AN102" s="392">
        <v>145049</v>
      </c>
      <c r="AO102" s="392">
        <v>197375</v>
      </c>
      <c r="AP102" s="392">
        <v>104516</v>
      </c>
      <c r="AQ102" s="392">
        <v>268612</v>
      </c>
      <c r="AR102" s="392">
        <v>89355</v>
      </c>
      <c r="AS102" s="392">
        <v>463448</v>
      </c>
      <c r="AT102" s="392">
        <v>312235</v>
      </c>
      <c r="AU102" s="392">
        <v>252289</v>
      </c>
      <c r="AV102" s="392">
        <v>88335</v>
      </c>
      <c r="AW102" s="392">
        <v>476478</v>
      </c>
      <c r="AX102" s="392">
        <v>156888</v>
      </c>
      <c r="AY102" s="786">
        <v>90860</v>
      </c>
      <c r="AZ102" s="392">
        <v>1324483</v>
      </c>
      <c r="BA102" s="639">
        <f>SUM(SNAMEB[[#This Row],[Instruction Expenditures]:[Transfers Out/OtherFinancing]])+SUM(SNAMEB[[#This Row],[General Fund Balance]:[Other Enterprise FundBalance]])</f>
        <v>6816810</v>
      </c>
      <c r="BB102" s="639">
        <f>SUM(SNAMEB[[#This Row],[Property Tax Revenue]:[IDEA/Other Fed Revenue]])+SNAMEB[General Long-term DebtProceeds]+SNAMEB[TransfersIn/Other Financing]+SNAMEB[Fixed Asset Disposition]+SNAMEB[Beginning Fund Balance]</f>
        <v>6816807</v>
      </c>
    </row>
    <row r="103" spans="1:54" x14ac:dyDescent="0.2">
      <c r="A103" s="390">
        <v>9</v>
      </c>
      <c r="B103" s="391" t="s">
        <v>174</v>
      </c>
      <c r="C103" s="631">
        <v>1965</v>
      </c>
      <c r="D103" t="s">
        <v>1524</v>
      </c>
      <c r="E103" s="392">
        <v>781254</v>
      </c>
      <c r="F103" s="392">
        <v>176361</v>
      </c>
      <c r="G103" s="392">
        <v>153302</v>
      </c>
      <c r="H103" s="392">
        <v>0</v>
      </c>
      <c r="I103" s="392">
        <v>0</v>
      </c>
      <c r="J103" s="392">
        <v>0</v>
      </c>
      <c r="K103" s="392">
        <v>1350305</v>
      </c>
      <c r="L103" s="392">
        <v>774072</v>
      </c>
      <c r="M103" s="392">
        <v>1021594</v>
      </c>
      <c r="N103" s="392">
        <v>0</v>
      </c>
      <c r="O103" s="392">
        <v>89010</v>
      </c>
      <c r="P103" s="392">
        <v>14353</v>
      </c>
      <c r="Q103" s="392">
        <v>4360251</v>
      </c>
      <c r="R103" s="392">
        <v>3151103</v>
      </c>
      <c r="S103" s="392">
        <v>57874</v>
      </c>
      <c r="T103" s="392">
        <v>0</v>
      </c>
      <c r="U103" s="392">
        <v>161173</v>
      </c>
      <c r="V103" s="392">
        <v>20225</v>
      </c>
      <c r="W103" s="392">
        <v>107490</v>
      </c>
      <c r="X103" s="392">
        <v>125097</v>
      </c>
      <c r="Y103" s="392">
        <v>192442</v>
      </c>
      <c r="Z103" s="392">
        <v>0</v>
      </c>
      <c r="AA103" s="392">
        <v>3952209</v>
      </c>
      <c r="AB103" s="392">
        <v>0</v>
      </c>
      <c r="AC103" s="392">
        <v>663523</v>
      </c>
      <c r="AD103" s="392">
        <v>26251</v>
      </c>
      <c r="AE103" s="392">
        <v>72468</v>
      </c>
      <c r="AF103" s="392">
        <v>317094</v>
      </c>
      <c r="AG103" s="392">
        <v>8846949</v>
      </c>
      <c r="AH103" s="392">
        <v>4695000</v>
      </c>
      <c r="AI103" s="392">
        <v>4980320</v>
      </c>
      <c r="AJ103" s="392">
        <v>0</v>
      </c>
      <c r="AK103" s="392">
        <v>18522269</v>
      </c>
      <c r="AL103" s="392">
        <v>5549902</v>
      </c>
      <c r="AM103" s="392">
        <v>5452474</v>
      </c>
      <c r="AN103" s="392">
        <v>200745</v>
      </c>
      <c r="AO103" s="392">
        <v>416921</v>
      </c>
      <c r="AP103" s="392">
        <v>204705</v>
      </c>
      <c r="AQ103" s="392">
        <v>295805</v>
      </c>
      <c r="AR103" s="392">
        <v>158015</v>
      </c>
      <c r="AS103" s="392">
        <v>586113</v>
      </c>
      <c r="AT103" s="392">
        <v>424459</v>
      </c>
      <c r="AU103" s="392">
        <v>224227</v>
      </c>
      <c r="AV103" s="392">
        <v>5433025</v>
      </c>
      <c r="AW103" s="392">
        <v>709463</v>
      </c>
      <c r="AX103" s="392">
        <v>276093</v>
      </c>
      <c r="AY103" s="786">
        <v>5329874</v>
      </c>
      <c r="AZ103" s="392">
        <v>4360251</v>
      </c>
      <c r="BA103" s="639">
        <f>SUM(SNAMEB[[#This Row],[Instruction Expenditures]:[Transfers Out/OtherFinancing]])+SUM(SNAMEB[[#This Row],[General Fund Balance]:[Other Enterprise FundBalance]])</f>
        <v>24072170</v>
      </c>
      <c r="BB103" s="639">
        <f>SUM(SNAMEB[[#This Row],[Property Tax Revenue]:[IDEA/Other Fed Revenue]])+SNAMEB[General Long-term DebtProceeds]+SNAMEB[TransfersIn/Other Financing]+SNAMEB[Fixed Asset Disposition]+SNAMEB[Beginning Fund Balance]</f>
        <v>24072171</v>
      </c>
    </row>
    <row r="104" spans="1:54" x14ac:dyDescent="0.2">
      <c r="A104" s="390">
        <v>15</v>
      </c>
      <c r="B104" s="391" t="s">
        <v>112</v>
      </c>
      <c r="C104" s="631">
        <v>657</v>
      </c>
      <c r="D104" t="s">
        <v>1495</v>
      </c>
      <c r="E104" s="392">
        <v>1808553</v>
      </c>
      <c r="F104" s="392">
        <v>92417</v>
      </c>
      <c r="G104" s="392">
        <v>892230</v>
      </c>
      <c r="H104" s="392">
        <v>0</v>
      </c>
      <c r="I104" s="392">
        <v>104978</v>
      </c>
      <c r="J104" s="392">
        <v>0</v>
      </c>
      <c r="K104" s="392">
        <v>198053</v>
      </c>
      <c r="L104" s="392">
        <v>22653</v>
      </c>
      <c r="M104" s="392">
        <v>0</v>
      </c>
      <c r="N104" s="392">
        <v>0</v>
      </c>
      <c r="O104" s="392">
        <v>-18513</v>
      </c>
      <c r="P104" s="392">
        <v>26522</v>
      </c>
      <c r="Q104" s="392">
        <v>3126894</v>
      </c>
      <c r="R104" s="392">
        <v>3716254</v>
      </c>
      <c r="S104" s="392">
        <v>681218</v>
      </c>
      <c r="T104" s="392">
        <v>189670</v>
      </c>
      <c r="U104" s="392">
        <v>1266901</v>
      </c>
      <c r="V104" s="392">
        <v>43731</v>
      </c>
      <c r="W104" s="392">
        <v>192255</v>
      </c>
      <c r="X104" s="392">
        <v>313343</v>
      </c>
      <c r="Y104" s="392">
        <v>274324</v>
      </c>
      <c r="Z104" s="392">
        <v>0</v>
      </c>
      <c r="AA104" s="392">
        <v>4245385</v>
      </c>
      <c r="AB104" s="392">
        <v>0</v>
      </c>
      <c r="AC104" s="392">
        <v>951020</v>
      </c>
      <c r="AD104" s="392">
        <v>168344</v>
      </c>
      <c r="AE104" s="392">
        <v>132055</v>
      </c>
      <c r="AF104" s="392">
        <v>384613</v>
      </c>
      <c r="AG104" s="392">
        <v>12559111</v>
      </c>
      <c r="AH104" s="392">
        <v>0</v>
      </c>
      <c r="AI104" s="392">
        <v>235576</v>
      </c>
      <c r="AJ104" s="392">
        <v>0</v>
      </c>
      <c r="AK104" s="392">
        <v>12794688</v>
      </c>
      <c r="AL104" s="392">
        <v>3471346</v>
      </c>
      <c r="AM104" s="392">
        <v>7479840</v>
      </c>
      <c r="AN104" s="392">
        <v>94050</v>
      </c>
      <c r="AO104" s="392">
        <v>309044</v>
      </c>
      <c r="AP104" s="392">
        <v>414212</v>
      </c>
      <c r="AQ104" s="392">
        <v>470590</v>
      </c>
      <c r="AR104" s="392">
        <v>438105</v>
      </c>
      <c r="AS104" s="392">
        <v>993776</v>
      </c>
      <c r="AT104" s="392">
        <v>839402</v>
      </c>
      <c r="AU104" s="392">
        <v>654282</v>
      </c>
      <c r="AV104" s="392">
        <v>393811</v>
      </c>
      <c r="AW104" s="392">
        <v>235576</v>
      </c>
      <c r="AX104" s="392">
        <v>356681</v>
      </c>
      <c r="AY104" s="786">
        <v>459770</v>
      </c>
      <c r="AZ104" s="392">
        <v>3126894</v>
      </c>
      <c r="BA104" s="639">
        <f>SUM(SNAMEB[[#This Row],[Instruction Expenditures]:[Transfers Out/OtherFinancing]])+SUM(SNAMEB[[#This Row],[General Fund Balance]:[Other Enterprise FundBalance]])</f>
        <v>16266032</v>
      </c>
      <c r="BB104" s="639">
        <f>SUM(SNAMEB[[#This Row],[Property Tax Revenue]:[IDEA/Other Fed Revenue]])+SNAMEB[General Long-term DebtProceeds]+SNAMEB[TransfersIn/Other Financing]+SNAMEB[Fixed Asset Disposition]+SNAMEB[Beginning Fund Balance]</f>
        <v>16266035</v>
      </c>
    </row>
    <row r="105" spans="1:54" x14ac:dyDescent="0.2">
      <c r="A105" s="390">
        <v>1</v>
      </c>
      <c r="B105" s="391" t="s">
        <v>178</v>
      </c>
      <c r="C105" s="631">
        <v>1989</v>
      </c>
      <c r="D105" t="s">
        <v>1102</v>
      </c>
      <c r="E105" s="392">
        <v>797948</v>
      </c>
      <c r="F105" s="392">
        <v>143857</v>
      </c>
      <c r="G105" s="392">
        <v>107168</v>
      </c>
      <c r="H105" s="392">
        <v>0</v>
      </c>
      <c r="I105" s="392">
        <v>0</v>
      </c>
      <c r="J105" s="392">
        <v>0</v>
      </c>
      <c r="K105" s="392">
        <v>719264</v>
      </c>
      <c r="L105" s="392">
        <v>74843</v>
      </c>
      <c r="M105" s="392">
        <v>0</v>
      </c>
      <c r="N105" s="392">
        <v>19172</v>
      </c>
      <c r="O105" s="392">
        <v>132113</v>
      </c>
      <c r="P105" s="392">
        <v>0</v>
      </c>
      <c r="Q105" s="392">
        <v>1994365</v>
      </c>
      <c r="R105" s="392">
        <v>2016062</v>
      </c>
      <c r="S105" s="392">
        <v>23008</v>
      </c>
      <c r="T105" s="392">
        <v>181026</v>
      </c>
      <c r="U105" s="392">
        <v>1088674</v>
      </c>
      <c r="V105" s="392">
        <v>10477</v>
      </c>
      <c r="W105" s="392">
        <v>152456</v>
      </c>
      <c r="X105" s="392">
        <v>250808</v>
      </c>
      <c r="Y105" s="392">
        <v>231710</v>
      </c>
      <c r="Z105" s="392">
        <v>0</v>
      </c>
      <c r="AA105" s="392">
        <v>2201502</v>
      </c>
      <c r="AB105" s="392">
        <v>0</v>
      </c>
      <c r="AC105" s="392">
        <v>520124</v>
      </c>
      <c r="AD105" s="392">
        <v>19705</v>
      </c>
      <c r="AE105" s="392">
        <v>148804</v>
      </c>
      <c r="AF105" s="392">
        <v>288131</v>
      </c>
      <c r="AG105" s="392">
        <v>7132488</v>
      </c>
      <c r="AH105" s="392">
        <v>186922</v>
      </c>
      <c r="AI105" s="392">
        <v>14053</v>
      </c>
      <c r="AJ105" s="392">
        <v>0</v>
      </c>
      <c r="AK105" s="392">
        <v>7333462</v>
      </c>
      <c r="AL105" s="392">
        <v>2318760</v>
      </c>
      <c r="AM105" s="392">
        <v>4438387</v>
      </c>
      <c r="AN105" s="392">
        <v>201123</v>
      </c>
      <c r="AO105" s="392">
        <v>269786</v>
      </c>
      <c r="AP105" s="392">
        <v>141183</v>
      </c>
      <c r="AQ105" s="392">
        <v>216646</v>
      </c>
      <c r="AR105" s="392">
        <v>182759</v>
      </c>
      <c r="AS105" s="392">
        <v>471125</v>
      </c>
      <c r="AT105" s="392">
        <v>496120</v>
      </c>
      <c r="AU105" s="392">
        <v>290195</v>
      </c>
      <c r="AV105" s="392">
        <v>293485</v>
      </c>
      <c r="AW105" s="392">
        <v>401150</v>
      </c>
      <c r="AX105" s="392">
        <v>178502</v>
      </c>
      <c r="AY105" s="786">
        <v>77399</v>
      </c>
      <c r="AZ105" s="392">
        <v>1994365</v>
      </c>
      <c r="BA105" s="639">
        <f>SUM(SNAMEB[[#This Row],[Instruction Expenditures]:[Transfers Out/OtherFinancing]])+SUM(SNAMEB[[#This Row],[General Fund Balance]:[Other Enterprise FundBalance]])</f>
        <v>9652225</v>
      </c>
      <c r="BB105" s="639">
        <f>SUM(SNAMEB[[#This Row],[Property Tax Revenue]:[IDEA/Other Fed Revenue]])+SNAMEB[General Long-term DebtProceeds]+SNAMEB[TransfersIn/Other Financing]+SNAMEB[Fixed Asset Disposition]+SNAMEB[Beginning Fund Balance]</f>
        <v>9652222</v>
      </c>
    </row>
    <row r="106" spans="1:54" x14ac:dyDescent="0.2">
      <c r="A106" s="390">
        <v>7</v>
      </c>
      <c r="B106" s="391" t="s">
        <v>179</v>
      </c>
      <c r="C106" s="631">
        <v>2007</v>
      </c>
      <c r="D106" t="s">
        <v>1103</v>
      </c>
      <c r="E106" s="392">
        <v>2539055</v>
      </c>
      <c r="F106" s="392">
        <v>82631</v>
      </c>
      <c r="G106" s="392">
        <v>854988</v>
      </c>
      <c r="H106" s="392">
        <v>0</v>
      </c>
      <c r="I106" s="392">
        <v>0</v>
      </c>
      <c r="J106" s="392">
        <v>0</v>
      </c>
      <c r="K106" s="392">
        <v>682858</v>
      </c>
      <c r="L106" s="392">
        <v>227763</v>
      </c>
      <c r="M106" s="392">
        <v>0</v>
      </c>
      <c r="N106" s="392">
        <v>0</v>
      </c>
      <c r="O106" s="392">
        <v>-112563</v>
      </c>
      <c r="P106" s="392">
        <v>0</v>
      </c>
      <c r="Q106" s="392">
        <v>4274732</v>
      </c>
      <c r="R106" s="392">
        <v>2624480</v>
      </c>
      <c r="S106" s="392">
        <v>100928</v>
      </c>
      <c r="T106" s="392">
        <v>157464</v>
      </c>
      <c r="U106" s="392">
        <v>1004980</v>
      </c>
      <c r="V106" s="392">
        <v>20211</v>
      </c>
      <c r="W106" s="392">
        <v>135580</v>
      </c>
      <c r="X106" s="392">
        <v>170288</v>
      </c>
      <c r="Y106" s="392">
        <v>553061</v>
      </c>
      <c r="Z106" s="392">
        <v>0</v>
      </c>
      <c r="AA106" s="392">
        <v>4350628</v>
      </c>
      <c r="AB106" s="392">
        <v>0</v>
      </c>
      <c r="AC106" s="392">
        <v>643227</v>
      </c>
      <c r="AD106" s="392">
        <v>34649</v>
      </c>
      <c r="AE106" s="392">
        <v>143490</v>
      </c>
      <c r="AF106" s="392">
        <v>310139</v>
      </c>
      <c r="AG106" s="392">
        <v>10249126</v>
      </c>
      <c r="AH106" s="392">
        <v>0</v>
      </c>
      <c r="AI106" s="392">
        <v>671709</v>
      </c>
      <c r="AJ106" s="392">
        <v>0</v>
      </c>
      <c r="AK106" s="392">
        <v>10920835</v>
      </c>
      <c r="AL106" s="392">
        <v>3940985</v>
      </c>
      <c r="AM106" s="392">
        <v>6236298</v>
      </c>
      <c r="AN106" s="392">
        <v>240540</v>
      </c>
      <c r="AO106" s="392">
        <v>226586</v>
      </c>
      <c r="AP106" s="392">
        <v>243304</v>
      </c>
      <c r="AQ106" s="392">
        <v>401232</v>
      </c>
      <c r="AR106" s="392">
        <v>94280</v>
      </c>
      <c r="AS106" s="392">
        <v>720561</v>
      </c>
      <c r="AT106" s="392">
        <v>387590</v>
      </c>
      <c r="AU106" s="392">
        <v>348580</v>
      </c>
      <c r="AV106" s="392">
        <v>36666</v>
      </c>
      <c r="AW106" s="392">
        <v>672709</v>
      </c>
      <c r="AX106" s="392">
        <v>300158</v>
      </c>
      <c r="AY106" s="786">
        <v>678584</v>
      </c>
      <c r="AZ106" s="392">
        <v>4274732</v>
      </c>
      <c r="BA106" s="639">
        <f>SUM(SNAMEB[[#This Row],[Instruction Expenditures]:[Transfers Out/OtherFinancing]])+SUM(SNAMEB[[#This Row],[General Fund Balance]:[Other Enterprise FundBalance]])</f>
        <v>14861820</v>
      </c>
      <c r="BB106" s="639">
        <f>SUM(SNAMEB[[#This Row],[Property Tax Revenue]:[IDEA/Other Fed Revenue]])+SNAMEB[General Long-term DebtProceeds]+SNAMEB[TransfersIn/Other Financing]+SNAMEB[Fixed Asset Disposition]+SNAMEB[Beginning Fund Balance]</f>
        <v>14861819</v>
      </c>
    </row>
    <row r="107" spans="1:54" x14ac:dyDescent="0.2">
      <c r="A107" s="390">
        <v>5</v>
      </c>
      <c r="B107" s="391" t="s">
        <v>180</v>
      </c>
      <c r="C107" s="631">
        <v>2088</v>
      </c>
      <c r="D107" t="s">
        <v>1104</v>
      </c>
      <c r="E107" s="392">
        <v>1749729</v>
      </c>
      <c r="F107" s="392">
        <v>105471</v>
      </c>
      <c r="G107" s="392">
        <v>188871</v>
      </c>
      <c r="H107" s="392">
        <v>0</v>
      </c>
      <c r="I107" s="392">
        <v>0</v>
      </c>
      <c r="J107" s="392">
        <v>0</v>
      </c>
      <c r="K107" s="392">
        <v>1011198</v>
      </c>
      <c r="L107" s="392">
        <v>224714</v>
      </c>
      <c r="M107" s="392">
        <v>0</v>
      </c>
      <c r="N107" s="392">
        <v>30093</v>
      </c>
      <c r="O107" s="392">
        <v>-47122</v>
      </c>
      <c r="P107" s="392">
        <v>0</v>
      </c>
      <c r="Q107" s="392">
        <v>3262955</v>
      </c>
      <c r="R107" s="392">
        <v>4232523</v>
      </c>
      <c r="S107" s="392">
        <v>87670</v>
      </c>
      <c r="T107" s="392">
        <v>543419</v>
      </c>
      <c r="U107" s="392">
        <v>894248</v>
      </c>
      <c r="V107" s="392">
        <v>23186</v>
      </c>
      <c r="W107" s="392">
        <v>250770</v>
      </c>
      <c r="X107" s="392">
        <v>302366</v>
      </c>
      <c r="Y107" s="392">
        <v>200391</v>
      </c>
      <c r="Z107" s="392">
        <v>0</v>
      </c>
      <c r="AA107" s="392">
        <v>3296006</v>
      </c>
      <c r="AB107" s="392">
        <v>0</v>
      </c>
      <c r="AC107" s="392">
        <v>875286</v>
      </c>
      <c r="AD107" s="392">
        <v>116013</v>
      </c>
      <c r="AE107" s="392">
        <v>112212</v>
      </c>
      <c r="AF107" s="392">
        <v>366298</v>
      </c>
      <c r="AG107" s="392">
        <v>11300388</v>
      </c>
      <c r="AH107" s="392">
        <v>0</v>
      </c>
      <c r="AI107" s="392">
        <v>387638</v>
      </c>
      <c r="AJ107" s="392">
        <v>0</v>
      </c>
      <c r="AK107" s="392">
        <v>11688025</v>
      </c>
      <c r="AL107" s="392">
        <v>8181037</v>
      </c>
      <c r="AM107" s="392">
        <v>6498179</v>
      </c>
      <c r="AN107" s="392">
        <v>174040</v>
      </c>
      <c r="AO107" s="392">
        <v>218284</v>
      </c>
      <c r="AP107" s="392">
        <v>193330</v>
      </c>
      <c r="AQ107" s="392">
        <v>484324</v>
      </c>
      <c r="AR107" s="392">
        <v>123233</v>
      </c>
      <c r="AS107" s="392">
        <v>694475</v>
      </c>
      <c r="AT107" s="392">
        <v>473617</v>
      </c>
      <c r="AU107" s="392">
        <v>482936</v>
      </c>
      <c r="AV107" s="392">
        <v>518547</v>
      </c>
      <c r="AW107" s="392">
        <v>5877084</v>
      </c>
      <c r="AX107" s="392">
        <v>292857</v>
      </c>
      <c r="AY107" s="786">
        <v>575202</v>
      </c>
      <c r="AZ107" s="392">
        <v>3262955</v>
      </c>
      <c r="BA107" s="639">
        <f>SUM(SNAMEB[[#This Row],[Instruction Expenditures]:[Transfers Out/OtherFinancing]])+SUM(SNAMEB[[#This Row],[General Fund Balance]:[Other Enterprise FundBalance]])</f>
        <v>19869062</v>
      </c>
      <c r="BB107" s="639">
        <f>SUM(SNAMEB[[#This Row],[Property Tax Revenue]:[IDEA/Other Fed Revenue]])+SNAMEB[General Long-term DebtProceeds]+SNAMEB[TransfersIn/Other Financing]+SNAMEB[Fixed Asset Disposition]+SNAMEB[Beginning Fund Balance]</f>
        <v>19869063</v>
      </c>
    </row>
    <row r="108" spans="1:54" x14ac:dyDescent="0.2">
      <c r="A108" s="390">
        <v>10</v>
      </c>
      <c r="B108" s="391" t="s">
        <v>181</v>
      </c>
      <c r="C108" s="631">
        <v>2097</v>
      </c>
      <c r="D108" t="s">
        <v>656</v>
      </c>
      <c r="E108" s="392">
        <v>-237432</v>
      </c>
      <c r="F108" s="392">
        <v>100025</v>
      </c>
      <c r="G108" s="392">
        <v>171181</v>
      </c>
      <c r="H108" s="392">
        <v>0</v>
      </c>
      <c r="I108" s="392">
        <v>0</v>
      </c>
      <c r="J108" s="392">
        <v>0</v>
      </c>
      <c r="K108" s="392">
        <v>239491</v>
      </c>
      <c r="L108" s="392">
        <v>266475</v>
      </c>
      <c r="M108" s="392">
        <v>0</v>
      </c>
      <c r="N108" s="392">
        <v>477244</v>
      </c>
      <c r="O108" s="392">
        <v>21535</v>
      </c>
      <c r="P108" s="392">
        <v>63428</v>
      </c>
      <c r="Q108" s="392">
        <v>1101946</v>
      </c>
      <c r="R108" s="392">
        <v>2361137</v>
      </c>
      <c r="S108" s="392">
        <v>86534</v>
      </c>
      <c r="T108" s="392">
        <v>318457</v>
      </c>
      <c r="U108" s="392">
        <v>274660</v>
      </c>
      <c r="V108" s="392">
        <v>1623</v>
      </c>
      <c r="W108" s="392">
        <v>108203</v>
      </c>
      <c r="X108" s="392">
        <v>195679</v>
      </c>
      <c r="Y108" s="392">
        <v>359450</v>
      </c>
      <c r="Z108" s="392">
        <v>0</v>
      </c>
      <c r="AA108" s="392">
        <v>2622297</v>
      </c>
      <c r="AB108" s="392">
        <v>0</v>
      </c>
      <c r="AC108" s="392">
        <v>428911</v>
      </c>
      <c r="AD108" s="392">
        <v>12907</v>
      </c>
      <c r="AE108" s="392">
        <v>82056</v>
      </c>
      <c r="AF108" s="392">
        <v>274672</v>
      </c>
      <c r="AG108" s="392">
        <v>7126587</v>
      </c>
      <c r="AH108" s="392">
        <v>91062</v>
      </c>
      <c r="AI108" s="392">
        <v>356356</v>
      </c>
      <c r="AJ108" s="392">
        <v>0</v>
      </c>
      <c r="AK108" s="392">
        <v>7574005</v>
      </c>
      <c r="AL108" s="392">
        <v>1412578</v>
      </c>
      <c r="AM108" s="392">
        <v>4500304</v>
      </c>
      <c r="AN108" s="392">
        <v>2118</v>
      </c>
      <c r="AO108" s="392">
        <v>91903</v>
      </c>
      <c r="AP108" s="392">
        <v>214523</v>
      </c>
      <c r="AQ108" s="392">
        <v>291789</v>
      </c>
      <c r="AR108" s="392">
        <v>168023</v>
      </c>
      <c r="AS108" s="392">
        <v>381500</v>
      </c>
      <c r="AT108" s="392">
        <v>306077</v>
      </c>
      <c r="AU108" s="392">
        <v>362667</v>
      </c>
      <c r="AV108" s="392">
        <v>56065</v>
      </c>
      <c r="AW108" s="392">
        <v>590887</v>
      </c>
      <c r="AX108" s="392">
        <v>210204</v>
      </c>
      <c r="AY108" s="786">
        <v>708579</v>
      </c>
      <c r="AZ108" s="392">
        <v>1101946</v>
      </c>
      <c r="BA108" s="639">
        <f>SUM(SNAMEB[[#This Row],[Instruction Expenditures]:[Transfers Out/OtherFinancing]])+SUM(SNAMEB[[#This Row],[General Fund Balance]:[Other Enterprise FundBalance]])</f>
        <v>8986586</v>
      </c>
      <c r="BB108" s="639">
        <f>SUM(SNAMEB[[#This Row],[Property Tax Revenue]:[IDEA/Other Fed Revenue]])+SNAMEB[General Long-term DebtProceeds]+SNAMEB[TransfersIn/Other Financing]+SNAMEB[Fixed Asset Disposition]+SNAMEB[Beginning Fund Balance]</f>
        <v>8986582</v>
      </c>
    </row>
    <row r="109" spans="1:54" x14ac:dyDescent="0.2">
      <c r="A109" s="390">
        <v>13</v>
      </c>
      <c r="B109" s="391" t="s">
        <v>182</v>
      </c>
      <c r="C109" s="631">
        <v>2113</v>
      </c>
      <c r="D109" t="s">
        <v>1105</v>
      </c>
      <c r="E109" s="392">
        <v>905066</v>
      </c>
      <c r="F109" s="392">
        <v>45959</v>
      </c>
      <c r="G109" s="392">
        <v>207377</v>
      </c>
      <c r="H109" s="392">
        <v>0</v>
      </c>
      <c r="I109" s="392">
        <v>0</v>
      </c>
      <c r="J109" s="392">
        <v>0</v>
      </c>
      <c r="K109" s="392">
        <v>431157</v>
      </c>
      <c r="L109" s="392">
        <v>13390</v>
      </c>
      <c r="M109" s="392">
        <v>0</v>
      </c>
      <c r="N109" s="392">
        <v>89237</v>
      </c>
      <c r="O109" s="392">
        <v>5589</v>
      </c>
      <c r="P109" s="392">
        <v>0</v>
      </c>
      <c r="Q109" s="392">
        <v>1697774</v>
      </c>
      <c r="R109" s="392">
        <v>1199808</v>
      </c>
      <c r="S109" s="392">
        <v>36464</v>
      </c>
      <c r="T109" s="392">
        <v>97205</v>
      </c>
      <c r="U109" s="392">
        <v>362726</v>
      </c>
      <c r="V109" s="392">
        <v>4714</v>
      </c>
      <c r="W109" s="392">
        <v>53222</v>
      </c>
      <c r="X109" s="392">
        <v>134682</v>
      </c>
      <c r="Y109" s="392">
        <v>113158</v>
      </c>
      <c r="Z109" s="392">
        <v>0</v>
      </c>
      <c r="AA109" s="392">
        <v>1403370</v>
      </c>
      <c r="AB109" s="392">
        <v>0</v>
      </c>
      <c r="AC109" s="392">
        <v>237025</v>
      </c>
      <c r="AD109" s="392">
        <v>6028</v>
      </c>
      <c r="AE109" s="392">
        <v>28035</v>
      </c>
      <c r="AF109" s="392">
        <v>129264</v>
      </c>
      <c r="AG109" s="392">
        <v>3805700</v>
      </c>
      <c r="AH109" s="392">
        <v>910000</v>
      </c>
      <c r="AI109" s="392">
        <v>127775</v>
      </c>
      <c r="AJ109" s="392">
        <v>0</v>
      </c>
      <c r="AK109" s="392">
        <v>4843476</v>
      </c>
      <c r="AL109" s="392">
        <v>1111943</v>
      </c>
      <c r="AM109" s="392">
        <v>2104298</v>
      </c>
      <c r="AN109" s="392">
        <v>46949</v>
      </c>
      <c r="AO109" s="392">
        <v>68245</v>
      </c>
      <c r="AP109" s="392">
        <v>120696</v>
      </c>
      <c r="AQ109" s="392">
        <v>171049</v>
      </c>
      <c r="AR109" s="392">
        <v>60889</v>
      </c>
      <c r="AS109" s="392">
        <v>149739</v>
      </c>
      <c r="AT109" s="392">
        <v>100272</v>
      </c>
      <c r="AU109" s="392">
        <v>145717</v>
      </c>
      <c r="AV109" s="392">
        <v>1043362</v>
      </c>
      <c r="AW109" s="392">
        <v>69329</v>
      </c>
      <c r="AX109" s="392">
        <v>94331</v>
      </c>
      <c r="AY109" s="786">
        <v>82770</v>
      </c>
      <c r="AZ109" s="392">
        <v>1697774</v>
      </c>
      <c r="BA109" s="639">
        <f>SUM(SNAMEB[[#This Row],[Instruction Expenditures]:[Transfers Out/OtherFinancing]])+SUM(SNAMEB[[#This Row],[General Fund Balance]:[Other Enterprise FundBalance]])</f>
        <v>5955421</v>
      </c>
      <c r="BB109" s="639">
        <f>SUM(SNAMEB[[#This Row],[Property Tax Revenue]:[IDEA/Other Fed Revenue]])+SNAMEB[General Long-term DebtProceeds]+SNAMEB[TransfersIn/Other Financing]+SNAMEB[Fixed Asset Disposition]+SNAMEB[Beginning Fund Balance]</f>
        <v>5955419</v>
      </c>
    </row>
    <row r="110" spans="1:54" x14ac:dyDescent="0.2">
      <c r="A110" s="390">
        <v>5</v>
      </c>
      <c r="B110" s="391" t="s">
        <v>183</v>
      </c>
      <c r="C110" s="631">
        <v>2124</v>
      </c>
      <c r="D110" t="s">
        <v>1106</v>
      </c>
      <c r="E110" s="392">
        <v>2560992</v>
      </c>
      <c r="F110" s="392">
        <v>211177</v>
      </c>
      <c r="G110" s="392">
        <v>295535</v>
      </c>
      <c r="H110" s="392">
        <v>0</v>
      </c>
      <c r="I110" s="392">
        <v>42628</v>
      </c>
      <c r="J110" s="392">
        <v>0</v>
      </c>
      <c r="K110" s="392">
        <v>3236514</v>
      </c>
      <c r="L110" s="392">
        <v>306358</v>
      </c>
      <c r="M110" s="392">
        <v>0</v>
      </c>
      <c r="N110" s="392">
        <v>865831</v>
      </c>
      <c r="O110" s="392">
        <v>172145</v>
      </c>
      <c r="P110" s="392">
        <v>4750914</v>
      </c>
      <c r="Q110" s="392">
        <v>12442094</v>
      </c>
      <c r="R110" s="392">
        <v>5489083</v>
      </c>
      <c r="S110" s="392">
        <v>77111</v>
      </c>
      <c r="T110" s="392">
        <v>496257</v>
      </c>
      <c r="U110" s="392">
        <v>352685</v>
      </c>
      <c r="V110" s="392">
        <v>44439</v>
      </c>
      <c r="W110" s="392">
        <v>253159</v>
      </c>
      <c r="X110" s="392">
        <v>363633</v>
      </c>
      <c r="Y110" s="392">
        <v>679592</v>
      </c>
      <c r="Z110" s="392">
        <v>1500</v>
      </c>
      <c r="AA110" s="392">
        <v>8734457</v>
      </c>
      <c r="AB110" s="392">
        <v>0</v>
      </c>
      <c r="AC110" s="392">
        <v>1307156</v>
      </c>
      <c r="AD110" s="392">
        <v>121983</v>
      </c>
      <c r="AE110" s="392">
        <v>372421</v>
      </c>
      <c r="AF110" s="392">
        <v>663091</v>
      </c>
      <c r="AG110" s="392">
        <v>18956566</v>
      </c>
      <c r="AH110" s="392">
        <v>0</v>
      </c>
      <c r="AI110" s="392">
        <v>1110193</v>
      </c>
      <c r="AJ110" s="392">
        <v>5889</v>
      </c>
      <c r="AK110" s="392">
        <v>20072648</v>
      </c>
      <c r="AL110" s="392">
        <v>17721660</v>
      </c>
      <c r="AM110" s="392">
        <v>10463009</v>
      </c>
      <c r="AN110" s="392">
        <v>206796</v>
      </c>
      <c r="AO110" s="392">
        <v>917460</v>
      </c>
      <c r="AP110" s="392">
        <v>426475</v>
      </c>
      <c r="AQ110" s="392">
        <v>778034</v>
      </c>
      <c r="AR110" s="392">
        <v>288310</v>
      </c>
      <c r="AS110" s="392">
        <v>1406537</v>
      </c>
      <c r="AT110" s="392">
        <v>396782</v>
      </c>
      <c r="AU110" s="392">
        <v>1261241</v>
      </c>
      <c r="AV110" s="392">
        <v>6229742</v>
      </c>
      <c r="AW110" s="392">
        <v>1313883</v>
      </c>
      <c r="AX110" s="392">
        <v>599508</v>
      </c>
      <c r="AY110" s="786">
        <v>1064438</v>
      </c>
      <c r="AZ110" s="392">
        <v>12442094</v>
      </c>
      <c r="BA110" s="639">
        <f>SUM(SNAMEB[[#This Row],[Instruction Expenditures]:[Transfers Out/OtherFinancing]])+SUM(SNAMEB[[#This Row],[General Fund Balance]:[Other Enterprise FundBalance]])</f>
        <v>37794309</v>
      </c>
      <c r="BB110" s="639">
        <f>SUM(SNAMEB[[#This Row],[Property Tax Revenue]:[IDEA/Other Fed Revenue]])+SNAMEB[General Long-term DebtProceeds]+SNAMEB[TransfersIn/Other Financing]+SNAMEB[Fixed Asset Disposition]+SNAMEB[Beginning Fund Balance]</f>
        <v>37794309</v>
      </c>
    </row>
    <row r="111" spans="1:54" x14ac:dyDescent="0.2">
      <c r="A111" s="390">
        <v>11</v>
      </c>
      <c r="B111" s="391" t="s">
        <v>184</v>
      </c>
      <c r="C111" s="631">
        <v>2151</v>
      </c>
      <c r="D111" t="s">
        <v>1637</v>
      </c>
      <c r="E111" s="392">
        <v>1785248</v>
      </c>
      <c r="F111" s="392">
        <v>46015</v>
      </c>
      <c r="G111" s="392">
        <v>343193</v>
      </c>
      <c r="H111" s="392">
        <v>0</v>
      </c>
      <c r="I111" s="392">
        <v>0</v>
      </c>
      <c r="J111" s="392">
        <v>0</v>
      </c>
      <c r="K111" s="392">
        <v>744074</v>
      </c>
      <c r="L111" s="392">
        <v>512745</v>
      </c>
      <c r="M111" s="392">
        <v>0</v>
      </c>
      <c r="N111" s="392">
        <v>250082</v>
      </c>
      <c r="O111" s="392">
        <v>19911</v>
      </c>
      <c r="P111" s="392">
        <v>0</v>
      </c>
      <c r="Q111" s="392">
        <v>3701268</v>
      </c>
      <c r="R111" s="392">
        <v>2302014</v>
      </c>
      <c r="S111" s="392">
        <v>42</v>
      </c>
      <c r="T111" s="392">
        <v>176897</v>
      </c>
      <c r="U111" s="392">
        <v>113338</v>
      </c>
      <c r="V111" s="392">
        <v>9119</v>
      </c>
      <c r="W111" s="392">
        <v>101469</v>
      </c>
      <c r="X111" s="392">
        <v>138495</v>
      </c>
      <c r="Y111" s="392">
        <v>58917</v>
      </c>
      <c r="Z111" s="392">
        <v>0</v>
      </c>
      <c r="AA111" s="392">
        <v>2258870</v>
      </c>
      <c r="AB111" s="392">
        <v>0</v>
      </c>
      <c r="AC111" s="392">
        <v>423836</v>
      </c>
      <c r="AD111" s="392">
        <v>8562</v>
      </c>
      <c r="AE111" s="392">
        <v>74027</v>
      </c>
      <c r="AF111" s="392">
        <v>249984</v>
      </c>
      <c r="AG111" s="392">
        <v>5915571</v>
      </c>
      <c r="AH111" s="392">
        <v>0</v>
      </c>
      <c r="AI111" s="392">
        <v>131941</v>
      </c>
      <c r="AJ111" s="392">
        <v>750</v>
      </c>
      <c r="AK111" s="392">
        <v>6048262</v>
      </c>
      <c r="AL111" s="392">
        <v>3839738</v>
      </c>
      <c r="AM111" s="392">
        <v>3494855</v>
      </c>
      <c r="AN111" s="392">
        <v>64133</v>
      </c>
      <c r="AO111" s="392">
        <v>410162</v>
      </c>
      <c r="AP111" s="392">
        <v>183191</v>
      </c>
      <c r="AQ111" s="392">
        <v>237510</v>
      </c>
      <c r="AR111" s="392">
        <v>106120</v>
      </c>
      <c r="AS111" s="392">
        <v>482680</v>
      </c>
      <c r="AT111" s="392">
        <v>354429</v>
      </c>
      <c r="AU111" s="392">
        <v>223063</v>
      </c>
      <c r="AV111" s="392">
        <v>40684</v>
      </c>
      <c r="AW111" s="392">
        <v>250751</v>
      </c>
      <c r="AX111" s="392">
        <v>183876</v>
      </c>
      <c r="AY111" s="786">
        <v>155279</v>
      </c>
      <c r="AZ111" s="392">
        <v>3701268</v>
      </c>
      <c r="BA111" s="639">
        <f>SUM(SNAMEB[[#This Row],[Instruction Expenditures]:[Transfers Out/OtherFinancing]])+SUM(SNAMEB[[#This Row],[General Fund Balance]:[Other Enterprise FundBalance]])</f>
        <v>9888001</v>
      </c>
      <c r="BB111" s="639">
        <f>SUM(SNAMEB[[#This Row],[Property Tax Revenue]:[IDEA/Other Fed Revenue]])+SNAMEB[General Long-term DebtProceeds]+SNAMEB[TransfersIn/Other Financing]+SNAMEB[Fixed Asset Disposition]+SNAMEB[Beginning Fund Balance]</f>
        <v>9887999</v>
      </c>
    </row>
    <row r="112" spans="1:54" x14ac:dyDescent="0.2">
      <c r="A112" s="390">
        <v>15</v>
      </c>
      <c r="B112" s="391" t="s">
        <v>185</v>
      </c>
      <c r="C112" s="631">
        <v>2169</v>
      </c>
      <c r="D112" t="s">
        <v>1107</v>
      </c>
      <c r="E112" s="392">
        <v>4080455</v>
      </c>
      <c r="F112" s="392">
        <v>193874</v>
      </c>
      <c r="G112" s="392">
        <v>1686520</v>
      </c>
      <c r="H112" s="392">
        <v>0</v>
      </c>
      <c r="I112" s="392">
        <v>0</v>
      </c>
      <c r="J112" s="392">
        <v>0</v>
      </c>
      <c r="K112" s="392">
        <v>1576300</v>
      </c>
      <c r="L112" s="392">
        <v>1190530</v>
      </c>
      <c r="M112" s="392">
        <v>0</v>
      </c>
      <c r="N112" s="392">
        <v>2433038</v>
      </c>
      <c r="O112" s="392">
        <v>-82013</v>
      </c>
      <c r="P112" s="392">
        <v>0</v>
      </c>
      <c r="Q112" s="392">
        <v>11078704</v>
      </c>
      <c r="R112" s="392">
        <v>8886156</v>
      </c>
      <c r="S112" s="392">
        <v>156257</v>
      </c>
      <c r="T112" s="392">
        <v>577518</v>
      </c>
      <c r="U112" s="392">
        <v>876814</v>
      </c>
      <c r="V112" s="392">
        <v>77425</v>
      </c>
      <c r="W112" s="392">
        <v>267773</v>
      </c>
      <c r="X112" s="392">
        <v>326307</v>
      </c>
      <c r="Y112" s="392">
        <v>431926</v>
      </c>
      <c r="Z112" s="392">
        <v>0</v>
      </c>
      <c r="AA112" s="392">
        <v>9445673</v>
      </c>
      <c r="AB112" s="392">
        <v>0</v>
      </c>
      <c r="AC112" s="392">
        <v>2159544</v>
      </c>
      <c r="AD112" s="392">
        <v>95085</v>
      </c>
      <c r="AE112" s="392">
        <v>382926</v>
      </c>
      <c r="AF112" s="392">
        <v>1050860</v>
      </c>
      <c r="AG112" s="392">
        <v>24734264</v>
      </c>
      <c r="AH112" s="392">
        <v>0</v>
      </c>
      <c r="AI112" s="392">
        <v>581698</v>
      </c>
      <c r="AJ112" s="392">
        <v>19374</v>
      </c>
      <c r="AK112" s="392">
        <v>25335337</v>
      </c>
      <c r="AL112" s="392">
        <v>11384839</v>
      </c>
      <c r="AM112" s="392">
        <v>12466003</v>
      </c>
      <c r="AN112" s="392">
        <v>476694</v>
      </c>
      <c r="AO112" s="392">
        <v>1570849</v>
      </c>
      <c r="AP112" s="392">
        <v>552521</v>
      </c>
      <c r="AQ112" s="392">
        <v>1113485</v>
      </c>
      <c r="AR112" s="392">
        <v>308209</v>
      </c>
      <c r="AS112" s="392">
        <v>1973788</v>
      </c>
      <c r="AT112" s="392">
        <v>997009</v>
      </c>
      <c r="AU112" s="392">
        <v>697319</v>
      </c>
      <c r="AV112" s="392">
        <v>2918747</v>
      </c>
      <c r="AW112" s="392">
        <v>1264220</v>
      </c>
      <c r="AX112" s="392">
        <v>715566</v>
      </c>
      <c r="AY112" s="786">
        <v>587062</v>
      </c>
      <c r="AZ112" s="392">
        <v>11078704</v>
      </c>
      <c r="BA112" s="639">
        <f>SUM(SNAMEB[[#This Row],[Instruction Expenditures]:[Transfers Out/OtherFinancing]])+SUM(SNAMEB[[#This Row],[General Fund Balance]:[Other Enterprise FundBalance]])</f>
        <v>36720176</v>
      </c>
      <c r="BB112" s="639">
        <f>SUM(SNAMEB[[#This Row],[Property Tax Revenue]:[IDEA/Other Fed Revenue]])+SNAMEB[General Long-term DebtProceeds]+SNAMEB[TransfersIn/Other Financing]+SNAMEB[Fixed Asset Disposition]+SNAMEB[Beginning Fund Balance]</f>
        <v>36720175</v>
      </c>
    </row>
    <row r="113" spans="1:54" x14ac:dyDescent="0.2">
      <c r="A113" s="390">
        <v>7</v>
      </c>
      <c r="B113" s="391" t="s">
        <v>187</v>
      </c>
      <c r="C113" s="631">
        <v>2295</v>
      </c>
      <c r="D113" t="s">
        <v>1109</v>
      </c>
      <c r="E113" s="392">
        <v>2148708</v>
      </c>
      <c r="F113" s="392">
        <v>113619</v>
      </c>
      <c r="G113" s="392">
        <v>584096</v>
      </c>
      <c r="H113" s="392">
        <v>0</v>
      </c>
      <c r="I113" s="392">
        <v>0</v>
      </c>
      <c r="J113" s="392">
        <v>0</v>
      </c>
      <c r="K113" s="392">
        <v>1633042</v>
      </c>
      <c r="L113" s="392">
        <v>218943</v>
      </c>
      <c r="M113" s="392">
        <v>0</v>
      </c>
      <c r="N113" s="392">
        <v>32234</v>
      </c>
      <c r="O113" s="392">
        <v>143060</v>
      </c>
      <c r="P113" s="392">
        <v>0</v>
      </c>
      <c r="Q113" s="392">
        <v>4873700</v>
      </c>
      <c r="R113" s="392">
        <v>4905440</v>
      </c>
      <c r="S113" s="392">
        <v>205121</v>
      </c>
      <c r="T113" s="392">
        <v>467510</v>
      </c>
      <c r="U113" s="392">
        <v>981582</v>
      </c>
      <c r="V113" s="392">
        <v>3011</v>
      </c>
      <c r="W113" s="392">
        <v>326256</v>
      </c>
      <c r="X113" s="392">
        <v>489721</v>
      </c>
      <c r="Y113" s="392">
        <v>899343</v>
      </c>
      <c r="Z113" s="392">
        <v>0</v>
      </c>
      <c r="AA113" s="392">
        <v>7002124</v>
      </c>
      <c r="AB113" s="392">
        <v>0</v>
      </c>
      <c r="AC113" s="392">
        <v>1095320</v>
      </c>
      <c r="AD113" s="392">
        <v>259492</v>
      </c>
      <c r="AE113" s="392">
        <v>155133</v>
      </c>
      <c r="AF113" s="392">
        <v>434724</v>
      </c>
      <c r="AG113" s="392">
        <v>17224777</v>
      </c>
      <c r="AH113" s="392">
        <v>0</v>
      </c>
      <c r="AI113" s="392">
        <v>0</v>
      </c>
      <c r="AJ113" s="392">
        <v>0</v>
      </c>
      <c r="AK113" s="392">
        <v>17224777</v>
      </c>
      <c r="AL113" s="392">
        <v>4840822</v>
      </c>
      <c r="AM113" s="392">
        <v>9924058</v>
      </c>
      <c r="AN113" s="392">
        <v>349802</v>
      </c>
      <c r="AO113" s="392">
        <v>433406</v>
      </c>
      <c r="AP113" s="392">
        <v>339626</v>
      </c>
      <c r="AQ113" s="392">
        <v>891757</v>
      </c>
      <c r="AR113" s="392">
        <v>318065</v>
      </c>
      <c r="AS113" s="392">
        <v>1267229</v>
      </c>
      <c r="AT113" s="392">
        <v>621187</v>
      </c>
      <c r="AU113" s="392">
        <v>623454</v>
      </c>
      <c r="AV113" s="392">
        <v>1610221</v>
      </c>
      <c r="AW113" s="392">
        <v>283200</v>
      </c>
      <c r="AX113" s="392">
        <v>522855</v>
      </c>
      <c r="AY113" s="786">
        <v>7039</v>
      </c>
      <c r="AZ113" s="392">
        <v>4873700</v>
      </c>
      <c r="BA113" s="639">
        <f>SUM(SNAMEB[[#This Row],[Instruction Expenditures]:[Transfers Out/OtherFinancing]])+SUM(SNAMEB[[#This Row],[General Fund Balance]:[Other Enterprise FundBalance]])</f>
        <v>22065601</v>
      </c>
      <c r="BB113" s="639">
        <f>SUM(SNAMEB[[#This Row],[Property Tax Revenue]:[IDEA/Other Fed Revenue]])+SNAMEB[General Long-term DebtProceeds]+SNAMEB[TransfersIn/Other Financing]+SNAMEB[Fixed Asset Disposition]+SNAMEB[Beginning Fund Balance]</f>
        <v>22065599</v>
      </c>
    </row>
    <row r="114" spans="1:54" x14ac:dyDescent="0.2">
      <c r="A114" s="390">
        <v>5</v>
      </c>
      <c r="B114" s="391" t="s">
        <v>188</v>
      </c>
      <c r="C114" s="631">
        <v>2313</v>
      </c>
      <c r="D114" t="s">
        <v>1110</v>
      </c>
      <c r="E114" s="392">
        <v>10477034</v>
      </c>
      <c r="F114" s="392">
        <v>431148</v>
      </c>
      <c r="G114" s="392">
        <v>2897543</v>
      </c>
      <c r="H114" s="392">
        <v>0</v>
      </c>
      <c r="I114" s="392">
        <v>0</v>
      </c>
      <c r="J114" s="392">
        <v>0</v>
      </c>
      <c r="K114" s="392">
        <v>2957341</v>
      </c>
      <c r="L114" s="392">
        <v>2698714</v>
      </c>
      <c r="M114" s="392">
        <v>26747916</v>
      </c>
      <c r="N114" s="392">
        <v>4389539</v>
      </c>
      <c r="O114" s="392">
        <v>836676</v>
      </c>
      <c r="P114" s="392">
        <v>0</v>
      </c>
      <c r="Q114" s="392">
        <v>51435911</v>
      </c>
      <c r="R114" s="392">
        <v>12867672</v>
      </c>
      <c r="S114" s="392">
        <v>936348</v>
      </c>
      <c r="T114" s="392">
        <v>697852</v>
      </c>
      <c r="U114" s="392">
        <v>1067108</v>
      </c>
      <c r="V114" s="392">
        <v>102429</v>
      </c>
      <c r="W114" s="392">
        <v>720352</v>
      </c>
      <c r="X114" s="392">
        <v>1041451</v>
      </c>
      <c r="Y114" s="392">
        <v>465513</v>
      </c>
      <c r="Z114" s="392">
        <v>15897</v>
      </c>
      <c r="AA114" s="392">
        <v>24969906</v>
      </c>
      <c r="AB114" s="392">
        <v>0</v>
      </c>
      <c r="AC114" s="392">
        <v>5163474</v>
      </c>
      <c r="AD114" s="392">
        <v>450757</v>
      </c>
      <c r="AE114" s="392">
        <v>1272017</v>
      </c>
      <c r="AF114" s="392">
        <v>4459331</v>
      </c>
      <c r="AG114" s="392">
        <v>54230107</v>
      </c>
      <c r="AH114" s="392">
        <v>28763796</v>
      </c>
      <c r="AI114" s="392">
        <v>2612045</v>
      </c>
      <c r="AJ114" s="392">
        <v>810</v>
      </c>
      <c r="AK114" s="392">
        <v>85606757</v>
      </c>
      <c r="AL114" s="392">
        <v>20968477</v>
      </c>
      <c r="AM114" s="392">
        <v>27858183</v>
      </c>
      <c r="AN114" s="392">
        <v>2563397</v>
      </c>
      <c r="AO114" s="392">
        <v>2868092</v>
      </c>
      <c r="AP114" s="392">
        <v>722447</v>
      </c>
      <c r="AQ114" s="392">
        <v>2403421</v>
      </c>
      <c r="AR114" s="392">
        <v>1329266</v>
      </c>
      <c r="AS114" s="392">
        <v>3966258</v>
      </c>
      <c r="AT114" s="392">
        <v>1690247</v>
      </c>
      <c r="AU114" s="392">
        <v>2045326</v>
      </c>
      <c r="AV114" s="392">
        <v>2152585</v>
      </c>
      <c r="AW114" s="392">
        <v>3176216</v>
      </c>
      <c r="AX114" s="392">
        <v>1748769</v>
      </c>
      <c r="AY114" s="786">
        <v>2615114</v>
      </c>
      <c r="AZ114" s="392">
        <v>51435911</v>
      </c>
      <c r="BA114" s="639">
        <f>SUM(SNAMEB[[#This Row],[Instruction Expenditures]:[Transfers Out/OtherFinancing]])+SUM(SNAMEB[[#This Row],[General Fund Balance]:[Other Enterprise FundBalance]])</f>
        <v>106575232</v>
      </c>
      <c r="BB114" s="639">
        <f>SUM(SNAMEB[[#This Row],[Property Tax Revenue]:[IDEA/Other Fed Revenue]])+SNAMEB[General Long-term DebtProceeds]+SNAMEB[TransfersIn/Other Financing]+SNAMEB[Fixed Asset Disposition]+SNAMEB[Beginning Fund Balance]</f>
        <v>106575235</v>
      </c>
    </row>
    <row r="115" spans="1:54" x14ac:dyDescent="0.2">
      <c r="A115" s="390">
        <v>15</v>
      </c>
      <c r="B115" s="391" t="s">
        <v>189</v>
      </c>
      <c r="C115" s="631">
        <v>2322</v>
      </c>
      <c r="D115" t="s">
        <v>1111</v>
      </c>
      <c r="E115" s="392">
        <v>1090892</v>
      </c>
      <c r="F115" s="392">
        <v>407066</v>
      </c>
      <c r="G115" s="392">
        <v>1001536</v>
      </c>
      <c r="H115" s="392">
        <v>0</v>
      </c>
      <c r="I115" s="392">
        <v>0</v>
      </c>
      <c r="J115" s="392">
        <v>0</v>
      </c>
      <c r="K115" s="392">
        <v>4482281</v>
      </c>
      <c r="L115" s="392">
        <v>177489</v>
      </c>
      <c r="M115" s="392">
        <v>0</v>
      </c>
      <c r="N115" s="392">
        <v>2309862</v>
      </c>
      <c r="O115" s="392">
        <v>43848</v>
      </c>
      <c r="P115" s="392">
        <v>0</v>
      </c>
      <c r="Q115" s="392">
        <v>9512973</v>
      </c>
      <c r="R115" s="392">
        <v>7541330</v>
      </c>
      <c r="S115" s="392">
        <v>235221</v>
      </c>
      <c r="T115" s="392">
        <v>0</v>
      </c>
      <c r="U115" s="392">
        <v>254104</v>
      </c>
      <c r="V115" s="392">
        <v>4562</v>
      </c>
      <c r="W115" s="392">
        <v>346735</v>
      </c>
      <c r="X115" s="392">
        <v>692834</v>
      </c>
      <c r="Y115" s="392">
        <v>457103</v>
      </c>
      <c r="Z115" s="392">
        <v>0</v>
      </c>
      <c r="AA115" s="392">
        <v>13620705</v>
      </c>
      <c r="AB115" s="392">
        <v>0</v>
      </c>
      <c r="AC115" s="392">
        <v>2291525</v>
      </c>
      <c r="AD115" s="392">
        <v>212713</v>
      </c>
      <c r="AE115" s="392">
        <v>528570</v>
      </c>
      <c r="AF115" s="392">
        <v>1188461</v>
      </c>
      <c r="AG115" s="392">
        <v>27373862</v>
      </c>
      <c r="AH115" s="392">
        <v>0</v>
      </c>
      <c r="AI115" s="392">
        <v>1271458</v>
      </c>
      <c r="AJ115" s="392">
        <v>0</v>
      </c>
      <c r="AK115" s="392">
        <v>28645319</v>
      </c>
      <c r="AL115" s="392">
        <v>9945431</v>
      </c>
      <c r="AM115" s="392">
        <v>17218301</v>
      </c>
      <c r="AN115" s="392">
        <v>591364</v>
      </c>
      <c r="AO115" s="392">
        <v>661771</v>
      </c>
      <c r="AP115" s="392">
        <v>593045</v>
      </c>
      <c r="AQ115" s="392">
        <v>1214085</v>
      </c>
      <c r="AR115" s="392">
        <v>263528</v>
      </c>
      <c r="AS115" s="392">
        <v>1826032</v>
      </c>
      <c r="AT115" s="392">
        <v>1206729</v>
      </c>
      <c r="AU115" s="392">
        <v>1014403</v>
      </c>
      <c r="AV115" s="392">
        <v>994524</v>
      </c>
      <c r="AW115" s="392">
        <v>1268795</v>
      </c>
      <c r="AX115" s="392">
        <v>953742</v>
      </c>
      <c r="AY115" s="786">
        <v>1271458</v>
      </c>
      <c r="AZ115" s="392">
        <v>9512973</v>
      </c>
      <c r="BA115" s="639">
        <f>SUM(SNAMEB[[#This Row],[Instruction Expenditures]:[Transfers Out/OtherFinancing]])+SUM(SNAMEB[[#This Row],[General Fund Balance]:[Other Enterprise FundBalance]])</f>
        <v>38590751</v>
      </c>
      <c r="BB115" s="639">
        <f>SUM(SNAMEB[[#This Row],[Property Tax Revenue]:[IDEA/Other Fed Revenue]])+SNAMEB[General Long-term DebtProceeds]+SNAMEB[TransfersIn/Other Financing]+SNAMEB[Fixed Asset Disposition]+SNAMEB[Beginning Fund Balance]</f>
        <v>38590752</v>
      </c>
    </row>
    <row r="116" spans="1:54" x14ac:dyDescent="0.2">
      <c r="A116" s="390">
        <v>13</v>
      </c>
      <c r="B116" s="391" t="s">
        <v>190</v>
      </c>
      <c r="C116" s="631">
        <v>2369</v>
      </c>
      <c r="D116" t="s">
        <v>1112</v>
      </c>
      <c r="E116" s="392">
        <v>1632021</v>
      </c>
      <c r="F116" s="392">
        <v>17013</v>
      </c>
      <c r="G116" s="392">
        <v>87410</v>
      </c>
      <c r="H116" s="392">
        <v>0</v>
      </c>
      <c r="I116" s="392">
        <v>0</v>
      </c>
      <c r="J116" s="392">
        <v>0</v>
      </c>
      <c r="K116" s="392">
        <v>296711</v>
      </c>
      <c r="L116" s="392">
        <v>263852</v>
      </c>
      <c r="M116" s="392">
        <v>2630539</v>
      </c>
      <c r="N116" s="392">
        <v>1758</v>
      </c>
      <c r="O116" s="392">
        <v>-52585</v>
      </c>
      <c r="P116" s="392">
        <v>0</v>
      </c>
      <c r="Q116" s="392">
        <v>4876721</v>
      </c>
      <c r="R116" s="392">
        <v>1769715</v>
      </c>
      <c r="S116" s="392">
        <v>79413</v>
      </c>
      <c r="T116" s="392">
        <v>322050</v>
      </c>
      <c r="U116" s="392">
        <v>537004</v>
      </c>
      <c r="V116" s="392">
        <v>1182</v>
      </c>
      <c r="W116" s="392">
        <v>135844</v>
      </c>
      <c r="X116" s="392">
        <v>96406</v>
      </c>
      <c r="Y116" s="392">
        <v>92615</v>
      </c>
      <c r="Z116" s="392">
        <v>0</v>
      </c>
      <c r="AA116" s="392">
        <v>2842831</v>
      </c>
      <c r="AB116" s="392">
        <v>0</v>
      </c>
      <c r="AC116" s="392">
        <v>493846</v>
      </c>
      <c r="AD116" s="392">
        <v>227</v>
      </c>
      <c r="AE116" s="392">
        <v>82619</v>
      </c>
      <c r="AF116" s="392">
        <v>159841</v>
      </c>
      <c r="AG116" s="392">
        <v>6613592</v>
      </c>
      <c r="AH116" s="392">
        <v>4895683</v>
      </c>
      <c r="AI116" s="392">
        <v>160451</v>
      </c>
      <c r="AJ116" s="392">
        <v>0</v>
      </c>
      <c r="AK116" s="392">
        <v>11669726</v>
      </c>
      <c r="AL116" s="392">
        <v>2717932</v>
      </c>
      <c r="AM116" s="392">
        <v>3894737</v>
      </c>
      <c r="AN116" s="392">
        <v>136443</v>
      </c>
      <c r="AO116" s="392">
        <v>213053</v>
      </c>
      <c r="AP116" s="392">
        <v>250200</v>
      </c>
      <c r="AQ116" s="392">
        <v>294355</v>
      </c>
      <c r="AR116" s="392">
        <v>227026</v>
      </c>
      <c r="AS116" s="392">
        <v>367162</v>
      </c>
      <c r="AT116" s="392">
        <v>215517</v>
      </c>
      <c r="AU116" s="392">
        <v>249579</v>
      </c>
      <c r="AV116" s="392">
        <v>1151289</v>
      </c>
      <c r="AW116" s="392">
        <v>2156112</v>
      </c>
      <c r="AX116" s="392">
        <v>195013</v>
      </c>
      <c r="AY116" s="786">
        <v>160451</v>
      </c>
      <c r="AZ116" s="392">
        <v>4876721</v>
      </c>
      <c r="BA116" s="639">
        <f>SUM(SNAMEB[[#This Row],[Instruction Expenditures]:[Transfers Out/OtherFinancing]])+SUM(SNAMEB[[#This Row],[General Fund Balance]:[Other Enterprise FundBalance]])</f>
        <v>14387656</v>
      </c>
      <c r="BB116" s="639">
        <f>SUM(SNAMEB[[#This Row],[Property Tax Revenue]:[IDEA/Other Fed Revenue]])+SNAMEB[General Long-term DebtProceeds]+SNAMEB[TransfersIn/Other Financing]+SNAMEB[Fixed Asset Disposition]+SNAMEB[Beginning Fund Balance]</f>
        <v>14387659</v>
      </c>
    </row>
    <row r="117" spans="1:54" x14ac:dyDescent="0.2">
      <c r="A117" s="390">
        <v>12</v>
      </c>
      <c r="B117" s="391" t="s">
        <v>191</v>
      </c>
      <c r="C117" s="631">
        <v>2376</v>
      </c>
      <c r="D117" t="s">
        <v>1113</v>
      </c>
      <c r="E117" s="392">
        <v>1112637</v>
      </c>
      <c r="F117" s="392">
        <v>45985</v>
      </c>
      <c r="G117" s="392">
        <v>400388</v>
      </c>
      <c r="H117" s="392">
        <v>0</v>
      </c>
      <c r="I117" s="392">
        <v>0</v>
      </c>
      <c r="J117" s="392">
        <v>0</v>
      </c>
      <c r="K117" s="392">
        <v>718923</v>
      </c>
      <c r="L117" s="392">
        <v>94142</v>
      </c>
      <c r="M117" s="392">
        <v>0</v>
      </c>
      <c r="N117" s="392">
        <v>14672</v>
      </c>
      <c r="O117" s="392">
        <v>-36998</v>
      </c>
      <c r="P117" s="392">
        <v>0</v>
      </c>
      <c r="Q117" s="392">
        <v>2349749</v>
      </c>
      <c r="R117" s="392">
        <v>2616296</v>
      </c>
      <c r="S117" s="392">
        <v>154356</v>
      </c>
      <c r="T117" s="392">
        <v>315053</v>
      </c>
      <c r="U117" s="392">
        <v>855393</v>
      </c>
      <c r="V117" s="392">
        <v>9314</v>
      </c>
      <c r="W117" s="392">
        <v>141526</v>
      </c>
      <c r="X117" s="392">
        <v>265600</v>
      </c>
      <c r="Y117" s="392">
        <v>414273</v>
      </c>
      <c r="Z117" s="392">
        <v>0</v>
      </c>
      <c r="AA117" s="392">
        <v>2038358</v>
      </c>
      <c r="AB117" s="392">
        <v>0</v>
      </c>
      <c r="AC117" s="392">
        <v>437459</v>
      </c>
      <c r="AD117" s="392">
        <v>45140</v>
      </c>
      <c r="AE117" s="392">
        <v>44654</v>
      </c>
      <c r="AF117" s="392">
        <v>194949</v>
      </c>
      <c r="AG117" s="392">
        <v>7532371</v>
      </c>
      <c r="AH117" s="392">
        <v>0</v>
      </c>
      <c r="AI117" s="392">
        <v>311905</v>
      </c>
      <c r="AJ117" s="392">
        <v>0</v>
      </c>
      <c r="AK117" s="392">
        <v>7844276</v>
      </c>
      <c r="AL117" s="392">
        <v>1902103</v>
      </c>
      <c r="AM117" s="392">
        <v>4003827</v>
      </c>
      <c r="AN117" s="392">
        <v>135880</v>
      </c>
      <c r="AO117" s="392">
        <v>40903</v>
      </c>
      <c r="AP117" s="392">
        <v>253674</v>
      </c>
      <c r="AQ117" s="392">
        <v>366344</v>
      </c>
      <c r="AR117" s="392">
        <v>118358</v>
      </c>
      <c r="AS117" s="392">
        <v>434264</v>
      </c>
      <c r="AT117" s="392">
        <v>273207</v>
      </c>
      <c r="AU117" s="392">
        <v>255103</v>
      </c>
      <c r="AV117" s="392">
        <v>396511</v>
      </c>
      <c r="AW117" s="392">
        <v>501320</v>
      </c>
      <c r="AX117" s="392">
        <v>181590</v>
      </c>
      <c r="AY117" s="786">
        <v>435648</v>
      </c>
      <c r="AZ117" s="392">
        <v>2349749</v>
      </c>
      <c r="BA117" s="639">
        <f>SUM(SNAMEB[[#This Row],[Instruction Expenditures]:[Transfers Out/OtherFinancing]])+SUM(SNAMEB[[#This Row],[General Fund Balance]:[Other Enterprise FundBalance]])</f>
        <v>9746378</v>
      </c>
      <c r="BB117" s="639">
        <f>SUM(SNAMEB[[#This Row],[Property Tax Revenue]:[IDEA/Other Fed Revenue]])+SNAMEB[General Long-term DebtProceeds]+SNAMEB[TransfersIn/Other Financing]+SNAMEB[Fixed Asset Disposition]+SNAMEB[Beginning Fund Balance]</f>
        <v>9746379</v>
      </c>
    </row>
    <row r="118" spans="1:54" x14ac:dyDescent="0.2">
      <c r="A118" s="390">
        <v>7</v>
      </c>
      <c r="B118" s="391" t="s">
        <v>192</v>
      </c>
      <c r="C118" s="631">
        <v>2403</v>
      </c>
      <c r="D118" t="s">
        <v>1747</v>
      </c>
      <c r="E118" s="392">
        <v>1433327</v>
      </c>
      <c r="F118" s="392">
        <v>174895</v>
      </c>
      <c r="G118" s="392">
        <v>344133</v>
      </c>
      <c r="H118" s="392">
        <v>0</v>
      </c>
      <c r="I118" s="392">
        <v>5602</v>
      </c>
      <c r="J118" s="392">
        <v>0</v>
      </c>
      <c r="K118" s="392">
        <v>5744099</v>
      </c>
      <c r="L118" s="392">
        <v>452437</v>
      </c>
      <c r="M118" s="392">
        <v>0</v>
      </c>
      <c r="N118" s="392">
        <v>6311</v>
      </c>
      <c r="O118" s="392">
        <v>-163489</v>
      </c>
      <c r="P118" s="392">
        <v>170483</v>
      </c>
      <c r="Q118" s="392">
        <v>8167799</v>
      </c>
      <c r="R118" s="392">
        <v>4523822</v>
      </c>
      <c r="S118" s="392">
        <v>198498</v>
      </c>
      <c r="T118" s="392">
        <v>470197</v>
      </c>
      <c r="U118" s="392">
        <v>1377833</v>
      </c>
      <c r="V118" s="392">
        <v>37799</v>
      </c>
      <c r="W118" s="392">
        <v>346405</v>
      </c>
      <c r="X118" s="392">
        <v>393286</v>
      </c>
      <c r="Y118" s="392">
        <v>358787</v>
      </c>
      <c r="Z118" s="392">
        <v>0</v>
      </c>
      <c r="AA118" s="392">
        <v>5339075</v>
      </c>
      <c r="AB118" s="392">
        <v>0</v>
      </c>
      <c r="AC118" s="392">
        <v>1020104</v>
      </c>
      <c r="AD118" s="392">
        <v>74963</v>
      </c>
      <c r="AE118" s="392">
        <v>108892</v>
      </c>
      <c r="AF118" s="392">
        <v>577617</v>
      </c>
      <c r="AG118" s="392">
        <v>14827280</v>
      </c>
      <c r="AH118" s="392">
        <v>6205000</v>
      </c>
      <c r="AI118" s="392">
        <v>612824</v>
      </c>
      <c r="AJ118" s="392">
        <v>53933</v>
      </c>
      <c r="AK118" s="392">
        <v>21699037</v>
      </c>
      <c r="AL118" s="392">
        <v>3742447</v>
      </c>
      <c r="AM118" s="392">
        <v>8875485</v>
      </c>
      <c r="AN118" s="392">
        <v>484895</v>
      </c>
      <c r="AO118" s="392">
        <v>619551</v>
      </c>
      <c r="AP118" s="392">
        <v>486689</v>
      </c>
      <c r="AQ118" s="392">
        <v>718569</v>
      </c>
      <c r="AR118" s="392">
        <v>99026</v>
      </c>
      <c r="AS118" s="392">
        <v>1223524</v>
      </c>
      <c r="AT118" s="392">
        <v>495565</v>
      </c>
      <c r="AU118" s="392">
        <v>805255</v>
      </c>
      <c r="AV118" s="392">
        <v>3278049</v>
      </c>
      <c r="AW118" s="392">
        <v>786661</v>
      </c>
      <c r="AX118" s="392">
        <v>440525</v>
      </c>
      <c r="AY118" s="786">
        <v>612824</v>
      </c>
      <c r="AZ118" s="392">
        <v>8167799</v>
      </c>
      <c r="BA118" s="639">
        <f>SUM(SNAMEB[[#This Row],[Instruction Expenditures]:[Transfers Out/OtherFinancing]])+SUM(SNAMEB[[#This Row],[General Fund Balance]:[Other Enterprise FundBalance]])</f>
        <v>27094416</v>
      </c>
      <c r="BB118" s="639">
        <f>SUM(SNAMEB[[#This Row],[Property Tax Revenue]:[IDEA/Other Fed Revenue]])+SNAMEB[General Long-term DebtProceeds]+SNAMEB[TransfersIn/Other Financing]+SNAMEB[Fixed Asset Disposition]+SNAMEB[Beginning Fund Balance]</f>
        <v>25441482</v>
      </c>
    </row>
    <row r="119" spans="1:54" x14ac:dyDescent="0.2">
      <c r="A119" s="390">
        <v>12</v>
      </c>
      <c r="B119" s="391" t="s">
        <v>193</v>
      </c>
      <c r="C119" s="631">
        <v>2457</v>
      </c>
      <c r="D119" t="s">
        <v>1002</v>
      </c>
      <c r="E119" s="392">
        <v>1339493</v>
      </c>
      <c r="F119" s="392">
        <v>41835</v>
      </c>
      <c r="G119" s="392">
        <v>257168</v>
      </c>
      <c r="H119" s="392">
        <v>62947</v>
      </c>
      <c r="I119" s="392">
        <v>0</v>
      </c>
      <c r="J119" s="392">
        <v>0</v>
      </c>
      <c r="K119" s="392">
        <v>1426925</v>
      </c>
      <c r="L119" s="392">
        <v>211058</v>
      </c>
      <c r="M119" s="392">
        <v>0</v>
      </c>
      <c r="N119" s="392">
        <v>103958</v>
      </c>
      <c r="O119" s="392">
        <v>1569</v>
      </c>
      <c r="P119" s="392">
        <v>10753</v>
      </c>
      <c r="Q119" s="392">
        <v>3455707</v>
      </c>
      <c r="R119" s="392">
        <v>2544770</v>
      </c>
      <c r="S119" s="392">
        <v>40206</v>
      </c>
      <c r="T119" s="392">
        <v>308597</v>
      </c>
      <c r="U119" s="392">
        <v>99166</v>
      </c>
      <c r="V119" s="392">
        <v>15379</v>
      </c>
      <c r="W119" s="392">
        <v>120989</v>
      </c>
      <c r="X119" s="392">
        <v>241097</v>
      </c>
      <c r="Y119" s="392">
        <v>237714</v>
      </c>
      <c r="Z119" s="392">
        <v>0</v>
      </c>
      <c r="AA119" s="392">
        <v>2167026</v>
      </c>
      <c r="AB119" s="392">
        <v>0</v>
      </c>
      <c r="AC119" s="392">
        <v>525255</v>
      </c>
      <c r="AD119" s="392">
        <v>12620</v>
      </c>
      <c r="AE119" s="392">
        <v>50588</v>
      </c>
      <c r="AF119" s="392">
        <v>282837</v>
      </c>
      <c r="AG119" s="392">
        <v>6646245</v>
      </c>
      <c r="AH119" s="392">
        <v>0</v>
      </c>
      <c r="AI119" s="392">
        <v>0</v>
      </c>
      <c r="AJ119" s="392">
        <v>175</v>
      </c>
      <c r="AK119" s="392">
        <v>6646420</v>
      </c>
      <c r="AL119" s="392">
        <v>3385631</v>
      </c>
      <c r="AM119" s="392">
        <v>3530794</v>
      </c>
      <c r="AN119" s="392">
        <v>128577</v>
      </c>
      <c r="AO119" s="392">
        <v>167753</v>
      </c>
      <c r="AP119" s="392">
        <v>183997</v>
      </c>
      <c r="AQ119" s="392">
        <v>291987</v>
      </c>
      <c r="AR119" s="392">
        <v>229793</v>
      </c>
      <c r="AS119" s="392">
        <v>496810</v>
      </c>
      <c r="AT119" s="392">
        <v>299249</v>
      </c>
      <c r="AU119" s="392">
        <v>241600</v>
      </c>
      <c r="AV119" s="392">
        <v>492017</v>
      </c>
      <c r="AW119" s="392">
        <v>324033</v>
      </c>
      <c r="AX119" s="392">
        <v>189734</v>
      </c>
      <c r="AY119" s="786">
        <v>0</v>
      </c>
      <c r="AZ119" s="392">
        <v>3455707</v>
      </c>
      <c r="BA119" s="639">
        <f>SUM(SNAMEB[[#This Row],[Instruction Expenditures]:[Transfers Out/OtherFinancing]])+SUM(SNAMEB[[#This Row],[General Fund Balance]:[Other Enterprise FundBalance]])</f>
        <v>10032050</v>
      </c>
      <c r="BB119" s="639">
        <f>SUM(SNAMEB[[#This Row],[Property Tax Revenue]:[IDEA/Other Fed Revenue]])+SNAMEB[General Long-term DebtProceeds]+SNAMEB[TransfersIn/Other Financing]+SNAMEB[Fixed Asset Disposition]+SNAMEB[Beginning Fund Balance]</f>
        <v>10032050</v>
      </c>
    </row>
    <row r="120" spans="1:54" x14ac:dyDescent="0.2">
      <c r="A120" s="390">
        <v>11</v>
      </c>
      <c r="B120" s="391" t="s">
        <v>194</v>
      </c>
      <c r="C120" s="631">
        <v>2466</v>
      </c>
      <c r="D120" t="s">
        <v>1114</v>
      </c>
      <c r="E120" s="392">
        <v>641539</v>
      </c>
      <c r="F120" s="392">
        <v>201079</v>
      </c>
      <c r="G120" s="392">
        <v>245449</v>
      </c>
      <c r="H120" s="392">
        <v>0</v>
      </c>
      <c r="I120" s="392">
        <v>0</v>
      </c>
      <c r="J120" s="392">
        <v>0</v>
      </c>
      <c r="K120" s="392">
        <v>1481948</v>
      </c>
      <c r="L120" s="392">
        <v>728425</v>
      </c>
      <c r="M120" s="392">
        <v>0</v>
      </c>
      <c r="N120" s="392">
        <v>1235939</v>
      </c>
      <c r="O120" s="392">
        <v>67062</v>
      </c>
      <c r="P120" s="392">
        <v>0</v>
      </c>
      <c r="Q120" s="392">
        <v>4601441</v>
      </c>
      <c r="R120" s="392">
        <v>7586619</v>
      </c>
      <c r="S120" s="392">
        <v>100941</v>
      </c>
      <c r="T120" s="392">
        <v>0</v>
      </c>
      <c r="U120" s="392">
        <v>1366705</v>
      </c>
      <c r="V120" s="392">
        <v>27945</v>
      </c>
      <c r="W120" s="392">
        <v>461530</v>
      </c>
      <c r="X120" s="392">
        <v>473557</v>
      </c>
      <c r="Y120" s="392">
        <v>488096</v>
      </c>
      <c r="Z120" s="392">
        <v>0</v>
      </c>
      <c r="AA120" s="392">
        <v>7483242</v>
      </c>
      <c r="AB120" s="392">
        <v>0</v>
      </c>
      <c r="AC120" s="392">
        <v>1237672</v>
      </c>
      <c r="AD120" s="392">
        <v>80975</v>
      </c>
      <c r="AE120" s="392">
        <v>28112</v>
      </c>
      <c r="AF120" s="392">
        <v>391069</v>
      </c>
      <c r="AG120" s="392">
        <v>19726462</v>
      </c>
      <c r="AH120" s="392">
        <v>0</v>
      </c>
      <c r="AI120" s="392">
        <v>1107703</v>
      </c>
      <c r="AJ120" s="392">
        <v>0</v>
      </c>
      <c r="AK120" s="392">
        <v>20834165</v>
      </c>
      <c r="AL120" s="392">
        <v>4993493</v>
      </c>
      <c r="AM120" s="392">
        <v>10816906</v>
      </c>
      <c r="AN120" s="392">
        <v>382889</v>
      </c>
      <c r="AO120" s="392">
        <v>444597</v>
      </c>
      <c r="AP120" s="392">
        <v>286675</v>
      </c>
      <c r="AQ120" s="392">
        <v>785563</v>
      </c>
      <c r="AR120" s="392">
        <v>408702</v>
      </c>
      <c r="AS120" s="392">
        <v>1424708</v>
      </c>
      <c r="AT120" s="392">
        <v>551703</v>
      </c>
      <c r="AU120" s="392">
        <v>670706</v>
      </c>
      <c r="AV120" s="392">
        <v>235173</v>
      </c>
      <c r="AW120" s="392">
        <v>2553263</v>
      </c>
      <c r="AX120" s="392">
        <v>540175</v>
      </c>
      <c r="AY120" s="786">
        <v>2125157</v>
      </c>
      <c r="AZ120" s="392">
        <v>4601441</v>
      </c>
      <c r="BA120" s="639">
        <f>SUM(SNAMEB[[#This Row],[Instruction Expenditures]:[Transfers Out/OtherFinancing]])+SUM(SNAMEB[[#This Row],[General Fund Balance]:[Other Enterprise FundBalance]])</f>
        <v>25827658</v>
      </c>
      <c r="BB120" s="639">
        <f>SUM(SNAMEB[[#This Row],[Property Tax Revenue]:[IDEA/Other Fed Revenue]])+SNAMEB[General Long-term DebtProceeds]+SNAMEB[TransfersIn/Other Financing]+SNAMEB[Fixed Asset Disposition]+SNAMEB[Beginning Fund Balance]</f>
        <v>25827659</v>
      </c>
    </row>
    <row r="121" spans="1:54" x14ac:dyDescent="0.2">
      <c r="A121" s="390">
        <v>5</v>
      </c>
      <c r="B121" s="391" t="s">
        <v>195</v>
      </c>
      <c r="C121" s="631">
        <v>2493</v>
      </c>
      <c r="D121" t="s">
        <v>1115</v>
      </c>
      <c r="E121" s="392">
        <v>343235</v>
      </c>
      <c r="F121" s="392">
        <v>13757</v>
      </c>
      <c r="G121" s="392">
        <v>368193</v>
      </c>
      <c r="H121" s="392">
        <v>0</v>
      </c>
      <c r="I121" s="392">
        <v>0</v>
      </c>
      <c r="J121" s="392">
        <v>0</v>
      </c>
      <c r="K121" s="392">
        <v>222894</v>
      </c>
      <c r="L121" s="392">
        <v>220755</v>
      </c>
      <c r="M121" s="392">
        <v>0</v>
      </c>
      <c r="N121" s="392">
        <v>0</v>
      </c>
      <c r="O121" s="392">
        <v>-682</v>
      </c>
      <c r="P121" s="392">
        <v>-71148</v>
      </c>
      <c r="Q121" s="392">
        <v>1097004</v>
      </c>
      <c r="R121" s="392">
        <v>839984</v>
      </c>
      <c r="S121" s="392">
        <v>27716</v>
      </c>
      <c r="T121" s="392">
        <v>41843</v>
      </c>
      <c r="U121" s="392">
        <v>85461</v>
      </c>
      <c r="V121" s="392">
        <v>2341</v>
      </c>
      <c r="W121" s="392">
        <v>4144</v>
      </c>
      <c r="X121" s="392">
        <v>18644</v>
      </c>
      <c r="Y121" s="392">
        <v>394012</v>
      </c>
      <c r="Z121" s="392">
        <v>0</v>
      </c>
      <c r="AA121" s="392">
        <v>405285</v>
      </c>
      <c r="AB121" s="392">
        <v>0</v>
      </c>
      <c r="AC121" s="392">
        <v>116890</v>
      </c>
      <c r="AD121" s="392">
        <v>12754</v>
      </c>
      <c r="AE121" s="392">
        <v>35833</v>
      </c>
      <c r="AF121" s="392">
        <v>109233</v>
      </c>
      <c r="AG121" s="392">
        <v>2094142</v>
      </c>
      <c r="AH121" s="392">
        <v>0</v>
      </c>
      <c r="AI121" s="392">
        <v>0</v>
      </c>
      <c r="AJ121" s="392">
        <v>0</v>
      </c>
      <c r="AK121" s="392">
        <v>2094142</v>
      </c>
      <c r="AL121" s="392">
        <v>1299539</v>
      </c>
      <c r="AM121" s="392">
        <v>1028946</v>
      </c>
      <c r="AN121" s="392">
        <v>52775</v>
      </c>
      <c r="AO121" s="392">
        <v>112234</v>
      </c>
      <c r="AP121" s="392">
        <v>46482</v>
      </c>
      <c r="AQ121" s="392">
        <v>108704</v>
      </c>
      <c r="AR121" s="392">
        <v>95857</v>
      </c>
      <c r="AS121" s="392">
        <v>156463</v>
      </c>
      <c r="AT121" s="392">
        <v>98842</v>
      </c>
      <c r="AU121" s="392">
        <v>234271</v>
      </c>
      <c r="AV121" s="392">
        <v>297566</v>
      </c>
      <c r="AW121" s="392">
        <v>0</v>
      </c>
      <c r="AX121" s="392">
        <v>64537</v>
      </c>
      <c r="AY121" s="786">
        <v>0</v>
      </c>
      <c r="AZ121" s="392">
        <v>1097004</v>
      </c>
      <c r="BA121" s="639">
        <f>SUM(SNAMEB[[#This Row],[Instruction Expenditures]:[Transfers Out/OtherFinancing]])+SUM(SNAMEB[[#This Row],[General Fund Balance]:[Other Enterprise FundBalance]])</f>
        <v>3393681</v>
      </c>
      <c r="BB121" s="639">
        <f>SUM(SNAMEB[[#This Row],[Property Tax Revenue]:[IDEA/Other Fed Revenue]])+SNAMEB[General Long-term DebtProceeds]+SNAMEB[TransfersIn/Other Financing]+SNAMEB[Fixed Asset Disposition]+SNAMEB[Beginning Fund Balance]</f>
        <v>3393679</v>
      </c>
    </row>
    <row r="122" spans="1:54" x14ac:dyDescent="0.2">
      <c r="A122" s="390">
        <v>7</v>
      </c>
      <c r="B122" s="391" t="s">
        <v>196</v>
      </c>
      <c r="C122" s="631">
        <v>2502</v>
      </c>
      <c r="D122" t="s">
        <v>1116</v>
      </c>
      <c r="E122" s="392">
        <v>1522247</v>
      </c>
      <c r="F122" s="392">
        <v>90550</v>
      </c>
      <c r="G122" s="392">
        <v>467006</v>
      </c>
      <c r="H122" s="392">
        <v>0</v>
      </c>
      <c r="I122" s="392">
        <v>0</v>
      </c>
      <c r="J122" s="392">
        <v>0</v>
      </c>
      <c r="K122" s="392">
        <v>756906</v>
      </c>
      <c r="L122" s="392">
        <v>258697</v>
      </c>
      <c r="M122" s="392">
        <v>0</v>
      </c>
      <c r="N122" s="392">
        <v>2523</v>
      </c>
      <c r="O122" s="392">
        <v>96</v>
      </c>
      <c r="P122" s="392">
        <v>0</v>
      </c>
      <c r="Q122" s="392">
        <v>3098025</v>
      </c>
      <c r="R122" s="392">
        <v>2930255</v>
      </c>
      <c r="S122" s="392">
        <v>63252</v>
      </c>
      <c r="T122" s="392">
        <v>140400</v>
      </c>
      <c r="U122" s="392">
        <v>95917</v>
      </c>
      <c r="V122" s="392">
        <v>18659</v>
      </c>
      <c r="W122" s="392">
        <v>132260</v>
      </c>
      <c r="X122" s="392">
        <v>191427</v>
      </c>
      <c r="Y122" s="392">
        <v>593776</v>
      </c>
      <c r="Z122" s="392">
        <v>0</v>
      </c>
      <c r="AA122" s="392">
        <v>3071185</v>
      </c>
      <c r="AB122" s="392">
        <v>0</v>
      </c>
      <c r="AC122" s="392">
        <v>596519</v>
      </c>
      <c r="AD122" s="392">
        <v>34637</v>
      </c>
      <c r="AE122" s="392">
        <v>65501</v>
      </c>
      <c r="AF122" s="392">
        <v>246202</v>
      </c>
      <c r="AG122" s="392">
        <v>8179988</v>
      </c>
      <c r="AH122" s="392">
        <v>0</v>
      </c>
      <c r="AI122" s="392">
        <v>285981</v>
      </c>
      <c r="AJ122" s="392">
        <v>5000</v>
      </c>
      <c r="AK122" s="392">
        <v>8470969</v>
      </c>
      <c r="AL122" s="392">
        <v>3058342</v>
      </c>
      <c r="AM122" s="392">
        <v>4618081</v>
      </c>
      <c r="AN122" s="392">
        <v>320524</v>
      </c>
      <c r="AO122" s="392">
        <v>231329</v>
      </c>
      <c r="AP122" s="392">
        <v>110295</v>
      </c>
      <c r="AQ122" s="392">
        <v>220065</v>
      </c>
      <c r="AR122" s="392">
        <v>161306</v>
      </c>
      <c r="AS122" s="392">
        <v>549027</v>
      </c>
      <c r="AT122" s="392">
        <v>446427</v>
      </c>
      <c r="AU122" s="392">
        <v>246458</v>
      </c>
      <c r="AV122" s="392">
        <v>690969</v>
      </c>
      <c r="AW122" s="392">
        <v>285981</v>
      </c>
      <c r="AX122" s="392">
        <v>264844</v>
      </c>
      <c r="AY122" s="786">
        <v>285981</v>
      </c>
      <c r="AZ122" s="392">
        <v>3098025</v>
      </c>
      <c r="BA122" s="639">
        <f>SUM(SNAMEB[[#This Row],[Instruction Expenditures]:[Transfers Out/OtherFinancing]])+SUM(SNAMEB[[#This Row],[General Fund Balance]:[Other Enterprise FundBalance]])</f>
        <v>11529312</v>
      </c>
      <c r="BB122" s="639">
        <f>SUM(SNAMEB[[#This Row],[Property Tax Revenue]:[IDEA/Other Fed Revenue]])+SNAMEB[General Long-term DebtProceeds]+SNAMEB[TransfersIn/Other Financing]+SNAMEB[Fixed Asset Disposition]+SNAMEB[Beginning Fund Balance]</f>
        <v>11529313</v>
      </c>
    </row>
    <row r="123" spans="1:54" x14ac:dyDescent="0.2">
      <c r="A123" s="390">
        <v>13</v>
      </c>
      <c r="B123" s="391" t="s">
        <v>197</v>
      </c>
      <c r="C123" s="631">
        <v>2511</v>
      </c>
      <c r="D123" t="s">
        <v>1117</v>
      </c>
      <c r="E123" s="392">
        <v>4525353</v>
      </c>
      <c r="F123" s="392">
        <v>153020</v>
      </c>
      <c r="G123" s="392">
        <v>1351073</v>
      </c>
      <c r="H123" s="392">
        <v>0</v>
      </c>
      <c r="I123" s="392">
        <v>0</v>
      </c>
      <c r="J123" s="392">
        <v>0</v>
      </c>
      <c r="K123" s="392">
        <v>2562702</v>
      </c>
      <c r="L123" s="392">
        <v>124577</v>
      </c>
      <c r="M123" s="392">
        <v>0</v>
      </c>
      <c r="N123" s="392">
        <v>7654921</v>
      </c>
      <c r="O123" s="392">
        <v>382431</v>
      </c>
      <c r="P123" s="392">
        <v>-133526</v>
      </c>
      <c r="Q123" s="392">
        <v>16620553</v>
      </c>
      <c r="R123" s="392">
        <v>7283441</v>
      </c>
      <c r="S123" s="392">
        <v>156529</v>
      </c>
      <c r="T123" s="392">
        <v>778216</v>
      </c>
      <c r="U123" s="392">
        <v>916478</v>
      </c>
      <c r="V123" s="392">
        <v>10554</v>
      </c>
      <c r="W123" s="392">
        <v>705745</v>
      </c>
      <c r="X123" s="392">
        <v>339191</v>
      </c>
      <c r="Y123" s="392">
        <v>783666</v>
      </c>
      <c r="Z123" s="392">
        <v>0</v>
      </c>
      <c r="AA123" s="392">
        <v>11546154</v>
      </c>
      <c r="AB123" s="392">
        <v>0</v>
      </c>
      <c r="AC123" s="392">
        <v>2820185</v>
      </c>
      <c r="AD123" s="392">
        <v>89808</v>
      </c>
      <c r="AE123" s="392">
        <v>238262</v>
      </c>
      <c r="AF123" s="392">
        <v>1028905</v>
      </c>
      <c r="AG123" s="392">
        <v>26697134</v>
      </c>
      <c r="AH123" s="392">
        <v>0</v>
      </c>
      <c r="AI123" s="392">
        <v>615023</v>
      </c>
      <c r="AJ123" s="392">
        <v>0</v>
      </c>
      <c r="AK123" s="392">
        <v>27312157</v>
      </c>
      <c r="AL123" s="392">
        <v>17299214</v>
      </c>
      <c r="AM123" s="392">
        <v>14436064</v>
      </c>
      <c r="AN123" s="392">
        <v>704981</v>
      </c>
      <c r="AO123" s="392">
        <v>1349285</v>
      </c>
      <c r="AP123" s="392">
        <v>594338</v>
      </c>
      <c r="AQ123" s="392">
        <v>1271168</v>
      </c>
      <c r="AR123" s="392">
        <v>721466</v>
      </c>
      <c r="AS123" s="392">
        <v>1621334</v>
      </c>
      <c r="AT123" s="392">
        <v>1130795</v>
      </c>
      <c r="AU123" s="392">
        <v>1742862</v>
      </c>
      <c r="AV123" s="392">
        <v>1335018</v>
      </c>
      <c r="AW123" s="392">
        <v>1647767</v>
      </c>
      <c r="AX123" s="392">
        <v>820715</v>
      </c>
      <c r="AY123" s="786">
        <v>615023</v>
      </c>
      <c r="AZ123" s="392">
        <v>16620553</v>
      </c>
      <c r="BA123" s="639">
        <f>SUM(SNAMEB[[#This Row],[Instruction Expenditures]:[Transfers Out/OtherFinancing]])+SUM(SNAMEB[[#This Row],[General Fund Balance]:[Other Enterprise FundBalance]])</f>
        <v>44611367</v>
      </c>
      <c r="BB123" s="639">
        <f>SUM(SNAMEB[[#This Row],[Property Tax Revenue]:[IDEA/Other Fed Revenue]])+SNAMEB[General Long-term DebtProceeds]+SNAMEB[TransfersIn/Other Financing]+SNAMEB[Fixed Asset Disposition]+SNAMEB[Beginning Fund Balance]</f>
        <v>44611371</v>
      </c>
    </row>
    <row r="124" spans="1:54" x14ac:dyDescent="0.2">
      <c r="A124" s="390">
        <v>11</v>
      </c>
      <c r="B124" s="391" t="s">
        <v>198</v>
      </c>
      <c r="C124" s="631">
        <v>2520</v>
      </c>
      <c r="D124" t="s">
        <v>1118</v>
      </c>
      <c r="E124" s="392">
        <v>2141230</v>
      </c>
      <c r="F124" s="392">
        <v>47169</v>
      </c>
      <c r="G124" s="392">
        <v>151460</v>
      </c>
      <c r="H124" s="392">
        <v>0</v>
      </c>
      <c r="I124" s="392">
        <v>0</v>
      </c>
      <c r="J124" s="392">
        <v>0</v>
      </c>
      <c r="K124" s="392">
        <v>603651</v>
      </c>
      <c r="L124" s="392">
        <v>-104066</v>
      </c>
      <c r="M124" s="392">
        <v>0</v>
      </c>
      <c r="N124" s="392">
        <v>33973</v>
      </c>
      <c r="O124" s="392">
        <v>-22777</v>
      </c>
      <c r="P124" s="392">
        <v>0</v>
      </c>
      <c r="Q124" s="392">
        <v>2850640</v>
      </c>
      <c r="R124" s="392">
        <v>1461565</v>
      </c>
      <c r="S124" s="392">
        <v>71149</v>
      </c>
      <c r="T124" s="392">
        <v>146748</v>
      </c>
      <c r="U124" s="392">
        <v>378444</v>
      </c>
      <c r="V124" s="392">
        <v>22775</v>
      </c>
      <c r="W124" s="392">
        <v>110261</v>
      </c>
      <c r="X124" s="392">
        <v>186512</v>
      </c>
      <c r="Y124" s="392">
        <v>317187</v>
      </c>
      <c r="Z124" s="392">
        <v>0</v>
      </c>
      <c r="AA124" s="392">
        <v>1448981</v>
      </c>
      <c r="AB124" s="392">
        <v>0</v>
      </c>
      <c r="AC124" s="392">
        <v>316297</v>
      </c>
      <c r="AD124" s="392">
        <v>26283</v>
      </c>
      <c r="AE124" s="392">
        <v>28733</v>
      </c>
      <c r="AF124" s="392">
        <v>174246</v>
      </c>
      <c r="AG124" s="392">
        <v>4689183</v>
      </c>
      <c r="AH124" s="392">
        <v>0</v>
      </c>
      <c r="AI124" s="392">
        <v>323690</v>
      </c>
      <c r="AJ124" s="392">
        <v>900</v>
      </c>
      <c r="AK124" s="392">
        <v>5013773</v>
      </c>
      <c r="AL124" s="392">
        <v>3096498</v>
      </c>
      <c r="AM124" s="392">
        <v>2802395</v>
      </c>
      <c r="AN124" s="392">
        <v>182830</v>
      </c>
      <c r="AO124" s="392">
        <v>190232</v>
      </c>
      <c r="AP124" s="392">
        <v>285093</v>
      </c>
      <c r="AQ124" s="392">
        <v>162118</v>
      </c>
      <c r="AR124" s="392">
        <v>23252</v>
      </c>
      <c r="AS124" s="392">
        <v>382429</v>
      </c>
      <c r="AT124" s="392">
        <v>92207</v>
      </c>
      <c r="AU124" s="392">
        <v>195148</v>
      </c>
      <c r="AV124" s="392">
        <v>105244</v>
      </c>
      <c r="AW124" s="392">
        <v>320158</v>
      </c>
      <c r="AX124" s="392">
        <v>120435</v>
      </c>
      <c r="AY124" s="786">
        <v>398090</v>
      </c>
      <c r="AZ124" s="392">
        <v>2850640</v>
      </c>
      <c r="BA124" s="639">
        <f>SUM(SNAMEB[[#This Row],[Instruction Expenditures]:[Transfers Out/OtherFinancing]])+SUM(SNAMEB[[#This Row],[General Fund Balance]:[Other Enterprise FundBalance]])</f>
        <v>8110271</v>
      </c>
      <c r="BB124" s="639">
        <f>SUM(SNAMEB[[#This Row],[Property Tax Revenue]:[IDEA/Other Fed Revenue]])+SNAMEB[General Long-term DebtProceeds]+SNAMEB[TransfersIn/Other Financing]+SNAMEB[Fixed Asset Disposition]+SNAMEB[Beginning Fund Balance]</f>
        <v>8110269</v>
      </c>
    </row>
    <row r="125" spans="1:54" x14ac:dyDescent="0.2">
      <c r="A125" s="390">
        <v>7</v>
      </c>
      <c r="B125" s="391" t="s">
        <v>201</v>
      </c>
      <c r="C125" s="631">
        <v>2682</v>
      </c>
      <c r="D125" t="s">
        <v>1119</v>
      </c>
      <c r="E125" s="392">
        <v>1604420</v>
      </c>
      <c r="F125" s="392">
        <v>62559</v>
      </c>
      <c r="G125" s="392">
        <v>286853</v>
      </c>
      <c r="H125" s="392">
        <v>0</v>
      </c>
      <c r="I125" s="392">
        <v>0</v>
      </c>
      <c r="J125" s="392">
        <v>0</v>
      </c>
      <c r="K125" s="392">
        <v>632723</v>
      </c>
      <c r="L125" s="392">
        <v>30662</v>
      </c>
      <c r="M125" s="392">
        <v>0</v>
      </c>
      <c r="N125" s="392">
        <v>127458</v>
      </c>
      <c r="O125" s="392">
        <v>37304</v>
      </c>
      <c r="P125" s="392">
        <v>4982</v>
      </c>
      <c r="Q125" s="392">
        <v>2786961</v>
      </c>
      <c r="R125" s="392">
        <v>2040839</v>
      </c>
      <c r="S125" s="392">
        <v>36104</v>
      </c>
      <c r="T125" s="392">
        <v>137109</v>
      </c>
      <c r="U125" s="392">
        <v>1817389</v>
      </c>
      <c r="V125" s="392">
        <v>23411</v>
      </c>
      <c r="W125" s="392">
        <v>140895</v>
      </c>
      <c r="X125" s="392">
        <v>112135</v>
      </c>
      <c r="Y125" s="392">
        <v>127742</v>
      </c>
      <c r="Z125" s="392">
        <v>0</v>
      </c>
      <c r="AA125" s="392">
        <v>1752511</v>
      </c>
      <c r="AB125" s="392">
        <v>0</v>
      </c>
      <c r="AC125" s="392">
        <v>277775</v>
      </c>
      <c r="AD125" s="392">
        <v>13519</v>
      </c>
      <c r="AE125" s="392">
        <v>52935</v>
      </c>
      <c r="AF125" s="392">
        <v>255525</v>
      </c>
      <c r="AG125" s="392">
        <v>6787888</v>
      </c>
      <c r="AH125" s="392">
        <v>0</v>
      </c>
      <c r="AI125" s="392">
        <v>264068</v>
      </c>
      <c r="AJ125" s="392">
        <v>0</v>
      </c>
      <c r="AK125" s="392">
        <v>7051956</v>
      </c>
      <c r="AL125" s="392">
        <v>2187017</v>
      </c>
      <c r="AM125" s="392">
        <v>3406107</v>
      </c>
      <c r="AN125" s="392">
        <v>99707</v>
      </c>
      <c r="AO125" s="392">
        <v>179573</v>
      </c>
      <c r="AP125" s="392">
        <v>144429</v>
      </c>
      <c r="AQ125" s="392">
        <v>309022</v>
      </c>
      <c r="AR125" s="392">
        <v>104444</v>
      </c>
      <c r="AS125" s="392">
        <v>501551</v>
      </c>
      <c r="AT125" s="392">
        <v>336181</v>
      </c>
      <c r="AU125" s="392">
        <v>265069</v>
      </c>
      <c r="AV125" s="392">
        <v>143825</v>
      </c>
      <c r="AW125" s="392">
        <v>572250</v>
      </c>
      <c r="AX125" s="392">
        <v>136593</v>
      </c>
      <c r="AY125" s="786">
        <v>253260</v>
      </c>
      <c r="AZ125" s="392">
        <v>2786961</v>
      </c>
      <c r="BA125" s="639">
        <f>SUM(SNAMEB[[#This Row],[Instruction Expenditures]:[Transfers Out/OtherFinancing]])+SUM(SNAMEB[[#This Row],[General Fund Balance]:[Other Enterprise FundBalance]])</f>
        <v>9238972</v>
      </c>
      <c r="BB125" s="639">
        <f>SUM(SNAMEB[[#This Row],[Property Tax Revenue]:[IDEA/Other Fed Revenue]])+SNAMEB[General Long-term DebtProceeds]+SNAMEB[TransfersIn/Other Financing]+SNAMEB[Fixed Asset Disposition]+SNAMEB[Beginning Fund Balance]</f>
        <v>9238974</v>
      </c>
    </row>
    <row r="126" spans="1:54" x14ac:dyDescent="0.2">
      <c r="A126" s="390">
        <v>5</v>
      </c>
      <c r="B126" s="391" t="s">
        <v>199</v>
      </c>
      <c r="C126" s="631">
        <v>2556</v>
      </c>
      <c r="D126" t="s">
        <v>630</v>
      </c>
      <c r="E126" s="392">
        <v>654040</v>
      </c>
      <c r="F126" s="392">
        <v>0</v>
      </c>
      <c r="G126" s="392">
        <v>495205</v>
      </c>
      <c r="H126" s="392">
        <v>0</v>
      </c>
      <c r="I126" s="392">
        <v>0</v>
      </c>
      <c r="J126" s="392">
        <v>0</v>
      </c>
      <c r="K126" s="392">
        <v>238043</v>
      </c>
      <c r="L126" s="392">
        <v>142481</v>
      </c>
      <c r="M126" s="392">
        <v>0</v>
      </c>
      <c r="N126" s="392">
        <v>0</v>
      </c>
      <c r="O126" s="392">
        <v>-63358</v>
      </c>
      <c r="P126" s="392">
        <v>0</v>
      </c>
      <c r="Q126" s="392">
        <v>1466410</v>
      </c>
      <c r="R126" s="392">
        <v>2205080</v>
      </c>
      <c r="S126" s="392">
        <v>31072</v>
      </c>
      <c r="T126" s="392">
        <v>35812</v>
      </c>
      <c r="U126" s="392">
        <v>521082</v>
      </c>
      <c r="V126" s="392">
        <v>5501</v>
      </c>
      <c r="W126" s="392">
        <v>139473</v>
      </c>
      <c r="X126" s="392">
        <v>86705</v>
      </c>
      <c r="Y126" s="392">
        <v>251525</v>
      </c>
      <c r="Z126" s="392">
        <v>0</v>
      </c>
      <c r="AA126" s="392">
        <v>1773020</v>
      </c>
      <c r="AB126" s="392">
        <v>0</v>
      </c>
      <c r="AC126" s="392">
        <v>395506</v>
      </c>
      <c r="AD126" s="392">
        <v>15272</v>
      </c>
      <c r="AE126" s="392">
        <v>58016</v>
      </c>
      <c r="AF126" s="392">
        <v>202454</v>
      </c>
      <c r="AG126" s="392">
        <v>5720516</v>
      </c>
      <c r="AH126" s="392">
        <v>0</v>
      </c>
      <c r="AI126" s="392">
        <v>275177</v>
      </c>
      <c r="AJ126" s="392">
        <v>64998</v>
      </c>
      <c r="AK126" s="392">
        <v>6060691</v>
      </c>
      <c r="AL126" s="392">
        <v>1448963</v>
      </c>
      <c r="AM126" s="392">
        <v>3406106</v>
      </c>
      <c r="AN126" s="392">
        <v>83508</v>
      </c>
      <c r="AO126" s="392">
        <v>126116</v>
      </c>
      <c r="AP126" s="392">
        <v>172047</v>
      </c>
      <c r="AQ126" s="392">
        <v>248475</v>
      </c>
      <c r="AR126" s="392">
        <v>128740</v>
      </c>
      <c r="AS126" s="392">
        <v>436199</v>
      </c>
      <c r="AT126" s="392">
        <v>287833</v>
      </c>
      <c r="AU126" s="392">
        <v>281716</v>
      </c>
      <c r="AV126" s="392">
        <v>209772</v>
      </c>
      <c r="AW126" s="392">
        <v>180838</v>
      </c>
      <c r="AX126" s="392">
        <v>156774</v>
      </c>
      <c r="AY126" s="786">
        <v>325118</v>
      </c>
      <c r="AZ126" s="392">
        <v>1466410</v>
      </c>
      <c r="BA126" s="639">
        <f>SUM(SNAMEB[[#This Row],[Instruction Expenditures]:[Transfers Out/OtherFinancing]])+SUM(SNAMEB[[#This Row],[General Fund Balance]:[Other Enterprise FundBalance]])</f>
        <v>7509653</v>
      </c>
      <c r="BB126" s="639">
        <f>SUM(SNAMEB[[#This Row],[Property Tax Revenue]:[IDEA/Other Fed Revenue]])+SNAMEB[General Long-term DebtProceeds]+SNAMEB[TransfersIn/Other Financing]+SNAMEB[Fixed Asset Disposition]+SNAMEB[Beginning Fund Balance]</f>
        <v>7509656</v>
      </c>
    </row>
    <row r="127" spans="1:54" x14ac:dyDescent="0.2">
      <c r="A127" s="390">
        <v>5</v>
      </c>
      <c r="B127" s="391" t="s">
        <v>227</v>
      </c>
      <c r="C127" s="631">
        <v>3195</v>
      </c>
      <c r="D127" t="s">
        <v>1638</v>
      </c>
      <c r="E127" s="392">
        <v>1501756</v>
      </c>
      <c r="F127" s="392">
        <v>138706</v>
      </c>
      <c r="G127" s="392">
        <v>797793</v>
      </c>
      <c r="H127" s="392">
        <v>0</v>
      </c>
      <c r="I127" s="392">
        <v>0</v>
      </c>
      <c r="J127" s="392">
        <v>0</v>
      </c>
      <c r="K127" s="392">
        <v>1379775</v>
      </c>
      <c r="L127" s="392">
        <v>1004283</v>
      </c>
      <c r="M127" s="392">
        <v>0</v>
      </c>
      <c r="N127" s="392">
        <v>2169491</v>
      </c>
      <c r="O127" s="392">
        <v>31096</v>
      </c>
      <c r="P127" s="392">
        <v>216250</v>
      </c>
      <c r="Q127" s="392">
        <v>7239150</v>
      </c>
      <c r="R127" s="392">
        <v>5710496</v>
      </c>
      <c r="S127" s="392">
        <v>247671</v>
      </c>
      <c r="T127" s="392">
        <v>720251</v>
      </c>
      <c r="U127" s="392">
        <v>649578</v>
      </c>
      <c r="V127" s="392">
        <v>24091</v>
      </c>
      <c r="W127" s="392">
        <v>239008</v>
      </c>
      <c r="X127" s="392">
        <v>213198</v>
      </c>
      <c r="Y127" s="392">
        <v>268420</v>
      </c>
      <c r="Z127" s="392">
        <v>0</v>
      </c>
      <c r="AA127" s="392">
        <v>7803153</v>
      </c>
      <c r="AB127" s="392">
        <v>0</v>
      </c>
      <c r="AC127" s="392">
        <v>1282967</v>
      </c>
      <c r="AD127" s="392">
        <v>96716</v>
      </c>
      <c r="AE127" s="392">
        <v>305489</v>
      </c>
      <c r="AF127" s="392">
        <v>747023</v>
      </c>
      <c r="AG127" s="392">
        <v>18308061</v>
      </c>
      <c r="AH127" s="392">
        <v>1350000</v>
      </c>
      <c r="AI127" s="392">
        <v>1563839</v>
      </c>
      <c r="AJ127" s="392">
        <v>2836</v>
      </c>
      <c r="AK127" s="392">
        <v>21224736</v>
      </c>
      <c r="AL127" s="392">
        <v>5863610</v>
      </c>
      <c r="AM127" s="392">
        <v>10857880</v>
      </c>
      <c r="AN127" s="392">
        <v>604521</v>
      </c>
      <c r="AO127" s="392">
        <v>607056</v>
      </c>
      <c r="AP127" s="392">
        <v>333989</v>
      </c>
      <c r="AQ127" s="392">
        <v>769340</v>
      </c>
      <c r="AR127" s="392">
        <v>388444</v>
      </c>
      <c r="AS127" s="392">
        <v>1319139</v>
      </c>
      <c r="AT127" s="392">
        <v>1007685</v>
      </c>
      <c r="AU127" s="392">
        <v>708535</v>
      </c>
      <c r="AV127" s="392">
        <v>472683</v>
      </c>
      <c r="AW127" s="392">
        <v>593122</v>
      </c>
      <c r="AX127" s="392">
        <v>548025</v>
      </c>
      <c r="AY127" s="786">
        <v>1638777</v>
      </c>
      <c r="AZ127" s="392">
        <v>7239150</v>
      </c>
      <c r="BA127" s="639">
        <f>SUM(SNAMEB[[#This Row],[Instruction Expenditures]:[Transfers Out/OtherFinancing]])+SUM(SNAMEB[[#This Row],[General Fund Balance]:[Other Enterprise FundBalance]])</f>
        <v>27088346</v>
      </c>
      <c r="BB127" s="639">
        <f>SUM(SNAMEB[[#This Row],[Property Tax Revenue]:[IDEA/Other Fed Revenue]])+SNAMEB[General Long-term DebtProceeds]+SNAMEB[TransfersIn/Other Financing]+SNAMEB[Fixed Asset Disposition]+SNAMEB[Beginning Fund Balance]</f>
        <v>27088346</v>
      </c>
    </row>
    <row r="128" spans="1:54" x14ac:dyDescent="0.2">
      <c r="A128" s="390">
        <v>7</v>
      </c>
      <c r="B128" s="391" t="s">
        <v>202</v>
      </c>
      <c r="C128" s="631">
        <v>2709</v>
      </c>
      <c r="D128" t="s">
        <v>1120</v>
      </c>
      <c r="E128" s="392">
        <v>3095223</v>
      </c>
      <c r="F128" s="392">
        <v>382248</v>
      </c>
      <c r="G128" s="392">
        <v>452819</v>
      </c>
      <c r="H128" s="392">
        <v>0</v>
      </c>
      <c r="I128" s="392">
        <v>0</v>
      </c>
      <c r="J128" s="392">
        <v>0</v>
      </c>
      <c r="K128" s="392">
        <v>4905962</v>
      </c>
      <c r="L128" s="392">
        <v>219472</v>
      </c>
      <c r="M128" s="392">
        <v>83004</v>
      </c>
      <c r="N128" s="392">
        <v>117707</v>
      </c>
      <c r="O128" s="392">
        <v>22082</v>
      </c>
      <c r="P128" s="392">
        <v>0</v>
      </c>
      <c r="Q128" s="392">
        <v>9278516</v>
      </c>
      <c r="R128" s="392">
        <v>7808831</v>
      </c>
      <c r="S128" s="392">
        <v>171762</v>
      </c>
      <c r="T128" s="392">
        <v>608539</v>
      </c>
      <c r="U128" s="392">
        <v>561557</v>
      </c>
      <c r="V128" s="392">
        <v>13895</v>
      </c>
      <c r="W128" s="392">
        <v>443283</v>
      </c>
      <c r="X128" s="392">
        <v>357110</v>
      </c>
      <c r="Y128" s="392">
        <v>458697</v>
      </c>
      <c r="Z128" s="392">
        <v>0</v>
      </c>
      <c r="AA128" s="392">
        <v>9296027</v>
      </c>
      <c r="AB128" s="392">
        <v>0</v>
      </c>
      <c r="AC128" s="392">
        <v>1596373</v>
      </c>
      <c r="AD128" s="392">
        <v>246232</v>
      </c>
      <c r="AE128" s="392">
        <v>201714</v>
      </c>
      <c r="AF128" s="392">
        <v>725977</v>
      </c>
      <c r="AG128" s="392">
        <v>22489996</v>
      </c>
      <c r="AH128" s="392">
        <v>1757425</v>
      </c>
      <c r="AI128" s="392">
        <v>435765</v>
      </c>
      <c r="AJ128" s="392">
        <v>43685</v>
      </c>
      <c r="AK128" s="392">
        <v>24726871</v>
      </c>
      <c r="AL128" s="392">
        <v>10575403</v>
      </c>
      <c r="AM128" s="392">
        <v>14095011</v>
      </c>
      <c r="AN128" s="392">
        <v>450645</v>
      </c>
      <c r="AO128" s="392">
        <v>540320</v>
      </c>
      <c r="AP128" s="392">
        <v>365016</v>
      </c>
      <c r="AQ128" s="392">
        <v>1183816</v>
      </c>
      <c r="AR128" s="392">
        <v>785691</v>
      </c>
      <c r="AS128" s="392">
        <v>1860762</v>
      </c>
      <c r="AT128" s="392">
        <v>940631</v>
      </c>
      <c r="AU128" s="392">
        <v>854417</v>
      </c>
      <c r="AV128" s="392">
        <v>1340548</v>
      </c>
      <c r="AW128" s="392">
        <v>2459831</v>
      </c>
      <c r="AX128" s="392">
        <v>711305</v>
      </c>
      <c r="AY128" s="786">
        <v>435765</v>
      </c>
      <c r="AZ128" s="392">
        <v>9278516</v>
      </c>
      <c r="BA128" s="639">
        <f>SUM(SNAMEB[[#This Row],[Instruction Expenditures]:[Transfers Out/OtherFinancing]])+SUM(SNAMEB[[#This Row],[General Fund Balance]:[Other Enterprise FundBalance]])</f>
        <v>35302275</v>
      </c>
      <c r="BB128" s="639">
        <f>SUM(SNAMEB[[#This Row],[Property Tax Revenue]:[IDEA/Other Fed Revenue]])+SNAMEB[General Long-term DebtProceeds]+SNAMEB[TransfersIn/Other Financing]+SNAMEB[Fixed Asset Disposition]+SNAMEB[Beginning Fund Balance]</f>
        <v>35302275</v>
      </c>
    </row>
    <row r="129" spans="1:54" x14ac:dyDescent="0.2">
      <c r="A129" s="390">
        <v>13</v>
      </c>
      <c r="B129" s="391" t="s">
        <v>203</v>
      </c>
      <c r="C129" s="631">
        <v>2718</v>
      </c>
      <c r="D129" t="s">
        <v>1121</v>
      </c>
      <c r="E129" s="392">
        <v>561817</v>
      </c>
      <c r="F129" s="392">
        <v>85026</v>
      </c>
      <c r="G129" s="392">
        <v>574028</v>
      </c>
      <c r="H129" s="392">
        <v>0</v>
      </c>
      <c r="I129" s="392">
        <v>0</v>
      </c>
      <c r="J129" s="392">
        <v>0</v>
      </c>
      <c r="K129" s="392">
        <v>242162</v>
      </c>
      <c r="L129" s="392">
        <v>128185</v>
      </c>
      <c r="M129" s="392">
        <v>8990</v>
      </c>
      <c r="N129" s="392">
        <v>417930</v>
      </c>
      <c r="O129" s="392">
        <v>-22989</v>
      </c>
      <c r="P129" s="392">
        <v>0</v>
      </c>
      <c r="Q129" s="392">
        <v>1995148</v>
      </c>
      <c r="R129" s="392">
        <v>2794263</v>
      </c>
      <c r="S129" s="392">
        <v>94666</v>
      </c>
      <c r="T129" s="392">
        <v>28172</v>
      </c>
      <c r="U129" s="392">
        <v>262169</v>
      </c>
      <c r="V129" s="392">
        <v>2449</v>
      </c>
      <c r="W129" s="392">
        <v>175272</v>
      </c>
      <c r="X129" s="392">
        <v>195080</v>
      </c>
      <c r="Y129" s="392">
        <v>174065</v>
      </c>
      <c r="Z129" s="392">
        <v>0</v>
      </c>
      <c r="AA129" s="392">
        <v>2818054</v>
      </c>
      <c r="AB129" s="392">
        <v>0</v>
      </c>
      <c r="AC129" s="392">
        <v>590762</v>
      </c>
      <c r="AD129" s="392">
        <v>13525</v>
      </c>
      <c r="AE129" s="392">
        <v>103957</v>
      </c>
      <c r="AF129" s="392">
        <v>323335</v>
      </c>
      <c r="AG129" s="392">
        <v>7575769</v>
      </c>
      <c r="AH129" s="392">
        <v>195000</v>
      </c>
      <c r="AI129" s="392">
        <v>302607</v>
      </c>
      <c r="AJ129" s="392">
        <v>0</v>
      </c>
      <c r="AK129" s="392">
        <v>8073376</v>
      </c>
      <c r="AL129" s="392">
        <v>2468752</v>
      </c>
      <c r="AM129" s="392">
        <v>4811581</v>
      </c>
      <c r="AN129" s="392">
        <v>150073</v>
      </c>
      <c r="AO129" s="392">
        <v>229952</v>
      </c>
      <c r="AP129" s="392">
        <v>312615</v>
      </c>
      <c r="AQ129" s="392">
        <v>358878</v>
      </c>
      <c r="AR129" s="392">
        <v>73623</v>
      </c>
      <c r="AS129" s="392">
        <v>1026489</v>
      </c>
      <c r="AT129" s="392">
        <v>339941</v>
      </c>
      <c r="AU129" s="392">
        <v>328895</v>
      </c>
      <c r="AV129" s="392">
        <v>88569</v>
      </c>
      <c r="AW129" s="392">
        <v>291392</v>
      </c>
      <c r="AX129" s="392">
        <v>232364</v>
      </c>
      <c r="AY129" s="786">
        <v>302607</v>
      </c>
      <c r="AZ129" s="392">
        <v>1995148</v>
      </c>
      <c r="BA129" s="639">
        <f>SUM(SNAMEB[[#This Row],[Instruction Expenditures]:[Transfers Out/OtherFinancing]])+SUM(SNAMEB[[#This Row],[General Fund Balance]:[Other Enterprise FundBalance]])</f>
        <v>10542128</v>
      </c>
      <c r="BB129" s="639">
        <f>SUM(SNAMEB[[#This Row],[Property Tax Revenue]:[IDEA/Other Fed Revenue]])+SNAMEB[General Long-term DebtProceeds]+SNAMEB[TransfersIn/Other Financing]+SNAMEB[Fixed Asset Disposition]+SNAMEB[Beginning Fund Balance]</f>
        <v>10542128</v>
      </c>
    </row>
    <row r="130" spans="1:54" x14ac:dyDescent="0.2">
      <c r="A130" s="390">
        <v>7</v>
      </c>
      <c r="B130" s="391" t="s">
        <v>204</v>
      </c>
      <c r="C130" s="631">
        <v>2727</v>
      </c>
      <c r="D130" t="s">
        <v>1122</v>
      </c>
      <c r="E130" s="392">
        <v>1626158</v>
      </c>
      <c r="F130" s="392">
        <v>98321</v>
      </c>
      <c r="G130" s="392">
        <v>377871</v>
      </c>
      <c r="H130" s="392">
        <v>0</v>
      </c>
      <c r="I130" s="392">
        <v>0</v>
      </c>
      <c r="J130" s="392">
        <v>0</v>
      </c>
      <c r="K130" s="392">
        <v>104151</v>
      </c>
      <c r="L130" s="392">
        <v>85661</v>
      </c>
      <c r="M130" s="392">
        <v>0</v>
      </c>
      <c r="N130" s="392">
        <v>0</v>
      </c>
      <c r="O130" s="392">
        <v>-10184</v>
      </c>
      <c r="P130" s="392">
        <v>0</v>
      </c>
      <c r="Q130" s="392">
        <v>2281979</v>
      </c>
      <c r="R130" s="392">
        <v>2571449</v>
      </c>
      <c r="S130" s="392">
        <v>124941</v>
      </c>
      <c r="T130" s="392">
        <v>226778</v>
      </c>
      <c r="U130" s="392">
        <v>504307</v>
      </c>
      <c r="V130" s="392">
        <v>11377</v>
      </c>
      <c r="W130" s="392">
        <v>227990</v>
      </c>
      <c r="X130" s="392">
        <v>327198</v>
      </c>
      <c r="Y130" s="392">
        <v>361725</v>
      </c>
      <c r="Z130" s="392">
        <v>0</v>
      </c>
      <c r="AA130" s="392">
        <v>3522027</v>
      </c>
      <c r="AB130" s="392">
        <v>0</v>
      </c>
      <c r="AC130" s="392">
        <v>618338</v>
      </c>
      <c r="AD130" s="392">
        <v>43357</v>
      </c>
      <c r="AE130" s="392">
        <v>63021</v>
      </c>
      <c r="AF130" s="392">
        <v>278214</v>
      </c>
      <c r="AG130" s="392">
        <v>8880721</v>
      </c>
      <c r="AH130" s="392">
        <v>0</v>
      </c>
      <c r="AI130" s="392">
        <v>96523</v>
      </c>
      <c r="AJ130" s="392">
        <v>1915</v>
      </c>
      <c r="AK130" s="392">
        <v>8979159</v>
      </c>
      <c r="AL130" s="392">
        <v>2225378</v>
      </c>
      <c r="AM130" s="392">
        <v>4761698</v>
      </c>
      <c r="AN130" s="392">
        <v>193005</v>
      </c>
      <c r="AO130" s="392">
        <v>374265</v>
      </c>
      <c r="AP130" s="392">
        <v>305625</v>
      </c>
      <c r="AQ130" s="392">
        <v>522052</v>
      </c>
      <c r="AR130" s="392">
        <v>81510</v>
      </c>
      <c r="AS130" s="392">
        <v>638745</v>
      </c>
      <c r="AT130" s="392">
        <v>345190</v>
      </c>
      <c r="AU130" s="392">
        <v>380060</v>
      </c>
      <c r="AV130" s="392">
        <v>862372</v>
      </c>
      <c r="AW130" s="392">
        <v>96523</v>
      </c>
      <c r="AX130" s="392">
        <v>264989</v>
      </c>
      <c r="AY130" s="786">
        <v>96523</v>
      </c>
      <c r="AZ130" s="392">
        <v>2281979</v>
      </c>
      <c r="BA130" s="639">
        <f>SUM(SNAMEB[[#This Row],[Instruction Expenditures]:[Transfers Out/OtherFinancing]])+SUM(SNAMEB[[#This Row],[General Fund Balance]:[Other Enterprise FundBalance]])</f>
        <v>11204535</v>
      </c>
      <c r="BB130" s="639">
        <f>SUM(SNAMEB[[#This Row],[Property Tax Revenue]:[IDEA/Other Fed Revenue]])+SNAMEB[General Long-term DebtProceeds]+SNAMEB[TransfersIn/Other Financing]+SNAMEB[Fixed Asset Disposition]+SNAMEB[Beginning Fund Balance]</f>
        <v>11204538</v>
      </c>
    </row>
    <row r="131" spans="1:54" x14ac:dyDescent="0.2">
      <c r="A131" s="390">
        <v>11</v>
      </c>
      <c r="B131" s="391" t="s">
        <v>205</v>
      </c>
      <c r="C131" s="631">
        <v>2754</v>
      </c>
      <c r="D131" t="s">
        <v>1123</v>
      </c>
      <c r="E131" s="392">
        <v>782615</v>
      </c>
      <c r="F131" s="392">
        <v>34016</v>
      </c>
      <c r="G131" s="392">
        <v>60000</v>
      </c>
      <c r="H131" s="392">
        <v>0</v>
      </c>
      <c r="I131" s="392">
        <v>0</v>
      </c>
      <c r="J131" s="392">
        <v>0</v>
      </c>
      <c r="K131" s="392">
        <v>654598</v>
      </c>
      <c r="L131" s="392">
        <v>561773</v>
      </c>
      <c r="M131" s="392">
        <v>0</v>
      </c>
      <c r="N131" s="392">
        <v>547496</v>
      </c>
      <c r="O131" s="392">
        <v>82814</v>
      </c>
      <c r="P131" s="392">
        <v>0</v>
      </c>
      <c r="Q131" s="392">
        <v>2723312</v>
      </c>
      <c r="R131" s="392">
        <v>1772597</v>
      </c>
      <c r="S131" s="392">
        <v>50109</v>
      </c>
      <c r="T131" s="392">
        <v>164848</v>
      </c>
      <c r="U131" s="392">
        <v>465524</v>
      </c>
      <c r="V131" s="392">
        <v>2449</v>
      </c>
      <c r="W131" s="392">
        <v>166458</v>
      </c>
      <c r="X131" s="392">
        <v>202541</v>
      </c>
      <c r="Y131" s="392">
        <v>148437</v>
      </c>
      <c r="Z131" s="392">
        <v>0</v>
      </c>
      <c r="AA131" s="392">
        <v>2692098</v>
      </c>
      <c r="AB131" s="392">
        <v>0</v>
      </c>
      <c r="AC131" s="392">
        <v>478095</v>
      </c>
      <c r="AD131" s="392">
        <v>7550</v>
      </c>
      <c r="AE131" s="392">
        <v>74536</v>
      </c>
      <c r="AF131" s="392">
        <v>224246</v>
      </c>
      <c r="AG131" s="392">
        <v>6449486</v>
      </c>
      <c r="AH131" s="392">
        <v>0</v>
      </c>
      <c r="AI131" s="392">
        <v>347538</v>
      </c>
      <c r="AJ131" s="392">
        <v>12090</v>
      </c>
      <c r="AK131" s="392">
        <v>6809113</v>
      </c>
      <c r="AL131" s="392">
        <v>2755647</v>
      </c>
      <c r="AM131" s="392">
        <v>3912559</v>
      </c>
      <c r="AN131" s="392">
        <v>113012</v>
      </c>
      <c r="AO131" s="392">
        <v>246512</v>
      </c>
      <c r="AP131" s="392">
        <v>215895</v>
      </c>
      <c r="AQ131" s="392">
        <v>375115</v>
      </c>
      <c r="AR131" s="392">
        <v>91066</v>
      </c>
      <c r="AS131" s="392">
        <v>558326</v>
      </c>
      <c r="AT131" s="392">
        <v>175828</v>
      </c>
      <c r="AU131" s="392">
        <v>325392</v>
      </c>
      <c r="AV131" s="392">
        <v>21738</v>
      </c>
      <c r="AW131" s="392">
        <v>306188</v>
      </c>
      <c r="AX131" s="392">
        <v>191493</v>
      </c>
      <c r="AY131" s="786">
        <v>308326</v>
      </c>
      <c r="AZ131" s="392">
        <v>2723312</v>
      </c>
      <c r="BA131" s="639">
        <f>SUM(SNAMEB[[#This Row],[Instruction Expenditures]:[Transfers Out/OtherFinancing]])+SUM(SNAMEB[[#This Row],[General Fund Balance]:[Other Enterprise FundBalance]])</f>
        <v>9564762</v>
      </c>
      <c r="BB131" s="639">
        <f>SUM(SNAMEB[[#This Row],[Property Tax Revenue]:[IDEA/Other Fed Revenue]])+SNAMEB[General Long-term DebtProceeds]+SNAMEB[TransfersIn/Other Financing]+SNAMEB[Fixed Asset Disposition]+SNAMEB[Beginning Fund Balance]</f>
        <v>9564763</v>
      </c>
    </row>
    <row r="132" spans="1:54" x14ac:dyDescent="0.2">
      <c r="A132" s="390">
        <v>13</v>
      </c>
      <c r="B132" s="391" t="s">
        <v>208</v>
      </c>
      <c r="C132" s="631">
        <v>2772</v>
      </c>
      <c r="D132" t="s">
        <v>1124</v>
      </c>
      <c r="E132" s="392">
        <v>1158676</v>
      </c>
      <c r="F132" s="392">
        <v>1381</v>
      </c>
      <c r="G132" s="392">
        <v>336761</v>
      </c>
      <c r="H132" s="392">
        <v>0</v>
      </c>
      <c r="I132" s="392">
        <v>0</v>
      </c>
      <c r="J132" s="392">
        <v>0</v>
      </c>
      <c r="K132" s="392">
        <v>282774</v>
      </c>
      <c r="L132" s="392">
        <v>421003</v>
      </c>
      <c r="M132" s="392">
        <v>0</v>
      </c>
      <c r="N132" s="392">
        <v>0</v>
      </c>
      <c r="O132" s="392">
        <v>-61660</v>
      </c>
      <c r="P132" s="392">
        <v>0</v>
      </c>
      <c r="Q132" s="392">
        <v>2138935</v>
      </c>
      <c r="R132" s="392">
        <v>1377190</v>
      </c>
      <c r="S132" s="392">
        <v>28691</v>
      </c>
      <c r="T132" s="392">
        <v>105430</v>
      </c>
      <c r="U132" s="392">
        <v>395044</v>
      </c>
      <c r="V132" s="392">
        <v>292</v>
      </c>
      <c r="W132" s="392">
        <v>40307</v>
      </c>
      <c r="X132" s="392">
        <v>4987</v>
      </c>
      <c r="Y132" s="392">
        <v>117185</v>
      </c>
      <c r="Z132" s="392">
        <v>0</v>
      </c>
      <c r="AA132" s="392">
        <v>1383139</v>
      </c>
      <c r="AB132" s="392">
        <v>0</v>
      </c>
      <c r="AC132" s="392">
        <v>278968</v>
      </c>
      <c r="AD132" s="392">
        <v>17032</v>
      </c>
      <c r="AE132" s="392">
        <v>66954</v>
      </c>
      <c r="AF132" s="392">
        <v>151471</v>
      </c>
      <c r="AG132" s="392">
        <v>3966691</v>
      </c>
      <c r="AH132" s="392">
        <v>0</v>
      </c>
      <c r="AI132" s="392">
        <v>30562</v>
      </c>
      <c r="AJ132" s="392">
        <v>0</v>
      </c>
      <c r="AK132" s="392">
        <v>3997253</v>
      </c>
      <c r="AL132" s="392">
        <v>1773202</v>
      </c>
      <c r="AM132" s="392">
        <v>2184485</v>
      </c>
      <c r="AN132" s="392">
        <v>39097</v>
      </c>
      <c r="AO132" s="392">
        <v>102813</v>
      </c>
      <c r="AP132" s="392">
        <v>122761</v>
      </c>
      <c r="AQ132" s="392">
        <v>164622</v>
      </c>
      <c r="AR132" s="392">
        <v>90958</v>
      </c>
      <c r="AS132" s="392">
        <v>333748</v>
      </c>
      <c r="AT132" s="392">
        <v>110166</v>
      </c>
      <c r="AU132" s="392">
        <v>128898</v>
      </c>
      <c r="AV132" s="392">
        <v>223782</v>
      </c>
      <c r="AW132" s="392">
        <v>12374</v>
      </c>
      <c r="AX132" s="392">
        <v>105032</v>
      </c>
      <c r="AY132" s="786">
        <v>12787</v>
      </c>
      <c r="AZ132" s="392">
        <v>2138935</v>
      </c>
      <c r="BA132" s="639">
        <f>SUM(SNAMEB[[#This Row],[Instruction Expenditures]:[Transfers Out/OtherFinancing]])+SUM(SNAMEB[[#This Row],[General Fund Balance]:[Other Enterprise FundBalance]])</f>
        <v>5770458</v>
      </c>
      <c r="BB132" s="639">
        <f>SUM(SNAMEB[[#This Row],[Property Tax Revenue]:[IDEA/Other Fed Revenue]])+SNAMEB[General Long-term DebtProceeds]+SNAMEB[TransfersIn/Other Financing]+SNAMEB[Fixed Asset Disposition]+SNAMEB[Beginning Fund Balance]</f>
        <v>5770454</v>
      </c>
    </row>
    <row r="133" spans="1:54" x14ac:dyDescent="0.2">
      <c r="A133" s="390">
        <v>7</v>
      </c>
      <c r="B133" s="391" t="s">
        <v>209</v>
      </c>
      <c r="C133" s="631">
        <v>2781</v>
      </c>
      <c r="D133" t="s">
        <v>1125</v>
      </c>
      <c r="E133" s="392">
        <v>2145713</v>
      </c>
      <c r="F133" s="392">
        <v>153249</v>
      </c>
      <c r="G133" s="392">
        <v>184857</v>
      </c>
      <c r="H133" s="392">
        <v>0</v>
      </c>
      <c r="I133" s="392">
        <v>0</v>
      </c>
      <c r="J133" s="392">
        <v>0</v>
      </c>
      <c r="K133" s="392">
        <v>1581842</v>
      </c>
      <c r="L133" s="392">
        <v>302974</v>
      </c>
      <c r="M133" s="392">
        <v>0</v>
      </c>
      <c r="N133" s="392">
        <v>31174</v>
      </c>
      <c r="O133" s="392">
        <v>19126</v>
      </c>
      <c r="P133" s="392">
        <v>0</v>
      </c>
      <c r="Q133" s="392">
        <v>4418935</v>
      </c>
      <c r="R133" s="392">
        <v>4967182</v>
      </c>
      <c r="S133" s="392">
        <v>128740</v>
      </c>
      <c r="T133" s="392">
        <v>166545</v>
      </c>
      <c r="U133" s="392">
        <v>465558</v>
      </c>
      <c r="V133" s="392">
        <v>35392</v>
      </c>
      <c r="W133" s="392">
        <v>223841</v>
      </c>
      <c r="X133" s="392">
        <v>231424</v>
      </c>
      <c r="Y133" s="392">
        <v>306794</v>
      </c>
      <c r="Z133" s="392">
        <v>2306</v>
      </c>
      <c r="AA133" s="392">
        <v>8154768</v>
      </c>
      <c r="AB133" s="392">
        <v>0</v>
      </c>
      <c r="AC133" s="392">
        <v>1638768</v>
      </c>
      <c r="AD133" s="392">
        <v>110340</v>
      </c>
      <c r="AE133" s="392">
        <v>441352</v>
      </c>
      <c r="AF133" s="392">
        <v>967469</v>
      </c>
      <c r="AG133" s="392">
        <v>17840481</v>
      </c>
      <c r="AH133" s="392">
        <v>0</v>
      </c>
      <c r="AI133" s="392">
        <v>750875</v>
      </c>
      <c r="AJ133" s="392">
        <v>0</v>
      </c>
      <c r="AK133" s="392">
        <v>18591356</v>
      </c>
      <c r="AL133" s="392">
        <v>4113476</v>
      </c>
      <c r="AM133" s="392">
        <v>10124656</v>
      </c>
      <c r="AN133" s="392">
        <v>390995</v>
      </c>
      <c r="AO133" s="392">
        <v>614118</v>
      </c>
      <c r="AP133" s="392">
        <v>354302</v>
      </c>
      <c r="AQ133" s="392">
        <v>639457</v>
      </c>
      <c r="AR133" s="392">
        <v>241243</v>
      </c>
      <c r="AS133" s="392">
        <v>1041486</v>
      </c>
      <c r="AT133" s="392">
        <v>480123</v>
      </c>
      <c r="AU133" s="392">
        <v>823017</v>
      </c>
      <c r="AV133" s="392">
        <v>1002837</v>
      </c>
      <c r="AW133" s="392">
        <v>1267400</v>
      </c>
      <c r="AX133" s="392">
        <v>555282</v>
      </c>
      <c r="AY133" s="786">
        <v>750983</v>
      </c>
      <c r="AZ133" s="392">
        <v>4418935</v>
      </c>
      <c r="BA133" s="639">
        <f>SUM(SNAMEB[[#This Row],[Instruction Expenditures]:[Transfers Out/OtherFinancing]])+SUM(SNAMEB[[#This Row],[General Fund Balance]:[Other Enterprise FundBalance]])</f>
        <v>22704834</v>
      </c>
      <c r="BB133" s="639">
        <f>SUM(SNAMEB[[#This Row],[Property Tax Revenue]:[IDEA/Other Fed Revenue]])+SNAMEB[General Long-term DebtProceeds]+SNAMEB[TransfersIn/Other Financing]+SNAMEB[Fixed Asset Disposition]+SNAMEB[Beginning Fund Balance]</f>
        <v>22704830</v>
      </c>
    </row>
    <row r="134" spans="1:54" x14ac:dyDescent="0.2">
      <c r="A134" s="390">
        <v>13</v>
      </c>
      <c r="B134" s="391" t="s">
        <v>210</v>
      </c>
      <c r="C134" s="631">
        <v>2826</v>
      </c>
      <c r="D134" t="s">
        <v>1126</v>
      </c>
      <c r="E134" s="392">
        <v>1694615</v>
      </c>
      <c r="F134" s="392">
        <v>151702</v>
      </c>
      <c r="G134" s="392">
        <v>969866</v>
      </c>
      <c r="H134" s="392">
        <v>0</v>
      </c>
      <c r="I134" s="392">
        <v>0</v>
      </c>
      <c r="J134" s="392">
        <v>0</v>
      </c>
      <c r="K134" s="392">
        <v>1233362</v>
      </c>
      <c r="L134" s="392">
        <v>247453</v>
      </c>
      <c r="M134" s="392">
        <v>0</v>
      </c>
      <c r="N134" s="392">
        <v>10328</v>
      </c>
      <c r="O134" s="392">
        <v>139765</v>
      </c>
      <c r="P134" s="392">
        <v>0</v>
      </c>
      <c r="Q134" s="392">
        <v>4447091</v>
      </c>
      <c r="R134" s="392">
        <v>5402154</v>
      </c>
      <c r="S134" s="392">
        <v>99281</v>
      </c>
      <c r="T134" s="392">
        <v>639124</v>
      </c>
      <c r="U134" s="392">
        <v>1179464</v>
      </c>
      <c r="V134" s="392">
        <v>17758</v>
      </c>
      <c r="W134" s="392">
        <v>420202</v>
      </c>
      <c r="X134" s="392">
        <v>634141</v>
      </c>
      <c r="Y134" s="392">
        <v>590601</v>
      </c>
      <c r="Z134" s="392">
        <v>0</v>
      </c>
      <c r="AA134" s="392">
        <v>8022023</v>
      </c>
      <c r="AB134" s="392">
        <v>0</v>
      </c>
      <c r="AC134" s="392">
        <v>1436976</v>
      </c>
      <c r="AD134" s="392">
        <v>102247</v>
      </c>
      <c r="AE134" s="392">
        <v>191364</v>
      </c>
      <c r="AF134" s="392">
        <v>628991</v>
      </c>
      <c r="AG134" s="392">
        <v>19364325</v>
      </c>
      <c r="AH134" s="392">
        <v>0</v>
      </c>
      <c r="AI134" s="392">
        <v>2085269</v>
      </c>
      <c r="AJ134" s="392">
        <v>4844</v>
      </c>
      <c r="AK134" s="392">
        <v>21454438</v>
      </c>
      <c r="AL134" s="392">
        <v>6391895</v>
      </c>
      <c r="AM134" s="392">
        <v>12413516</v>
      </c>
      <c r="AN134" s="392">
        <v>621220</v>
      </c>
      <c r="AO134" s="392">
        <v>480465</v>
      </c>
      <c r="AP134" s="392">
        <v>327254</v>
      </c>
      <c r="AQ134" s="392">
        <v>1066454</v>
      </c>
      <c r="AR134" s="392">
        <v>398077</v>
      </c>
      <c r="AS134" s="392">
        <v>1263149</v>
      </c>
      <c r="AT134" s="392">
        <v>925826</v>
      </c>
      <c r="AU134" s="392">
        <v>815923</v>
      </c>
      <c r="AV134" s="392">
        <v>468003</v>
      </c>
      <c r="AW134" s="392">
        <v>1991622</v>
      </c>
      <c r="AX134" s="392">
        <v>594017</v>
      </c>
      <c r="AY134" s="786">
        <v>2033718</v>
      </c>
      <c r="AZ134" s="392">
        <v>4447091</v>
      </c>
      <c r="BA134" s="639">
        <f>SUM(SNAMEB[[#This Row],[Instruction Expenditures]:[Transfers Out/OtherFinancing]])+SUM(SNAMEB[[#This Row],[General Fund Balance]:[Other Enterprise FundBalance]])</f>
        <v>27846335</v>
      </c>
      <c r="BB134" s="639">
        <f>SUM(SNAMEB[[#This Row],[Property Tax Revenue]:[IDEA/Other Fed Revenue]])+SNAMEB[General Long-term DebtProceeds]+SNAMEB[TransfersIn/Other Financing]+SNAMEB[Fixed Asset Disposition]+SNAMEB[Beginning Fund Balance]</f>
        <v>27846334</v>
      </c>
    </row>
    <row r="135" spans="1:54" x14ac:dyDescent="0.2">
      <c r="A135" s="390">
        <v>15</v>
      </c>
      <c r="B135" s="391" t="s">
        <v>211</v>
      </c>
      <c r="C135" s="631">
        <v>2834</v>
      </c>
      <c r="D135" t="s">
        <v>1127</v>
      </c>
      <c r="E135" s="392">
        <v>405407</v>
      </c>
      <c r="F135" s="392">
        <v>64350</v>
      </c>
      <c r="G135" s="392">
        <v>246811</v>
      </c>
      <c r="H135" s="392">
        <v>0</v>
      </c>
      <c r="I135" s="392">
        <v>0</v>
      </c>
      <c r="J135" s="392">
        <v>0</v>
      </c>
      <c r="K135" s="392">
        <v>363249</v>
      </c>
      <c r="L135" s="392">
        <v>236532</v>
      </c>
      <c r="M135" s="392">
        <v>0</v>
      </c>
      <c r="N135" s="392">
        <v>68671</v>
      </c>
      <c r="O135" s="392">
        <v>-87434</v>
      </c>
      <c r="P135" s="392">
        <v>0</v>
      </c>
      <c r="Q135" s="392">
        <v>1297585</v>
      </c>
      <c r="R135" s="392">
        <v>1696654</v>
      </c>
      <c r="S135" s="392">
        <v>38035</v>
      </c>
      <c r="T135" s="392">
        <v>162600</v>
      </c>
      <c r="U135" s="392">
        <v>167871</v>
      </c>
      <c r="V135" s="392">
        <v>7997</v>
      </c>
      <c r="W135" s="392">
        <v>35442</v>
      </c>
      <c r="X135" s="392">
        <v>74793</v>
      </c>
      <c r="Y135" s="392">
        <v>81024</v>
      </c>
      <c r="Z135" s="392">
        <v>0</v>
      </c>
      <c r="AA135" s="392">
        <v>2283423</v>
      </c>
      <c r="AB135" s="392">
        <v>0</v>
      </c>
      <c r="AC135" s="392">
        <v>326278</v>
      </c>
      <c r="AD135" s="392">
        <v>14002</v>
      </c>
      <c r="AE135" s="392">
        <v>109604</v>
      </c>
      <c r="AF135" s="392">
        <v>164347</v>
      </c>
      <c r="AG135" s="392">
        <v>5162071</v>
      </c>
      <c r="AH135" s="392">
        <v>0</v>
      </c>
      <c r="AI135" s="392">
        <v>249292</v>
      </c>
      <c r="AJ135" s="392">
        <v>606</v>
      </c>
      <c r="AK135" s="392">
        <v>5411969</v>
      </c>
      <c r="AL135" s="392">
        <v>1582300</v>
      </c>
      <c r="AM135" s="392">
        <v>3358612</v>
      </c>
      <c r="AN135" s="392">
        <v>153136</v>
      </c>
      <c r="AO135" s="392">
        <v>71070</v>
      </c>
      <c r="AP135" s="392">
        <v>242845</v>
      </c>
      <c r="AQ135" s="392">
        <v>206309</v>
      </c>
      <c r="AR135" s="392">
        <v>113904</v>
      </c>
      <c r="AS135" s="392">
        <v>329266</v>
      </c>
      <c r="AT135" s="392">
        <v>281346</v>
      </c>
      <c r="AU135" s="392">
        <v>159264</v>
      </c>
      <c r="AV135" s="392">
        <v>101554</v>
      </c>
      <c r="AW135" s="392">
        <v>241933</v>
      </c>
      <c r="AX135" s="392">
        <v>148830</v>
      </c>
      <c r="AY135" s="786">
        <v>288614</v>
      </c>
      <c r="AZ135" s="392">
        <v>1297585</v>
      </c>
      <c r="BA135" s="639">
        <f>SUM(SNAMEB[[#This Row],[Instruction Expenditures]:[Transfers Out/OtherFinancing]])+SUM(SNAMEB[[#This Row],[General Fund Balance]:[Other Enterprise FundBalance]])</f>
        <v>6994269</v>
      </c>
      <c r="BB135" s="639">
        <f>SUM(SNAMEB[[#This Row],[Property Tax Revenue]:[IDEA/Other Fed Revenue]])+SNAMEB[General Long-term DebtProceeds]+SNAMEB[TransfersIn/Other Financing]+SNAMEB[Fixed Asset Disposition]+SNAMEB[Beginning Fund Balance]</f>
        <v>6994268</v>
      </c>
    </row>
    <row r="136" spans="1:54" x14ac:dyDescent="0.2">
      <c r="A136" s="390">
        <v>5</v>
      </c>
      <c r="B136" s="391" t="s">
        <v>212</v>
      </c>
      <c r="C136" s="631">
        <v>2846</v>
      </c>
      <c r="D136" t="s">
        <v>1128</v>
      </c>
      <c r="E136" s="392">
        <v>1736364</v>
      </c>
      <c r="F136" s="392">
        <v>139285</v>
      </c>
      <c r="G136" s="392">
        <v>450188</v>
      </c>
      <c r="H136" s="392">
        <v>0</v>
      </c>
      <c r="I136" s="392">
        <v>0</v>
      </c>
      <c r="J136" s="392">
        <v>0</v>
      </c>
      <c r="K136" s="392">
        <v>659421</v>
      </c>
      <c r="L136" s="392">
        <v>434994</v>
      </c>
      <c r="M136" s="392">
        <v>404936</v>
      </c>
      <c r="N136" s="392">
        <v>315323</v>
      </c>
      <c r="O136" s="392">
        <v>19417</v>
      </c>
      <c r="P136" s="392">
        <v>0</v>
      </c>
      <c r="Q136" s="392">
        <v>4159930</v>
      </c>
      <c r="R136" s="392">
        <v>2174225</v>
      </c>
      <c r="S136" s="392">
        <v>56822</v>
      </c>
      <c r="T136" s="392">
        <v>0</v>
      </c>
      <c r="U136" s="392">
        <v>317677</v>
      </c>
      <c r="V136" s="392">
        <v>66763</v>
      </c>
      <c r="W136" s="392">
        <v>137155</v>
      </c>
      <c r="X136" s="392">
        <v>144649</v>
      </c>
      <c r="Y136" s="392">
        <v>70755</v>
      </c>
      <c r="Z136" s="392">
        <v>0</v>
      </c>
      <c r="AA136" s="392">
        <v>1162664</v>
      </c>
      <c r="AB136" s="392">
        <v>0</v>
      </c>
      <c r="AC136" s="392">
        <v>332962</v>
      </c>
      <c r="AD136" s="392">
        <v>59310</v>
      </c>
      <c r="AE136" s="392">
        <v>30676</v>
      </c>
      <c r="AF136" s="392">
        <v>185517</v>
      </c>
      <c r="AG136" s="392">
        <v>4739175</v>
      </c>
      <c r="AH136" s="392">
        <v>0</v>
      </c>
      <c r="AI136" s="392">
        <v>282301</v>
      </c>
      <c r="AJ136" s="392">
        <v>40000</v>
      </c>
      <c r="AK136" s="392">
        <v>5061476</v>
      </c>
      <c r="AL136" s="392">
        <v>4133897</v>
      </c>
      <c r="AM136" s="392">
        <v>2302984</v>
      </c>
      <c r="AN136" s="392">
        <v>21746</v>
      </c>
      <c r="AO136" s="392">
        <v>114795</v>
      </c>
      <c r="AP136" s="392">
        <v>225953</v>
      </c>
      <c r="AQ136" s="392">
        <v>153651</v>
      </c>
      <c r="AR136" s="392">
        <v>199642</v>
      </c>
      <c r="AS136" s="392">
        <v>336139</v>
      </c>
      <c r="AT136" s="392">
        <v>126936</v>
      </c>
      <c r="AU136" s="392">
        <v>226305</v>
      </c>
      <c r="AV136" s="392">
        <v>356331</v>
      </c>
      <c r="AW136" s="392">
        <v>553875</v>
      </c>
      <c r="AX136" s="392">
        <v>134785</v>
      </c>
      <c r="AY136" s="786">
        <v>282301</v>
      </c>
      <c r="AZ136" s="392">
        <v>4159930</v>
      </c>
      <c r="BA136" s="639">
        <f>SUM(SNAMEB[[#This Row],[Instruction Expenditures]:[Transfers Out/OtherFinancing]])+SUM(SNAMEB[[#This Row],[General Fund Balance]:[Other Enterprise FundBalance]])</f>
        <v>9195371</v>
      </c>
      <c r="BB136" s="639">
        <f>SUM(SNAMEB[[#This Row],[Property Tax Revenue]:[IDEA/Other Fed Revenue]])+SNAMEB[General Long-term DebtProceeds]+SNAMEB[TransfersIn/Other Financing]+SNAMEB[Fixed Asset Disposition]+SNAMEB[Beginning Fund Balance]</f>
        <v>9195373</v>
      </c>
    </row>
    <row r="137" spans="1:54" x14ac:dyDescent="0.2">
      <c r="A137" s="390">
        <v>12</v>
      </c>
      <c r="B137" s="391" t="s">
        <v>213</v>
      </c>
      <c r="C137" s="631">
        <v>2862</v>
      </c>
      <c r="D137" t="s">
        <v>1129</v>
      </c>
      <c r="E137" s="392">
        <v>1245358</v>
      </c>
      <c r="F137" s="392">
        <v>102615</v>
      </c>
      <c r="G137" s="392">
        <v>427206</v>
      </c>
      <c r="H137" s="392">
        <v>0</v>
      </c>
      <c r="I137" s="392">
        <v>0</v>
      </c>
      <c r="J137" s="392">
        <v>0</v>
      </c>
      <c r="K137" s="392">
        <v>1689317</v>
      </c>
      <c r="L137" s="392">
        <v>197309</v>
      </c>
      <c r="M137" s="392">
        <v>0</v>
      </c>
      <c r="N137" s="392">
        <v>0</v>
      </c>
      <c r="O137" s="392">
        <v>26839</v>
      </c>
      <c r="P137" s="392">
        <v>0</v>
      </c>
      <c r="Q137" s="392">
        <v>3688644</v>
      </c>
      <c r="R137" s="392">
        <v>3632607</v>
      </c>
      <c r="S137" s="392">
        <v>28756</v>
      </c>
      <c r="T137" s="392">
        <v>276053</v>
      </c>
      <c r="U137" s="392">
        <v>320545</v>
      </c>
      <c r="V137" s="392">
        <v>52294</v>
      </c>
      <c r="W137" s="392">
        <v>171850</v>
      </c>
      <c r="X137" s="392">
        <v>174578</v>
      </c>
      <c r="Y137" s="392">
        <v>108665</v>
      </c>
      <c r="Z137" s="392">
        <v>420</v>
      </c>
      <c r="AA137" s="392">
        <v>3389109</v>
      </c>
      <c r="AB137" s="392">
        <v>0</v>
      </c>
      <c r="AC137" s="392">
        <v>664208</v>
      </c>
      <c r="AD137" s="392">
        <v>76067</v>
      </c>
      <c r="AE137" s="392">
        <v>96859</v>
      </c>
      <c r="AF137" s="392">
        <v>292350</v>
      </c>
      <c r="AG137" s="392">
        <v>9284361</v>
      </c>
      <c r="AH137" s="392">
        <v>118068</v>
      </c>
      <c r="AI137" s="392">
        <v>90652</v>
      </c>
      <c r="AJ137" s="392">
        <v>0</v>
      </c>
      <c r="AK137" s="392">
        <v>9493080</v>
      </c>
      <c r="AL137" s="392">
        <v>3273286</v>
      </c>
      <c r="AM137" s="392">
        <v>5546521</v>
      </c>
      <c r="AN137" s="392">
        <v>144414</v>
      </c>
      <c r="AO137" s="392">
        <v>311103</v>
      </c>
      <c r="AP137" s="392">
        <v>269631</v>
      </c>
      <c r="AQ137" s="392">
        <v>455196</v>
      </c>
      <c r="AR137" s="392">
        <v>214688</v>
      </c>
      <c r="AS137" s="392">
        <v>631955</v>
      </c>
      <c r="AT137" s="392">
        <v>281470</v>
      </c>
      <c r="AU137" s="392">
        <v>350356</v>
      </c>
      <c r="AV137" s="392">
        <v>425134</v>
      </c>
      <c r="AW137" s="392">
        <v>80633</v>
      </c>
      <c r="AX137" s="392">
        <v>282153</v>
      </c>
      <c r="AY137" s="786">
        <v>84470</v>
      </c>
      <c r="AZ137" s="392">
        <v>3688644</v>
      </c>
      <c r="BA137" s="639">
        <f>SUM(SNAMEB[[#This Row],[Instruction Expenditures]:[Transfers Out/OtherFinancing]])+SUM(SNAMEB[[#This Row],[General Fund Balance]:[Other Enterprise FundBalance]])</f>
        <v>12766368</v>
      </c>
      <c r="BB137" s="639">
        <f>SUM(SNAMEB[[#This Row],[Property Tax Revenue]:[IDEA/Other Fed Revenue]])+SNAMEB[General Long-term DebtProceeds]+SNAMEB[TransfersIn/Other Financing]+SNAMEB[Fixed Asset Disposition]+SNAMEB[Beginning Fund Balance]</f>
        <v>12766367</v>
      </c>
    </row>
    <row r="138" spans="1:54" x14ac:dyDescent="0.2">
      <c r="A138" s="390">
        <v>10</v>
      </c>
      <c r="B138" s="391" t="s">
        <v>214</v>
      </c>
      <c r="C138" s="631">
        <v>2977</v>
      </c>
      <c r="D138" t="s">
        <v>1130</v>
      </c>
      <c r="E138" s="392">
        <v>541595</v>
      </c>
      <c r="F138" s="392">
        <v>114524</v>
      </c>
      <c r="G138" s="392">
        <v>59909</v>
      </c>
      <c r="H138" s="392">
        <v>0</v>
      </c>
      <c r="I138" s="392">
        <v>0</v>
      </c>
      <c r="J138" s="392">
        <v>0</v>
      </c>
      <c r="K138" s="392">
        <v>600602</v>
      </c>
      <c r="L138" s="392">
        <v>1724</v>
      </c>
      <c r="M138" s="392">
        <v>0</v>
      </c>
      <c r="N138" s="392">
        <v>77674</v>
      </c>
      <c r="O138" s="392">
        <v>17454</v>
      </c>
      <c r="P138" s="392">
        <v>-14567</v>
      </c>
      <c r="Q138" s="392">
        <v>1398915</v>
      </c>
      <c r="R138" s="392">
        <v>4052072</v>
      </c>
      <c r="S138" s="392">
        <v>205709</v>
      </c>
      <c r="T138" s="392">
        <v>299621</v>
      </c>
      <c r="U138" s="392">
        <v>895406</v>
      </c>
      <c r="V138" s="392">
        <v>1549</v>
      </c>
      <c r="W138" s="392">
        <v>213212</v>
      </c>
      <c r="X138" s="392">
        <v>123587</v>
      </c>
      <c r="Y138" s="392">
        <v>268486</v>
      </c>
      <c r="Z138" s="392">
        <v>0</v>
      </c>
      <c r="AA138" s="392">
        <v>3537535</v>
      </c>
      <c r="AB138" s="392">
        <v>0</v>
      </c>
      <c r="AC138" s="392">
        <v>650763</v>
      </c>
      <c r="AD138" s="392">
        <v>129644</v>
      </c>
      <c r="AE138" s="392">
        <v>78484</v>
      </c>
      <c r="AF138" s="392">
        <v>254430</v>
      </c>
      <c r="AG138" s="392">
        <v>10710499</v>
      </c>
      <c r="AH138" s="392">
        <v>0</v>
      </c>
      <c r="AI138" s="392">
        <v>414310</v>
      </c>
      <c r="AJ138" s="392">
        <v>0</v>
      </c>
      <c r="AK138" s="392">
        <v>11124809</v>
      </c>
      <c r="AL138" s="392">
        <v>1347347</v>
      </c>
      <c r="AM138" s="392">
        <v>5630386</v>
      </c>
      <c r="AN138" s="392">
        <v>154273</v>
      </c>
      <c r="AO138" s="392">
        <v>254522</v>
      </c>
      <c r="AP138" s="392">
        <v>301567</v>
      </c>
      <c r="AQ138" s="392">
        <v>519586</v>
      </c>
      <c r="AR138" s="392">
        <v>427895</v>
      </c>
      <c r="AS138" s="392">
        <v>717527</v>
      </c>
      <c r="AT138" s="392">
        <v>465869</v>
      </c>
      <c r="AU138" s="392">
        <v>367491</v>
      </c>
      <c r="AV138" s="392">
        <v>432650</v>
      </c>
      <c r="AW138" s="392">
        <v>1117810</v>
      </c>
      <c r="AX138" s="392">
        <v>269355</v>
      </c>
      <c r="AY138" s="786">
        <v>414310</v>
      </c>
      <c r="AZ138" s="392">
        <v>1398915</v>
      </c>
      <c r="BA138" s="639">
        <f>SUM(SNAMEB[[#This Row],[Instruction Expenditures]:[Transfers Out/OtherFinancing]])+SUM(SNAMEB[[#This Row],[General Fund Balance]:[Other Enterprise FundBalance]])</f>
        <v>12472156</v>
      </c>
      <c r="BB138" s="639">
        <f>SUM(SNAMEB[[#This Row],[Property Tax Revenue]:[IDEA/Other Fed Revenue]])+SNAMEB[General Long-term DebtProceeds]+SNAMEB[TransfersIn/Other Financing]+SNAMEB[Fixed Asset Disposition]+SNAMEB[Beginning Fund Balance]</f>
        <v>12472155</v>
      </c>
    </row>
    <row r="139" spans="1:54" x14ac:dyDescent="0.2">
      <c r="A139" s="390">
        <v>12</v>
      </c>
      <c r="B139" s="391" t="s">
        <v>215</v>
      </c>
      <c r="C139" s="631">
        <v>2988</v>
      </c>
      <c r="D139" t="s">
        <v>1131</v>
      </c>
      <c r="E139" s="392">
        <v>1029330</v>
      </c>
      <c r="F139" s="392">
        <v>155989</v>
      </c>
      <c r="G139" s="392">
        <v>209682</v>
      </c>
      <c r="H139" s="392">
        <v>0</v>
      </c>
      <c r="I139" s="392">
        <v>0</v>
      </c>
      <c r="J139" s="392">
        <v>0</v>
      </c>
      <c r="K139" s="392">
        <v>635832</v>
      </c>
      <c r="L139" s="392">
        <v>1101237</v>
      </c>
      <c r="M139" s="392">
        <v>0</v>
      </c>
      <c r="N139" s="392">
        <v>500596</v>
      </c>
      <c r="O139" s="392">
        <v>9668</v>
      </c>
      <c r="P139" s="392">
        <v>55625</v>
      </c>
      <c r="Q139" s="392">
        <v>3697959</v>
      </c>
      <c r="R139" s="392">
        <v>2847990</v>
      </c>
      <c r="S139" s="392">
        <v>48881</v>
      </c>
      <c r="T139" s="392">
        <v>223085</v>
      </c>
      <c r="U139" s="392">
        <v>1925101</v>
      </c>
      <c r="V139" s="392">
        <v>13526</v>
      </c>
      <c r="W139" s="392">
        <v>242138</v>
      </c>
      <c r="X139" s="392">
        <v>523549</v>
      </c>
      <c r="Y139" s="392">
        <v>527627</v>
      </c>
      <c r="Z139" s="392">
        <v>0</v>
      </c>
      <c r="AA139" s="392">
        <v>2801454</v>
      </c>
      <c r="AB139" s="392">
        <v>0</v>
      </c>
      <c r="AC139" s="392">
        <v>692653</v>
      </c>
      <c r="AD139" s="392">
        <v>28800</v>
      </c>
      <c r="AE139" s="392">
        <v>43187</v>
      </c>
      <c r="AF139" s="392">
        <v>209787</v>
      </c>
      <c r="AG139" s="392">
        <v>10127779</v>
      </c>
      <c r="AH139" s="392">
        <v>1013000</v>
      </c>
      <c r="AI139" s="392">
        <v>521004</v>
      </c>
      <c r="AJ139" s="392">
        <v>0</v>
      </c>
      <c r="AK139" s="392">
        <v>11661783</v>
      </c>
      <c r="AL139" s="392">
        <v>2744538</v>
      </c>
      <c r="AM139" s="392">
        <v>6064056</v>
      </c>
      <c r="AN139" s="392">
        <v>221544</v>
      </c>
      <c r="AO139" s="392">
        <v>168327</v>
      </c>
      <c r="AP139" s="392">
        <v>397199</v>
      </c>
      <c r="AQ139" s="392">
        <v>397622</v>
      </c>
      <c r="AR139" s="392">
        <v>113820</v>
      </c>
      <c r="AS139" s="392">
        <v>511956</v>
      </c>
      <c r="AT139" s="392">
        <v>500363</v>
      </c>
      <c r="AU139" s="392">
        <v>350149</v>
      </c>
      <c r="AV139" s="392">
        <v>292098</v>
      </c>
      <c r="AW139" s="392">
        <v>945260</v>
      </c>
      <c r="AX139" s="392">
        <v>224967</v>
      </c>
      <c r="AY139" s="786">
        <v>521004</v>
      </c>
      <c r="AZ139" s="392">
        <v>3697959</v>
      </c>
      <c r="BA139" s="639">
        <f>SUM(SNAMEB[[#This Row],[Instruction Expenditures]:[Transfers Out/OtherFinancing]])+SUM(SNAMEB[[#This Row],[General Fund Balance]:[Other Enterprise FundBalance]])</f>
        <v>14406324</v>
      </c>
      <c r="BB139" s="639">
        <f>SUM(SNAMEB[[#This Row],[Property Tax Revenue]:[IDEA/Other Fed Revenue]])+SNAMEB[General Long-term DebtProceeds]+SNAMEB[TransfersIn/Other Financing]+SNAMEB[Fixed Asset Disposition]+SNAMEB[Beginning Fund Balance]</f>
        <v>14406320</v>
      </c>
    </row>
    <row r="140" spans="1:54" x14ac:dyDescent="0.2">
      <c r="A140" s="390">
        <v>10</v>
      </c>
      <c r="B140" s="391" t="s">
        <v>207</v>
      </c>
      <c r="C140" s="631">
        <v>2766</v>
      </c>
      <c r="D140" t="s">
        <v>920</v>
      </c>
      <c r="E140" s="392">
        <v>212126</v>
      </c>
      <c r="F140" s="392">
        <v>39208</v>
      </c>
      <c r="G140" s="392">
        <v>293610</v>
      </c>
      <c r="H140" s="392">
        <v>0</v>
      </c>
      <c r="I140" s="392">
        <v>0</v>
      </c>
      <c r="J140" s="392">
        <v>0</v>
      </c>
      <c r="K140" s="392">
        <v>604090</v>
      </c>
      <c r="L140" s="392">
        <v>291709</v>
      </c>
      <c r="M140" s="392">
        <v>0</v>
      </c>
      <c r="N140" s="392">
        <v>133557</v>
      </c>
      <c r="O140" s="392">
        <v>-54409</v>
      </c>
      <c r="P140" s="392">
        <v>-184734</v>
      </c>
      <c r="Q140" s="392">
        <v>1335156</v>
      </c>
      <c r="R140" s="392">
        <v>2190140</v>
      </c>
      <c r="S140" s="392">
        <v>175924</v>
      </c>
      <c r="T140" s="392">
        <v>156098</v>
      </c>
      <c r="U140" s="392">
        <v>186365</v>
      </c>
      <c r="V140" s="392">
        <v>8381</v>
      </c>
      <c r="W140" s="392">
        <v>138031</v>
      </c>
      <c r="X140" s="392">
        <v>141378</v>
      </c>
      <c r="Y140" s="392">
        <v>214346</v>
      </c>
      <c r="Z140" s="392">
        <v>0</v>
      </c>
      <c r="AA140" s="392">
        <v>1557821</v>
      </c>
      <c r="AB140" s="392">
        <v>0</v>
      </c>
      <c r="AC140" s="392">
        <v>284649</v>
      </c>
      <c r="AD140" s="392">
        <v>18045</v>
      </c>
      <c r="AE140" s="392">
        <v>36130</v>
      </c>
      <c r="AF140" s="392">
        <v>182841</v>
      </c>
      <c r="AG140" s="392">
        <v>5290150</v>
      </c>
      <c r="AH140" s="392">
        <v>0</v>
      </c>
      <c r="AI140" s="392">
        <v>220051</v>
      </c>
      <c r="AJ140" s="392">
        <v>0</v>
      </c>
      <c r="AK140" s="392">
        <v>5510201</v>
      </c>
      <c r="AL140" s="392">
        <v>1957760</v>
      </c>
      <c r="AM140" s="392">
        <v>3219049</v>
      </c>
      <c r="AN140" s="392">
        <v>160644</v>
      </c>
      <c r="AO140" s="392">
        <v>31882</v>
      </c>
      <c r="AP140" s="392">
        <v>424388</v>
      </c>
      <c r="AQ140" s="392">
        <v>172413</v>
      </c>
      <c r="AR140" s="392">
        <v>123282</v>
      </c>
      <c r="AS140" s="392">
        <v>370434</v>
      </c>
      <c r="AT140" s="392">
        <v>329362</v>
      </c>
      <c r="AU140" s="392">
        <v>258113</v>
      </c>
      <c r="AV140" s="392">
        <v>93916</v>
      </c>
      <c r="AW140" s="392">
        <v>522531</v>
      </c>
      <c r="AX140" s="392">
        <v>132141</v>
      </c>
      <c r="AY140" s="786">
        <v>294651</v>
      </c>
      <c r="AZ140" s="392">
        <v>1335156</v>
      </c>
      <c r="BA140" s="639">
        <f>SUM(SNAMEB[[#This Row],[Instruction Expenditures]:[Transfers Out/OtherFinancing]])+SUM(SNAMEB[[#This Row],[General Fund Balance]:[Other Enterprise FundBalance]])</f>
        <v>7467963</v>
      </c>
      <c r="BB140" s="639">
        <f>SUM(SNAMEB[[#This Row],[Property Tax Revenue]:[IDEA/Other Fed Revenue]])+SNAMEB[General Long-term DebtProceeds]+SNAMEB[TransfersIn/Other Financing]+SNAMEB[Fixed Asset Disposition]+SNAMEB[Beginning Fund Balance]</f>
        <v>7467960</v>
      </c>
    </row>
    <row r="141" spans="1:54" x14ac:dyDescent="0.2">
      <c r="A141" s="390">
        <v>1</v>
      </c>
      <c r="B141" s="391" t="s">
        <v>216</v>
      </c>
      <c r="C141" s="631">
        <v>3029</v>
      </c>
      <c r="D141" t="s">
        <v>1132</v>
      </c>
      <c r="E141" s="392">
        <v>2750296</v>
      </c>
      <c r="F141" s="392">
        <v>285003</v>
      </c>
      <c r="G141" s="392">
        <v>793974</v>
      </c>
      <c r="H141" s="392">
        <v>0</v>
      </c>
      <c r="I141" s="392">
        <v>20000</v>
      </c>
      <c r="J141" s="392">
        <v>0</v>
      </c>
      <c r="K141" s="392">
        <v>2014799</v>
      </c>
      <c r="L141" s="392">
        <v>779876</v>
      </c>
      <c r="M141" s="392">
        <v>0</v>
      </c>
      <c r="N141" s="392">
        <v>135287</v>
      </c>
      <c r="O141" s="392">
        <v>358190</v>
      </c>
      <c r="P141" s="392">
        <v>0</v>
      </c>
      <c r="Q141" s="392">
        <v>7137425</v>
      </c>
      <c r="R141" s="392">
        <v>6035361</v>
      </c>
      <c r="S141" s="392">
        <v>62694</v>
      </c>
      <c r="T141" s="392">
        <v>372654</v>
      </c>
      <c r="U141" s="392">
        <v>323678</v>
      </c>
      <c r="V141" s="392">
        <v>14713</v>
      </c>
      <c r="W141" s="392">
        <v>279226</v>
      </c>
      <c r="X141" s="392">
        <v>281726</v>
      </c>
      <c r="Y141" s="392">
        <v>309601</v>
      </c>
      <c r="Z141" s="392">
        <v>0</v>
      </c>
      <c r="AA141" s="392">
        <v>6859446</v>
      </c>
      <c r="AB141" s="392">
        <v>0</v>
      </c>
      <c r="AC141" s="392">
        <v>1341687</v>
      </c>
      <c r="AD141" s="392">
        <v>80689</v>
      </c>
      <c r="AE141" s="392">
        <v>275546</v>
      </c>
      <c r="AF141" s="392">
        <v>701163</v>
      </c>
      <c r="AG141" s="392">
        <v>16938185</v>
      </c>
      <c r="AH141" s="392">
        <v>0</v>
      </c>
      <c r="AI141" s="392">
        <v>524036</v>
      </c>
      <c r="AJ141" s="392">
        <v>200</v>
      </c>
      <c r="AK141" s="392">
        <v>17462421</v>
      </c>
      <c r="AL141" s="392">
        <v>7343923</v>
      </c>
      <c r="AM141" s="392">
        <v>9906903</v>
      </c>
      <c r="AN141" s="392">
        <v>454745</v>
      </c>
      <c r="AO141" s="392">
        <v>451938</v>
      </c>
      <c r="AP141" s="392">
        <v>358643</v>
      </c>
      <c r="AQ141" s="392">
        <v>694167</v>
      </c>
      <c r="AR141" s="392">
        <v>284291</v>
      </c>
      <c r="AS141" s="392">
        <v>1175467</v>
      </c>
      <c r="AT141" s="392">
        <v>1136096</v>
      </c>
      <c r="AU141" s="392">
        <v>774472</v>
      </c>
      <c r="AV141" s="392">
        <v>821271</v>
      </c>
      <c r="AW141" s="392">
        <v>521849</v>
      </c>
      <c r="AX141" s="392">
        <v>564600</v>
      </c>
      <c r="AY141" s="786">
        <v>524476</v>
      </c>
      <c r="AZ141" s="392">
        <v>7137425</v>
      </c>
      <c r="BA141" s="639">
        <f>SUM(SNAMEB[[#This Row],[Instruction Expenditures]:[Transfers Out/OtherFinancing]])+SUM(SNAMEB[[#This Row],[General Fund Balance]:[Other Enterprise FundBalance]])</f>
        <v>24806343</v>
      </c>
      <c r="BB141" s="639">
        <f>SUM(SNAMEB[[#This Row],[Property Tax Revenue]:[IDEA/Other Fed Revenue]])+SNAMEB[General Long-term DebtProceeds]+SNAMEB[TransfersIn/Other Financing]+SNAMEB[Fixed Asset Disposition]+SNAMEB[Beginning Fund Balance]</f>
        <v>24806343</v>
      </c>
    </row>
    <row r="142" spans="1:54" x14ac:dyDescent="0.2">
      <c r="A142" s="390">
        <v>7</v>
      </c>
      <c r="B142" s="391" t="s">
        <v>217</v>
      </c>
      <c r="C142" s="631">
        <v>3033</v>
      </c>
      <c r="D142" t="s">
        <v>640</v>
      </c>
      <c r="E142" s="392">
        <v>547809</v>
      </c>
      <c r="F142" s="392">
        <v>28883</v>
      </c>
      <c r="G142" s="392">
        <v>241741</v>
      </c>
      <c r="H142" s="392">
        <v>0</v>
      </c>
      <c r="I142" s="392">
        <v>0</v>
      </c>
      <c r="J142" s="392">
        <v>0</v>
      </c>
      <c r="K142" s="392">
        <v>411070</v>
      </c>
      <c r="L142" s="392">
        <v>224269</v>
      </c>
      <c r="M142" s="392">
        <v>0</v>
      </c>
      <c r="N142" s="392">
        <v>219205</v>
      </c>
      <c r="O142" s="392">
        <v>93407</v>
      </c>
      <c r="P142" s="392">
        <v>-22066</v>
      </c>
      <c r="Q142" s="392">
        <v>1744317</v>
      </c>
      <c r="R142" s="392">
        <v>3207656</v>
      </c>
      <c r="S142" s="392">
        <v>59387</v>
      </c>
      <c r="T142" s="392">
        <v>0</v>
      </c>
      <c r="U142" s="392">
        <v>1230660</v>
      </c>
      <c r="V142" s="392">
        <v>13624</v>
      </c>
      <c r="W142" s="392">
        <v>97574</v>
      </c>
      <c r="X142" s="392">
        <v>39831</v>
      </c>
      <c r="Y142" s="392">
        <v>203212</v>
      </c>
      <c r="Z142" s="392">
        <v>0</v>
      </c>
      <c r="AA142" s="392">
        <v>1949086</v>
      </c>
      <c r="AB142" s="392">
        <v>0</v>
      </c>
      <c r="AC142" s="392">
        <v>425714</v>
      </c>
      <c r="AD142" s="392">
        <v>52096</v>
      </c>
      <c r="AE142" s="392">
        <v>64316</v>
      </c>
      <c r="AF142" s="392">
        <v>218201</v>
      </c>
      <c r="AG142" s="392">
        <v>7561356</v>
      </c>
      <c r="AH142" s="392">
        <v>0</v>
      </c>
      <c r="AI142" s="392">
        <v>471086</v>
      </c>
      <c r="AJ142" s="392">
        <v>30368</v>
      </c>
      <c r="AK142" s="392">
        <v>8062809</v>
      </c>
      <c r="AL142" s="392">
        <v>3945007</v>
      </c>
      <c r="AM142" s="392">
        <v>4662806</v>
      </c>
      <c r="AN142" s="392">
        <v>66914</v>
      </c>
      <c r="AO142" s="392">
        <v>137074</v>
      </c>
      <c r="AP142" s="392">
        <v>176790</v>
      </c>
      <c r="AQ142" s="392">
        <v>289034</v>
      </c>
      <c r="AR142" s="392">
        <v>92412</v>
      </c>
      <c r="AS142" s="392">
        <v>596293</v>
      </c>
      <c r="AT142" s="392">
        <v>275445</v>
      </c>
      <c r="AU142" s="392">
        <v>256122</v>
      </c>
      <c r="AV142" s="392">
        <v>2026334</v>
      </c>
      <c r="AW142" s="392">
        <v>1003170</v>
      </c>
      <c r="AX142" s="392">
        <v>181813</v>
      </c>
      <c r="AY142" s="786">
        <v>499293</v>
      </c>
      <c r="AZ142" s="392">
        <v>1744317</v>
      </c>
      <c r="BA142" s="639">
        <f>SUM(SNAMEB[[#This Row],[Instruction Expenditures]:[Transfers Out/OtherFinancing]])+SUM(SNAMEB[[#This Row],[General Fund Balance]:[Other Enterprise FundBalance]])</f>
        <v>12007818</v>
      </c>
      <c r="BB142" s="639">
        <f>SUM(SNAMEB[[#This Row],[Property Tax Revenue]:[IDEA/Other Fed Revenue]])+SNAMEB[General Long-term DebtProceeds]+SNAMEB[TransfersIn/Other Financing]+SNAMEB[Fixed Asset Disposition]+SNAMEB[Beginning Fund Balance]</f>
        <v>12007818</v>
      </c>
    </row>
    <row r="143" spans="1:54" x14ac:dyDescent="0.2">
      <c r="A143" s="390">
        <v>7</v>
      </c>
      <c r="B143" s="391" t="s">
        <v>218</v>
      </c>
      <c r="C143" s="631">
        <v>3042</v>
      </c>
      <c r="D143" t="s">
        <v>1134</v>
      </c>
      <c r="E143" s="392">
        <v>2549697</v>
      </c>
      <c r="F143" s="392">
        <v>78407</v>
      </c>
      <c r="G143" s="392">
        <v>480284</v>
      </c>
      <c r="H143" s="392">
        <v>0</v>
      </c>
      <c r="I143" s="392">
        <v>0</v>
      </c>
      <c r="J143" s="392">
        <v>0</v>
      </c>
      <c r="K143" s="392">
        <v>632137</v>
      </c>
      <c r="L143" s="392">
        <v>296700</v>
      </c>
      <c r="M143" s="392">
        <v>0</v>
      </c>
      <c r="N143" s="392">
        <v>0</v>
      </c>
      <c r="O143" s="392">
        <v>-15882</v>
      </c>
      <c r="P143" s="392">
        <v>0</v>
      </c>
      <c r="Q143" s="392">
        <v>4021343</v>
      </c>
      <c r="R143" s="392">
        <v>2864415</v>
      </c>
      <c r="S143" s="392">
        <v>29379</v>
      </c>
      <c r="T143" s="392">
        <v>80810</v>
      </c>
      <c r="U143" s="392">
        <v>573815</v>
      </c>
      <c r="V143" s="392">
        <v>21515</v>
      </c>
      <c r="W143" s="392">
        <v>185687</v>
      </c>
      <c r="X143" s="392">
        <v>457022</v>
      </c>
      <c r="Y143" s="392">
        <v>337877</v>
      </c>
      <c r="Z143" s="392">
        <v>0</v>
      </c>
      <c r="AA143" s="392">
        <v>4101462</v>
      </c>
      <c r="AB143" s="392">
        <v>0</v>
      </c>
      <c r="AC143" s="392">
        <v>654070</v>
      </c>
      <c r="AD143" s="392">
        <v>53584</v>
      </c>
      <c r="AE143" s="392">
        <v>58015</v>
      </c>
      <c r="AF143" s="392">
        <v>232673</v>
      </c>
      <c r="AG143" s="392">
        <v>9650323</v>
      </c>
      <c r="AH143" s="392">
        <v>476437</v>
      </c>
      <c r="AI143" s="392">
        <v>298534</v>
      </c>
      <c r="AJ143" s="392">
        <v>25533</v>
      </c>
      <c r="AK143" s="392">
        <v>10450827</v>
      </c>
      <c r="AL143" s="392">
        <v>3961551</v>
      </c>
      <c r="AM143" s="392">
        <v>6305429</v>
      </c>
      <c r="AN143" s="392">
        <v>239740</v>
      </c>
      <c r="AO143" s="392">
        <v>230955</v>
      </c>
      <c r="AP143" s="392">
        <v>265407</v>
      </c>
      <c r="AQ143" s="392">
        <v>478968</v>
      </c>
      <c r="AR143" s="392">
        <v>138809</v>
      </c>
      <c r="AS143" s="392">
        <v>633304</v>
      </c>
      <c r="AT143" s="392">
        <v>339765</v>
      </c>
      <c r="AU143" s="392">
        <v>314030</v>
      </c>
      <c r="AV143" s="392">
        <v>518461</v>
      </c>
      <c r="AW143" s="392">
        <v>277430</v>
      </c>
      <c r="AX143" s="392">
        <v>285152</v>
      </c>
      <c r="AY143" s="786">
        <v>363585</v>
      </c>
      <c r="AZ143" s="392">
        <v>4021343</v>
      </c>
      <c r="BA143" s="639">
        <f>SUM(SNAMEB[[#This Row],[Instruction Expenditures]:[Transfers Out/OtherFinancing]])+SUM(SNAMEB[[#This Row],[General Fund Balance]:[Other Enterprise FundBalance]])</f>
        <v>14412378</v>
      </c>
      <c r="BB143" s="639">
        <f>SUM(SNAMEB[[#This Row],[Property Tax Revenue]:[IDEA/Other Fed Revenue]])+SNAMEB[General Long-term DebtProceeds]+SNAMEB[TransfersIn/Other Financing]+SNAMEB[Fixed Asset Disposition]+SNAMEB[Beginning Fund Balance]</f>
        <v>14412379</v>
      </c>
    </row>
    <row r="144" spans="1:54" x14ac:dyDescent="0.2">
      <c r="A144" s="390">
        <v>5</v>
      </c>
      <c r="B144" s="391" t="s">
        <v>219</v>
      </c>
      <c r="C144" s="631">
        <v>3060</v>
      </c>
      <c r="D144" t="s">
        <v>1135</v>
      </c>
      <c r="E144" s="392">
        <v>2498762</v>
      </c>
      <c r="F144" s="392">
        <v>65761</v>
      </c>
      <c r="G144" s="392">
        <v>455999</v>
      </c>
      <c r="H144" s="392">
        <v>0</v>
      </c>
      <c r="I144" s="392">
        <v>0</v>
      </c>
      <c r="J144" s="392">
        <v>0</v>
      </c>
      <c r="K144" s="392">
        <v>1336689</v>
      </c>
      <c r="L144" s="392">
        <v>109206</v>
      </c>
      <c r="M144" s="392">
        <v>0</v>
      </c>
      <c r="N144" s="392">
        <v>354365</v>
      </c>
      <c r="O144" s="392">
        <v>492142</v>
      </c>
      <c r="P144" s="392">
        <v>0</v>
      </c>
      <c r="Q144" s="392">
        <v>5312923</v>
      </c>
      <c r="R144" s="392">
        <v>5229829</v>
      </c>
      <c r="S144" s="392">
        <v>152939</v>
      </c>
      <c r="T144" s="392">
        <v>436263</v>
      </c>
      <c r="U144" s="392">
        <v>1467012</v>
      </c>
      <c r="V144" s="392">
        <v>11823</v>
      </c>
      <c r="W144" s="392">
        <v>291474</v>
      </c>
      <c r="X144" s="392">
        <v>189126</v>
      </c>
      <c r="Y144" s="392">
        <v>616315</v>
      </c>
      <c r="Z144" s="392">
        <v>0</v>
      </c>
      <c r="AA144" s="392">
        <v>7481389</v>
      </c>
      <c r="AB144" s="392">
        <v>0</v>
      </c>
      <c r="AC144" s="392">
        <v>1336673</v>
      </c>
      <c r="AD144" s="392">
        <v>128756</v>
      </c>
      <c r="AE144" s="392">
        <v>187698</v>
      </c>
      <c r="AF144" s="392">
        <v>707164</v>
      </c>
      <c r="AG144" s="392">
        <v>18236461</v>
      </c>
      <c r="AH144" s="392">
        <v>0</v>
      </c>
      <c r="AI144" s="392">
        <v>956206</v>
      </c>
      <c r="AJ144" s="392">
        <v>1611</v>
      </c>
      <c r="AK144" s="392">
        <v>19194278</v>
      </c>
      <c r="AL144" s="392">
        <v>4276286</v>
      </c>
      <c r="AM144" s="392">
        <v>10339094</v>
      </c>
      <c r="AN144" s="392">
        <v>273010</v>
      </c>
      <c r="AO144" s="392">
        <v>967435</v>
      </c>
      <c r="AP144" s="392">
        <v>291831</v>
      </c>
      <c r="AQ144" s="392">
        <v>900799</v>
      </c>
      <c r="AR144" s="392">
        <v>223725</v>
      </c>
      <c r="AS144" s="392">
        <v>1101190</v>
      </c>
      <c r="AT144" s="392">
        <v>598909</v>
      </c>
      <c r="AU144" s="392">
        <v>565627</v>
      </c>
      <c r="AV144" s="392">
        <v>455279</v>
      </c>
      <c r="AW144" s="392">
        <v>956050</v>
      </c>
      <c r="AX144" s="392">
        <v>530083</v>
      </c>
      <c r="AY144" s="786">
        <v>954609</v>
      </c>
      <c r="AZ144" s="392">
        <v>5312923</v>
      </c>
      <c r="BA144" s="639">
        <f>SUM(SNAMEB[[#This Row],[Instruction Expenditures]:[Transfers Out/OtherFinancing]])+SUM(SNAMEB[[#This Row],[General Fund Balance]:[Other Enterprise FundBalance]])</f>
        <v>23470565</v>
      </c>
      <c r="BB144" s="639">
        <f>SUM(SNAMEB[[#This Row],[Property Tax Revenue]:[IDEA/Other Fed Revenue]])+SNAMEB[General Long-term DebtProceeds]+SNAMEB[TransfersIn/Other Financing]+SNAMEB[Fixed Asset Disposition]+SNAMEB[Beginning Fund Balance]</f>
        <v>23470564</v>
      </c>
    </row>
    <row r="145" spans="1:54" x14ac:dyDescent="0.2">
      <c r="A145" s="390">
        <v>13</v>
      </c>
      <c r="B145" s="408" t="s">
        <v>1484</v>
      </c>
      <c r="C145" s="631">
        <v>3168</v>
      </c>
      <c r="D145" t="s">
        <v>1481</v>
      </c>
      <c r="E145" s="392">
        <v>2135949</v>
      </c>
      <c r="F145" s="392">
        <v>138471</v>
      </c>
      <c r="G145" s="392">
        <v>613721</v>
      </c>
      <c r="H145" s="392">
        <v>0</v>
      </c>
      <c r="I145" s="392">
        <v>0</v>
      </c>
      <c r="J145" s="392">
        <v>0</v>
      </c>
      <c r="K145" s="392">
        <v>2356054</v>
      </c>
      <c r="L145" s="392">
        <v>170187</v>
      </c>
      <c r="M145" s="392">
        <v>0</v>
      </c>
      <c r="N145" s="392">
        <v>4166</v>
      </c>
      <c r="O145" s="392">
        <v>-103651</v>
      </c>
      <c r="P145" s="392">
        <v>0</v>
      </c>
      <c r="Q145" s="392">
        <v>5314897</v>
      </c>
      <c r="R145" s="392">
        <v>3102676</v>
      </c>
      <c r="S145" s="392">
        <v>78410</v>
      </c>
      <c r="T145" s="392">
        <v>363964</v>
      </c>
      <c r="U145" s="392">
        <v>393200</v>
      </c>
      <c r="V145" s="392">
        <v>18396</v>
      </c>
      <c r="W145" s="392">
        <v>198257</v>
      </c>
      <c r="X145" s="392">
        <v>184215</v>
      </c>
      <c r="Y145" s="392">
        <v>219073</v>
      </c>
      <c r="Z145" s="392">
        <v>0</v>
      </c>
      <c r="AA145" s="392">
        <v>3419082</v>
      </c>
      <c r="AB145" s="392">
        <v>0</v>
      </c>
      <c r="AC145" s="392">
        <v>709763</v>
      </c>
      <c r="AD145" s="392">
        <v>30936</v>
      </c>
      <c r="AE145" s="392">
        <v>76314</v>
      </c>
      <c r="AF145" s="392">
        <v>290901</v>
      </c>
      <c r="AG145" s="392">
        <v>9085187</v>
      </c>
      <c r="AH145" s="392">
        <v>0</v>
      </c>
      <c r="AI145" s="392">
        <v>230420</v>
      </c>
      <c r="AJ145" s="392">
        <v>2916</v>
      </c>
      <c r="AK145" s="392">
        <v>9318523</v>
      </c>
      <c r="AL145" s="392">
        <v>5184310</v>
      </c>
      <c r="AM145" s="392">
        <v>5395455</v>
      </c>
      <c r="AN145" s="392">
        <v>179157</v>
      </c>
      <c r="AO145" s="392">
        <v>277174</v>
      </c>
      <c r="AP145" s="392">
        <v>220703</v>
      </c>
      <c r="AQ145" s="392">
        <v>371898</v>
      </c>
      <c r="AR145" s="392">
        <v>281624</v>
      </c>
      <c r="AS145" s="392">
        <v>560982</v>
      </c>
      <c r="AT145" s="392">
        <v>471219</v>
      </c>
      <c r="AU145" s="392">
        <v>335726</v>
      </c>
      <c r="AV145" s="392">
        <v>342416</v>
      </c>
      <c r="AW145" s="392">
        <v>230420</v>
      </c>
      <c r="AX145" s="392">
        <v>290743</v>
      </c>
      <c r="AY145" s="786">
        <v>230420</v>
      </c>
      <c r="AZ145" s="392">
        <v>5314897</v>
      </c>
      <c r="BA145" s="639">
        <f>SUM(SNAMEB[[#This Row],[Instruction Expenditures]:[Transfers Out/OtherFinancing]])+SUM(SNAMEB[[#This Row],[General Fund Balance]:[Other Enterprise FundBalance]])</f>
        <v>14502834</v>
      </c>
      <c r="BB145" s="639">
        <f>SUM(SNAMEB[[#This Row],[Property Tax Revenue]:[IDEA/Other Fed Revenue]])+SNAMEB[General Long-term DebtProceeds]+SNAMEB[TransfersIn/Other Financing]+SNAMEB[Fixed Asset Disposition]+SNAMEB[Beginning Fund Balance]</f>
        <v>14502833</v>
      </c>
    </row>
    <row r="146" spans="1:54" x14ac:dyDescent="0.2">
      <c r="A146" s="390">
        <v>7</v>
      </c>
      <c r="B146" s="391" t="s">
        <v>220</v>
      </c>
      <c r="C146" s="631">
        <v>3105</v>
      </c>
      <c r="D146" t="s">
        <v>1136</v>
      </c>
      <c r="E146" s="392">
        <v>2855304</v>
      </c>
      <c r="F146" s="392">
        <v>254890</v>
      </c>
      <c r="G146" s="392">
        <v>364407</v>
      </c>
      <c r="H146" s="392">
        <v>0</v>
      </c>
      <c r="I146" s="392">
        <v>1136</v>
      </c>
      <c r="J146" s="392">
        <v>0</v>
      </c>
      <c r="K146" s="392">
        <v>542097</v>
      </c>
      <c r="L146" s="392">
        <v>239673</v>
      </c>
      <c r="M146" s="392">
        <v>0</v>
      </c>
      <c r="N146" s="392">
        <v>995310</v>
      </c>
      <c r="O146" s="392">
        <v>296309</v>
      </c>
      <c r="P146" s="392">
        <v>0</v>
      </c>
      <c r="Q146" s="392">
        <v>5549124</v>
      </c>
      <c r="R146" s="392">
        <v>6749280</v>
      </c>
      <c r="S146" s="392">
        <v>90795</v>
      </c>
      <c r="T146" s="392">
        <v>604819</v>
      </c>
      <c r="U146" s="392">
        <v>785128</v>
      </c>
      <c r="V146" s="392">
        <v>21488</v>
      </c>
      <c r="W146" s="392">
        <v>404070</v>
      </c>
      <c r="X146" s="392">
        <v>458815</v>
      </c>
      <c r="Y146" s="392">
        <v>1811329</v>
      </c>
      <c r="Z146" s="392">
        <v>0</v>
      </c>
      <c r="AA146" s="392">
        <v>8791117</v>
      </c>
      <c r="AB146" s="392">
        <v>0</v>
      </c>
      <c r="AC146" s="392">
        <v>1450256</v>
      </c>
      <c r="AD146" s="392">
        <v>140467</v>
      </c>
      <c r="AE146" s="392">
        <v>171771</v>
      </c>
      <c r="AF146" s="392">
        <v>592136</v>
      </c>
      <c r="AG146" s="392">
        <v>22071470</v>
      </c>
      <c r="AH146" s="392">
        <v>1500000</v>
      </c>
      <c r="AI146" s="392">
        <v>1162555</v>
      </c>
      <c r="AJ146" s="392">
        <v>50000</v>
      </c>
      <c r="AK146" s="392">
        <v>24784025</v>
      </c>
      <c r="AL146" s="392">
        <v>4371973</v>
      </c>
      <c r="AM146" s="392">
        <v>11880864</v>
      </c>
      <c r="AN146" s="392">
        <v>477588</v>
      </c>
      <c r="AO146" s="392">
        <v>343287</v>
      </c>
      <c r="AP146" s="392">
        <v>326941</v>
      </c>
      <c r="AQ146" s="392">
        <v>821200</v>
      </c>
      <c r="AR146" s="392">
        <v>564894</v>
      </c>
      <c r="AS146" s="392">
        <v>1310701</v>
      </c>
      <c r="AT146" s="392">
        <v>859883</v>
      </c>
      <c r="AU146" s="392">
        <v>822713</v>
      </c>
      <c r="AV146" s="392">
        <v>2540577</v>
      </c>
      <c r="AW146" s="392">
        <v>1879730</v>
      </c>
      <c r="AX146" s="392">
        <v>630152</v>
      </c>
      <c r="AY146" s="786">
        <v>1148345</v>
      </c>
      <c r="AZ146" s="392">
        <v>5549124</v>
      </c>
      <c r="BA146" s="639">
        <f>SUM(SNAMEB[[#This Row],[Instruction Expenditures]:[Transfers Out/OtherFinancing]])+SUM(SNAMEB[[#This Row],[General Fund Balance]:[Other Enterprise FundBalance]])</f>
        <v>29156001</v>
      </c>
      <c r="BB146" s="639">
        <f>SUM(SNAMEB[[#This Row],[Property Tax Revenue]:[IDEA/Other Fed Revenue]])+SNAMEB[General Long-term DebtProceeds]+SNAMEB[TransfersIn/Other Financing]+SNAMEB[Fixed Asset Disposition]+SNAMEB[Beginning Fund Balance]</f>
        <v>29155999</v>
      </c>
    </row>
    <row r="147" spans="1:54" x14ac:dyDescent="0.2">
      <c r="A147" s="390">
        <v>11</v>
      </c>
      <c r="B147" s="391" t="s">
        <v>221</v>
      </c>
      <c r="C147" s="631">
        <v>3114</v>
      </c>
      <c r="D147" t="s">
        <v>1137</v>
      </c>
      <c r="E147" s="392">
        <v>5782809</v>
      </c>
      <c r="F147" s="392">
        <v>191914</v>
      </c>
      <c r="G147" s="392">
        <v>1599641</v>
      </c>
      <c r="H147" s="392">
        <v>0</v>
      </c>
      <c r="I147" s="392">
        <v>0</v>
      </c>
      <c r="J147" s="392">
        <v>0</v>
      </c>
      <c r="K147" s="392">
        <v>1781019</v>
      </c>
      <c r="L147" s="392">
        <v>0</v>
      </c>
      <c r="M147" s="392">
        <v>0</v>
      </c>
      <c r="N147" s="392">
        <v>1312932</v>
      </c>
      <c r="O147" s="392">
        <v>314793</v>
      </c>
      <c r="P147" s="392">
        <v>25552</v>
      </c>
      <c r="Q147" s="392">
        <v>11008658</v>
      </c>
      <c r="R147" s="392">
        <v>15050649</v>
      </c>
      <c r="S147" s="392">
        <v>189148</v>
      </c>
      <c r="T147" s="392">
        <v>1035320</v>
      </c>
      <c r="U147" s="392">
        <v>1446419</v>
      </c>
      <c r="V147" s="392">
        <v>23508</v>
      </c>
      <c r="W147" s="392">
        <v>809326</v>
      </c>
      <c r="X147" s="392">
        <v>950703</v>
      </c>
      <c r="Y147" s="392">
        <v>1302304</v>
      </c>
      <c r="Z147" s="392">
        <v>0</v>
      </c>
      <c r="AA147" s="392">
        <v>20992708</v>
      </c>
      <c r="AB147" s="392">
        <v>0</v>
      </c>
      <c r="AC147" s="392">
        <v>4531290</v>
      </c>
      <c r="AD147" s="392">
        <v>170136</v>
      </c>
      <c r="AE147" s="392">
        <v>323813</v>
      </c>
      <c r="AF147" s="392">
        <v>1179860</v>
      </c>
      <c r="AG147" s="392">
        <v>48005185</v>
      </c>
      <c r="AH147" s="392">
        <v>9900154</v>
      </c>
      <c r="AI147" s="392">
        <v>3440149</v>
      </c>
      <c r="AJ147" s="392">
        <v>23</v>
      </c>
      <c r="AK147" s="392">
        <v>61345510</v>
      </c>
      <c r="AL147" s="392">
        <v>19089641</v>
      </c>
      <c r="AM147" s="392">
        <v>25192780</v>
      </c>
      <c r="AN147" s="392">
        <v>888746</v>
      </c>
      <c r="AO147" s="392">
        <v>1858862</v>
      </c>
      <c r="AP147" s="392">
        <v>492614</v>
      </c>
      <c r="AQ147" s="392">
        <v>2066314</v>
      </c>
      <c r="AR147" s="392">
        <v>1177232</v>
      </c>
      <c r="AS147" s="392">
        <v>3840180</v>
      </c>
      <c r="AT147" s="392">
        <v>1364095</v>
      </c>
      <c r="AU147" s="392">
        <v>2229715</v>
      </c>
      <c r="AV147" s="392">
        <v>10740388</v>
      </c>
      <c r="AW147" s="392">
        <v>14766260</v>
      </c>
      <c r="AX147" s="392">
        <v>1369096</v>
      </c>
      <c r="AY147" s="786">
        <v>3440209</v>
      </c>
      <c r="AZ147" s="392">
        <v>11008658</v>
      </c>
      <c r="BA147" s="639">
        <f>SUM(SNAMEB[[#This Row],[Instruction Expenditures]:[Transfers Out/OtherFinancing]])+SUM(SNAMEB[[#This Row],[General Fund Balance]:[Other Enterprise FundBalance]])</f>
        <v>80435151</v>
      </c>
      <c r="BB147" s="639">
        <f>SUM(SNAMEB[[#This Row],[Property Tax Revenue]:[IDEA/Other Fed Revenue]])+SNAMEB[General Long-term DebtProceeds]+SNAMEB[TransfersIn/Other Financing]+SNAMEB[Fixed Asset Disposition]+SNAMEB[Beginning Fund Balance]</f>
        <v>80435151</v>
      </c>
    </row>
    <row r="148" spans="1:54" x14ac:dyDescent="0.2">
      <c r="A148" s="390">
        <v>11</v>
      </c>
      <c r="B148" s="391" t="s">
        <v>222</v>
      </c>
      <c r="C148" s="631">
        <v>3119</v>
      </c>
      <c r="D148" t="s">
        <v>1138</v>
      </c>
      <c r="E148" s="392">
        <v>1576897</v>
      </c>
      <c r="F148" s="392">
        <v>136544</v>
      </c>
      <c r="G148" s="392">
        <v>201609</v>
      </c>
      <c r="H148" s="392">
        <v>0</v>
      </c>
      <c r="I148" s="392">
        <v>0</v>
      </c>
      <c r="J148" s="392">
        <v>0</v>
      </c>
      <c r="K148" s="392">
        <v>-109314</v>
      </c>
      <c r="L148" s="392">
        <v>51855</v>
      </c>
      <c r="M148" s="392">
        <v>0</v>
      </c>
      <c r="N148" s="392">
        <v>66864</v>
      </c>
      <c r="O148" s="392">
        <v>-58848</v>
      </c>
      <c r="P148" s="392">
        <v>-14896</v>
      </c>
      <c r="Q148" s="392">
        <v>1850711</v>
      </c>
      <c r="R148" s="392">
        <v>3098785</v>
      </c>
      <c r="S148" s="392">
        <v>687959</v>
      </c>
      <c r="T148" s="392">
        <v>0</v>
      </c>
      <c r="U148" s="392">
        <v>470514</v>
      </c>
      <c r="V148" s="392">
        <v>2484</v>
      </c>
      <c r="W148" s="392">
        <v>304574</v>
      </c>
      <c r="X148" s="392">
        <v>279040</v>
      </c>
      <c r="Y148" s="392">
        <v>249672</v>
      </c>
      <c r="Z148" s="392">
        <v>0</v>
      </c>
      <c r="AA148" s="392">
        <v>5422936</v>
      </c>
      <c r="AB148" s="392">
        <v>0</v>
      </c>
      <c r="AC148" s="392">
        <v>916334</v>
      </c>
      <c r="AD148" s="392">
        <v>20913</v>
      </c>
      <c r="AE148" s="392">
        <v>82943</v>
      </c>
      <c r="AF148" s="392">
        <v>366557</v>
      </c>
      <c r="AG148" s="392">
        <v>11902709</v>
      </c>
      <c r="AH148" s="392">
        <v>0</v>
      </c>
      <c r="AI148" s="392">
        <v>312851</v>
      </c>
      <c r="AJ148" s="392">
        <v>20574</v>
      </c>
      <c r="AK148" s="392">
        <v>12236134</v>
      </c>
      <c r="AL148" s="392">
        <v>2161801</v>
      </c>
      <c r="AM148" s="392">
        <v>6620717</v>
      </c>
      <c r="AN148" s="392">
        <v>173525</v>
      </c>
      <c r="AO148" s="392">
        <v>630503</v>
      </c>
      <c r="AP148" s="392">
        <v>628191</v>
      </c>
      <c r="AQ148" s="392">
        <v>544818</v>
      </c>
      <c r="AR148" s="392">
        <v>124132</v>
      </c>
      <c r="AS148" s="392">
        <v>664014</v>
      </c>
      <c r="AT148" s="392">
        <v>517411</v>
      </c>
      <c r="AU148" s="392">
        <v>504490</v>
      </c>
      <c r="AV148" s="392">
        <v>603019</v>
      </c>
      <c r="AW148" s="392">
        <v>777526</v>
      </c>
      <c r="AX148" s="392">
        <v>358150</v>
      </c>
      <c r="AY148" s="786">
        <v>400727</v>
      </c>
      <c r="AZ148" s="392">
        <v>1850711</v>
      </c>
      <c r="BA148" s="639">
        <f>SUM(SNAMEB[[#This Row],[Instruction Expenditures]:[Transfers Out/OtherFinancing]])+SUM(SNAMEB[[#This Row],[General Fund Balance]:[Other Enterprise FundBalance]])</f>
        <v>14397934</v>
      </c>
      <c r="BB148" s="639">
        <f>SUM(SNAMEB[[#This Row],[Property Tax Revenue]:[IDEA/Other Fed Revenue]])+SNAMEB[General Long-term DebtProceeds]+SNAMEB[TransfersIn/Other Financing]+SNAMEB[Fixed Asset Disposition]+SNAMEB[Beginning Fund Balance]</f>
        <v>14397937</v>
      </c>
    </row>
    <row r="149" spans="1:54" x14ac:dyDescent="0.2">
      <c r="A149" s="390">
        <v>10</v>
      </c>
      <c r="B149" s="391" t="s">
        <v>223</v>
      </c>
      <c r="C149" s="631">
        <v>3141</v>
      </c>
      <c r="D149" t="s">
        <v>1139</v>
      </c>
      <c r="E149" s="392">
        <v>20335434</v>
      </c>
      <c r="F149" s="392">
        <v>1130199</v>
      </c>
      <c r="G149" s="392">
        <v>1991707</v>
      </c>
      <c r="H149" s="392">
        <v>0</v>
      </c>
      <c r="I149" s="392">
        <v>0</v>
      </c>
      <c r="J149" s="392">
        <v>0</v>
      </c>
      <c r="K149" s="392">
        <v>26006769</v>
      </c>
      <c r="L149" s="392">
        <v>4851588</v>
      </c>
      <c r="M149" s="392">
        <v>0</v>
      </c>
      <c r="N149" s="392">
        <v>212234</v>
      </c>
      <c r="O149" s="392">
        <v>831993</v>
      </c>
      <c r="P149" s="392">
        <v>0</v>
      </c>
      <c r="Q149" s="392">
        <v>55359925</v>
      </c>
      <c r="R149" s="392">
        <v>70836348</v>
      </c>
      <c r="S149" s="392">
        <v>1005584</v>
      </c>
      <c r="T149" s="392">
        <v>6938174</v>
      </c>
      <c r="U149" s="392">
        <v>1198651</v>
      </c>
      <c r="V149" s="392">
        <v>413825</v>
      </c>
      <c r="W149" s="392">
        <v>2357084</v>
      </c>
      <c r="X149" s="392">
        <v>2314891</v>
      </c>
      <c r="Y149" s="392">
        <v>2817579</v>
      </c>
      <c r="Z149" s="392">
        <v>0</v>
      </c>
      <c r="AA149" s="392">
        <v>69722642</v>
      </c>
      <c r="AB149" s="392">
        <v>0</v>
      </c>
      <c r="AC149" s="392">
        <v>17731884</v>
      </c>
      <c r="AD149" s="392">
        <v>2569205</v>
      </c>
      <c r="AE149" s="392">
        <v>1937259</v>
      </c>
      <c r="AF149" s="392">
        <v>7972104</v>
      </c>
      <c r="AG149" s="392">
        <v>187815229</v>
      </c>
      <c r="AH149" s="392">
        <v>64724294</v>
      </c>
      <c r="AI149" s="392">
        <v>6789315</v>
      </c>
      <c r="AJ149" s="392">
        <v>11905</v>
      </c>
      <c r="AK149" s="392">
        <v>259340743</v>
      </c>
      <c r="AL149" s="392">
        <v>33465156</v>
      </c>
      <c r="AM149" s="392">
        <v>101832622</v>
      </c>
      <c r="AN149" s="392">
        <v>4763198</v>
      </c>
      <c r="AO149" s="392">
        <v>9713121</v>
      </c>
      <c r="AP149" s="392">
        <v>1869778</v>
      </c>
      <c r="AQ149" s="392">
        <v>6894713</v>
      </c>
      <c r="AR149" s="392">
        <v>3817771</v>
      </c>
      <c r="AS149" s="392">
        <v>13136712</v>
      </c>
      <c r="AT149" s="392">
        <v>4660066</v>
      </c>
      <c r="AU149" s="392">
        <v>6410426</v>
      </c>
      <c r="AV149" s="392">
        <v>61803988</v>
      </c>
      <c r="AW149" s="392">
        <v>10100183</v>
      </c>
      <c r="AX149" s="392">
        <v>5654082</v>
      </c>
      <c r="AY149" s="786">
        <v>6789315</v>
      </c>
      <c r="AZ149" s="392">
        <v>55359925</v>
      </c>
      <c r="BA149" s="639">
        <f>SUM(SNAMEB[[#This Row],[Instruction Expenditures]:[Transfers Out/OtherFinancing]])+SUM(SNAMEB[[#This Row],[General Fund Balance]:[Other Enterprise FundBalance]])</f>
        <v>292805899</v>
      </c>
      <c r="BB149" s="639">
        <f>SUM(SNAMEB[[#This Row],[Property Tax Revenue]:[IDEA/Other Fed Revenue]])+SNAMEB[General Long-term DebtProceeds]+SNAMEB[TransfersIn/Other Financing]+SNAMEB[Fixed Asset Disposition]+SNAMEB[Beginning Fund Balance]</f>
        <v>292805900</v>
      </c>
    </row>
    <row r="150" spans="1:54" x14ac:dyDescent="0.2">
      <c r="A150" s="390">
        <v>7</v>
      </c>
      <c r="B150" s="391" t="s">
        <v>224</v>
      </c>
      <c r="C150" s="631">
        <v>3150</v>
      </c>
      <c r="D150" t="s">
        <v>1140</v>
      </c>
      <c r="E150" s="392">
        <v>2935531</v>
      </c>
      <c r="F150" s="392">
        <v>163789</v>
      </c>
      <c r="G150" s="392">
        <v>275368</v>
      </c>
      <c r="H150" s="392">
        <v>0</v>
      </c>
      <c r="I150" s="392">
        <v>0</v>
      </c>
      <c r="J150" s="392">
        <v>0</v>
      </c>
      <c r="K150" s="392">
        <v>778102</v>
      </c>
      <c r="L150" s="392">
        <v>216475</v>
      </c>
      <c r="M150" s="392">
        <v>0</v>
      </c>
      <c r="N150" s="392">
        <v>0</v>
      </c>
      <c r="O150" s="392">
        <v>-85234</v>
      </c>
      <c r="P150" s="392">
        <v>16214</v>
      </c>
      <c r="Q150" s="392">
        <v>4300246</v>
      </c>
      <c r="R150" s="392">
        <v>4140849</v>
      </c>
      <c r="S150" s="392">
        <v>130331</v>
      </c>
      <c r="T150" s="392">
        <v>375426</v>
      </c>
      <c r="U150" s="392">
        <v>1250548</v>
      </c>
      <c r="V150" s="392">
        <v>23386</v>
      </c>
      <c r="W150" s="392">
        <v>261869</v>
      </c>
      <c r="X150" s="392">
        <v>311789</v>
      </c>
      <c r="Y150" s="392">
        <v>529169</v>
      </c>
      <c r="Z150" s="392">
        <v>0</v>
      </c>
      <c r="AA150" s="392">
        <v>6711226</v>
      </c>
      <c r="AB150" s="392">
        <v>0</v>
      </c>
      <c r="AC150" s="392">
        <v>1446591</v>
      </c>
      <c r="AD150" s="392">
        <v>123278</v>
      </c>
      <c r="AE150" s="392">
        <v>178231</v>
      </c>
      <c r="AF150" s="392">
        <v>492915</v>
      </c>
      <c r="AG150" s="392">
        <v>15975607</v>
      </c>
      <c r="AH150" s="392">
        <v>550000</v>
      </c>
      <c r="AI150" s="392">
        <v>160167</v>
      </c>
      <c r="AJ150" s="392">
        <v>2839</v>
      </c>
      <c r="AK150" s="392">
        <v>16688613</v>
      </c>
      <c r="AL150" s="392">
        <v>3176574</v>
      </c>
      <c r="AM150" s="392">
        <v>9407072</v>
      </c>
      <c r="AN150" s="392">
        <v>492681</v>
      </c>
      <c r="AO150" s="392">
        <v>692878</v>
      </c>
      <c r="AP150" s="392">
        <v>349392</v>
      </c>
      <c r="AQ150" s="392">
        <v>845989</v>
      </c>
      <c r="AR150" s="392">
        <v>147402</v>
      </c>
      <c r="AS150" s="392">
        <v>1026398</v>
      </c>
      <c r="AT150" s="392">
        <v>434026</v>
      </c>
      <c r="AU150" s="392">
        <v>602267</v>
      </c>
      <c r="AV150" s="392">
        <v>618585</v>
      </c>
      <c r="AW150" s="392">
        <v>160167</v>
      </c>
      <c r="AX150" s="392">
        <v>473668</v>
      </c>
      <c r="AY150" s="786">
        <v>314418</v>
      </c>
      <c r="AZ150" s="392">
        <v>4300246</v>
      </c>
      <c r="BA150" s="639">
        <f>SUM(SNAMEB[[#This Row],[Instruction Expenditures]:[Transfers Out/OtherFinancing]])+SUM(SNAMEB[[#This Row],[General Fund Balance]:[Other Enterprise FundBalance]])</f>
        <v>19865188</v>
      </c>
      <c r="BB150" s="639">
        <f>SUM(SNAMEB[[#This Row],[Property Tax Revenue]:[IDEA/Other Fed Revenue]])+SNAMEB[General Long-term DebtProceeds]+SNAMEB[TransfersIn/Other Financing]+SNAMEB[Fixed Asset Disposition]+SNAMEB[Beginning Fund Balance]</f>
        <v>19865188</v>
      </c>
    </row>
    <row r="151" spans="1:54" x14ac:dyDescent="0.2">
      <c r="A151" s="390">
        <v>10</v>
      </c>
      <c r="B151" s="391" t="s">
        <v>225</v>
      </c>
      <c r="C151" s="631">
        <v>3154</v>
      </c>
      <c r="D151" t="s">
        <v>1141</v>
      </c>
      <c r="E151" s="392">
        <v>1020558</v>
      </c>
      <c r="F151" s="392">
        <v>45057</v>
      </c>
      <c r="G151" s="392">
        <v>591570</v>
      </c>
      <c r="H151" s="392">
        <v>0</v>
      </c>
      <c r="I151" s="392">
        <v>0</v>
      </c>
      <c r="J151" s="392">
        <v>0</v>
      </c>
      <c r="K151" s="392">
        <v>4573478</v>
      </c>
      <c r="L151" s="392">
        <v>231719</v>
      </c>
      <c r="M151" s="392">
        <v>0</v>
      </c>
      <c r="N151" s="392">
        <v>8820</v>
      </c>
      <c r="O151" s="392">
        <v>-57570</v>
      </c>
      <c r="P151" s="392">
        <v>-29093</v>
      </c>
      <c r="Q151" s="392">
        <v>6384538</v>
      </c>
      <c r="R151" s="392">
        <v>1784143</v>
      </c>
      <c r="S151" s="392">
        <v>40089</v>
      </c>
      <c r="T151" s="392">
        <v>424989</v>
      </c>
      <c r="U151" s="392">
        <v>274009</v>
      </c>
      <c r="V151" s="392">
        <v>3221</v>
      </c>
      <c r="W151" s="392">
        <v>146086</v>
      </c>
      <c r="X151" s="392">
        <v>115268</v>
      </c>
      <c r="Y151" s="392">
        <v>181029</v>
      </c>
      <c r="Z151" s="392">
        <v>0</v>
      </c>
      <c r="AA151" s="392">
        <v>3350854</v>
      </c>
      <c r="AB151" s="392">
        <v>0</v>
      </c>
      <c r="AC151" s="392">
        <v>728135</v>
      </c>
      <c r="AD151" s="392">
        <v>48685</v>
      </c>
      <c r="AE151" s="392">
        <v>78590</v>
      </c>
      <c r="AF151" s="392">
        <v>239069</v>
      </c>
      <c r="AG151" s="392">
        <v>7414167</v>
      </c>
      <c r="AH151" s="392">
        <v>3970000</v>
      </c>
      <c r="AI151" s="392">
        <v>0</v>
      </c>
      <c r="AJ151" s="392">
        <v>0</v>
      </c>
      <c r="AK151" s="392">
        <v>11384167</v>
      </c>
      <c r="AL151" s="392">
        <v>2122635</v>
      </c>
      <c r="AM151" s="392">
        <v>4525875</v>
      </c>
      <c r="AN151" s="392">
        <v>120456</v>
      </c>
      <c r="AO151" s="392">
        <v>197428</v>
      </c>
      <c r="AP151" s="392">
        <v>179686</v>
      </c>
      <c r="AQ151" s="392">
        <v>364010</v>
      </c>
      <c r="AR151" s="392">
        <v>115602</v>
      </c>
      <c r="AS151" s="392">
        <v>451000</v>
      </c>
      <c r="AT151" s="392">
        <v>193761</v>
      </c>
      <c r="AU151" s="392">
        <v>302507</v>
      </c>
      <c r="AV151" s="392">
        <v>213272</v>
      </c>
      <c r="AW151" s="392">
        <v>221725</v>
      </c>
      <c r="AX151" s="392">
        <v>235467</v>
      </c>
      <c r="AY151" s="786">
        <v>1474</v>
      </c>
      <c r="AZ151" s="392">
        <v>6384538</v>
      </c>
      <c r="BA151" s="639">
        <f>SUM(SNAMEB[[#This Row],[Instruction Expenditures]:[Transfers Out/OtherFinancing]])+SUM(SNAMEB[[#This Row],[General Fund Balance]:[Other Enterprise FundBalance]])</f>
        <v>13506802</v>
      </c>
      <c r="BB151" s="639">
        <f>SUM(SNAMEB[[#This Row],[Property Tax Revenue]:[IDEA/Other Fed Revenue]])+SNAMEB[General Long-term DebtProceeds]+SNAMEB[TransfersIn/Other Financing]+SNAMEB[Fixed Asset Disposition]+SNAMEB[Beginning Fund Balance]</f>
        <v>13506802</v>
      </c>
    </row>
    <row r="152" spans="1:54" x14ac:dyDescent="0.2">
      <c r="A152" s="390">
        <v>7</v>
      </c>
      <c r="B152" s="391" t="s">
        <v>226</v>
      </c>
      <c r="C152" s="631">
        <v>3186</v>
      </c>
      <c r="D152" t="s">
        <v>1142</v>
      </c>
      <c r="E152" s="392">
        <v>1397497</v>
      </c>
      <c r="F152" s="392">
        <v>55588</v>
      </c>
      <c r="G152" s="392">
        <v>462172</v>
      </c>
      <c r="H152" s="392">
        <v>0</v>
      </c>
      <c r="I152" s="392">
        <v>0</v>
      </c>
      <c r="J152" s="392">
        <v>0</v>
      </c>
      <c r="K152" s="392">
        <v>687026</v>
      </c>
      <c r="L152" s="392">
        <v>176509</v>
      </c>
      <c r="M152" s="392">
        <v>0</v>
      </c>
      <c r="N152" s="392">
        <v>4344</v>
      </c>
      <c r="O152" s="392">
        <v>27768</v>
      </c>
      <c r="P152" s="392">
        <v>146244</v>
      </c>
      <c r="Q152" s="392">
        <v>2957148</v>
      </c>
      <c r="R152" s="392">
        <v>1479610</v>
      </c>
      <c r="S152" s="392">
        <v>35676</v>
      </c>
      <c r="T152" s="392">
        <v>163200</v>
      </c>
      <c r="U152" s="392">
        <v>467274</v>
      </c>
      <c r="V152" s="392">
        <v>9826</v>
      </c>
      <c r="W152" s="392">
        <v>93100</v>
      </c>
      <c r="X152" s="392">
        <v>184488</v>
      </c>
      <c r="Y152" s="392">
        <v>145347</v>
      </c>
      <c r="Z152" s="392">
        <v>0</v>
      </c>
      <c r="AA152" s="392">
        <v>2175762</v>
      </c>
      <c r="AB152" s="392">
        <v>0</v>
      </c>
      <c r="AC152" s="392">
        <v>393216</v>
      </c>
      <c r="AD152" s="392">
        <v>14015</v>
      </c>
      <c r="AE152" s="392">
        <v>28608</v>
      </c>
      <c r="AF152" s="392">
        <v>116539</v>
      </c>
      <c r="AG152" s="392">
        <v>5306662</v>
      </c>
      <c r="AH152" s="392">
        <v>245600</v>
      </c>
      <c r="AI152" s="392">
        <v>361135</v>
      </c>
      <c r="AJ152" s="392">
        <v>0</v>
      </c>
      <c r="AK152" s="392">
        <v>5913396</v>
      </c>
      <c r="AL152" s="392">
        <v>2746912</v>
      </c>
      <c r="AM152" s="392">
        <v>3257918</v>
      </c>
      <c r="AN152" s="392">
        <v>37816</v>
      </c>
      <c r="AO152" s="392">
        <v>347668</v>
      </c>
      <c r="AP152" s="392">
        <v>274235</v>
      </c>
      <c r="AQ152" s="392">
        <v>159950</v>
      </c>
      <c r="AR152" s="392">
        <v>58082</v>
      </c>
      <c r="AS152" s="392">
        <v>251894</v>
      </c>
      <c r="AT152" s="392">
        <v>152448</v>
      </c>
      <c r="AU152" s="392">
        <v>183383</v>
      </c>
      <c r="AV152" s="392">
        <v>58523</v>
      </c>
      <c r="AW152" s="392">
        <v>361135</v>
      </c>
      <c r="AX152" s="392">
        <v>165606</v>
      </c>
      <c r="AY152" s="786">
        <v>394503</v>
      </c>
      <c r="AZ152" s="392">
        <v>2957148</v>
      </c>
      <c r="BA152" s="639">
        <f>SUM(SNAMEB[[#This Row],[Instruction Expenditures]:[Transfers Out/OtherFinancing]])+SUM(SNAMEB[[#This Row],[General Fund Balance]:[Other Enterprise FundBalance]])</f>
        <v>8660309</v>
      </c>
      <c r="BB152" s="639">
        <f>SUM(SNAMEB[[#This Row],[Property Tax Revenue]:[IDEA/Other Fed Revenue]])+SNAMEB[General Long-term DebtProceeds]+SNAMEB[TransfersIn/Other Financing]+SNAMEB[Fixed Asset Disposition]+SNAMEB[Beginning Fund Balance]</f>
        <v>8660308</v>
      </c>
    </row>
    <row r="153" spans="1:54" x14ac:dyDescent="0.2">
      <c r="A153" s="390">
        <v>7</v>
      </c>
      <c r="B153" s="391" t="s">
        <v>228</v>
      </c>
      <c r="C153" s="631">
        <v>3204</v>
      </c>
      <c r="D153" t="s">
        <v>1146</v>
      </c>
      <c r="E153" s="392">
        <v>350975</v>
      </c>
      <c r="F153" s="392">
        <v>154155</v>
      </c>
      <c r="G153" s="392">
        <v>68801</v>
      </c>
      <c r="H153" s="392">
        <v>0</v>
      </c>
      <c r="I153" s="392">
        <v>0</v>
      </c>
      <c r="J153" s="392">
        <v>0</v>
      </c>
      <c r="K153" s="392">
        <v>2507514</v>
      </c>
      <c r="L153" s="392">
        <v>108222</v>
      </c>
      <c r="M153" s="392">
        <v>7707</v>
      </c>
      <c r="N153" s="392">
        <v>97776</v>
      </c>
      <c r="O153" s="392">
        <v>-14601</v>
      </c>
      <c r="P153" s="392">
        <v>2653</v>
      </c>
      <c r="Q153" s="392">
        <v>3283201</v>
      </c>
      <c r="R153" s="392">
        <v>3605290</v>
      </c>
      <c r="S153" s="392">
        <v>81199</v>
      </c>
      <c r="T153" s="392">
        <v>0</v>
      </c>
      <c r="U153" s="392">
        <v>595714</v>
      </c>
      <c r="V153" s="392">
        <v>26167</v>
      </c>
      <c r="W153" s="392">
        <v>237429</v>
      </c>
      <c r="X153" s="392">
        <v>329444</v>
      </c>
      <c r="Y153" s="392">
        <v>329807</v>
      </c>
      <c r="Z153" s="392">
        <v>0</v>
      </c>
      <c r="AA153" s="392">
        <v>4996752</v>
      </c>
      <c r="AB153" s="392">
        <v>0</v>
      </c>
      <c r="AC153" s="392">
        <v>954057</v>
      </c>
      <c r="AD153" s="392">
        <v>34243</v>
      </c>
      <c r="AE153" s="392">
        <v>92991</v>
      </c>
      <c r="AF153" s="392">
        <v>299201</v>
      </c>
      <c r="AG153" s="392">
        <v>11582294</v>
      </c>
      <c r="AH153" s="392">
        <v>0</v>
      </c>
      <c r="AI153" s="392">
        <v>1170852</v>
      </c>
      <c r="AJ153" s="392">
        <v>4956</v>
      </c>
      <c r="AK153" s="392">
        <v>12758103</v>
      </c>
      <c r="AL153" s="392">
        <v>4624055</v>
      </c>
      <c r="AM153" s="392">
        <v>6675740</v>
      </c>
      <c r="AN153" s="392">
        <v>169265</v>
      </c>
      <c r="AO153" s="392">
        <v>346928</v>
      </c>
      <c r="AP153" s="392">
        <v>289671</v>
      </c>
      <c r="AQ153" s="392">
        <v>551094</v>
      </c>
      <c r="AR153" s="392">
        <v>155794</v>
      </c>
      <c r="AS153" s="392">
        <v>835403</v>
      </c>
      <c r="AT153" s="392">
        <v>467111</v>
      </c>
      <c r="AU153" s="392">
        <v>652302</v>
      </c>
      <c r="AV153" s="392">
        <v>1454371</v>
      </c>
      <c r="AW153" s="392">
        <v>947503</v>
      </c>
      <c r="AX153" s="392">
        <v>394484</v>
      </c>
      <c r="AY153" s="786">
        <v>1159291</v>
      </c>
      <c r="AZ153" s="392">
        <v>3283201</v>
      </c>
      <c r="BA153" s="639">
        <f>SUM(SNAMEB[[#This Row],[Instruction Expenditures]:[Transfers Out/OtherFinancing]])+SUM(SNAMEB[[#This Row],[General Fund Balance]:[Other Enterprise FundBalance]])</f>
        <v>17382159</v>
      </c>
      <c r="BB153" s="639">
        <f>SUM(SNAMEB[[#This Row],[Property Tax Revenue]:[IDEA/Other Fed Revenue]])+SNAMEB[General Long-term DebtProceeds]+SNAMEB[TransfersIn/Other Financing]+SNAMEB[Fixed Asset Disposition]+SNAMEB[Beginning Fund Balance]</f>
        <v>17382157</v>
      </c>
    </row>
    <row r="154" spans="1:54" x14ac:dyDescent="0.2">
      <c r="A154" s="390">
        <v>11</v>
      </c>
      <c r="B154" s="391" t="s">
        <v>229</v>
      </c>
      <c r="C154" s="631">
        <v>3231</v>
      </c>
      <c r="D154" t="s">
        <v>1147</v>
      </c>
      <c r="E154" s="392">
        <v>11682190</v>
      </c>
      <c r="F154" s="392">
        <v>962761</v>
      </c>
      <c r="G154" s="392">
        <v>919713</v>
      </c>
      <c r="H154" s="392">
        <v>0</v>
      </c>
      <c r="I154" s="392">
        <v>0</v>
      </c>
      <c r="J154" s="392">
        <v>0</v>
      </c>
      <c r="K154" s="392">
        <v>19818634</v>
      </c>
      <c r="L154" s="392">
        <v>5229757</v>
      </c>
      <c r="M154" s="392">
        <v>21114232</v>
      </c>
      <c r="N154" s="392">
        <v>456769</v>
      </c>
      <c r="O154" s="392">
        <v>1688538</v>
      </c>
      <c r="P154" s="392">
        <v>-45476</v>
      </c>
      <c r="Q154" s="392">
        <v>61827119</v>
      </c>
      <c r="R154" s="392">
        <v>34753002</v>
      </c>
      <c r="S154" s="392">
        <v>949620</v>
      </c>
      <c r="T154" s="392">
        <v>0</v>
      </c>
      <c r="U154" s="392">
        <v>4195738</v>
      </c>
      <c r="V154" s="392">
        <v>167980</v>
      </c>
      <c r="W154" s="392">
        <v>2472079</v>
      </c>
      <c r="X154" s="392">
        <v>890330</v>
      </c>
      <c r="Y154" s="392">
        <v>5003072</v>
      </c>
      <c r="Z154" s="392">
        <v>88824</v>
      </c>
      <c r="AA154" s="392">
        <v>39317009</v>
      </c>
      <c r="AB154" s="392">
        <v>0</v>
      </c>
      <c r="AC154" s="392">
        <v>6718241</v>
      </c>
      <c r="AD154" s="392">
        <v>1333050</v>
      </c>
      <c r="AE154" s="392">
        <v>505452</v>
      </c>
      <c r="AF154" s="392">
        <v>2641690</v>
      </c>
      <c r="AG154" s="392">
        <v>99036087</v>
      </c>
      <c r="AH154" s="392">
        <v>56632698</v>
      </c>
      <c r="AI154" s="392">
        <v>5584443</v>
      </c>
      <c r="AJ154" s="392">
        <v>4791</v>
      </c>
      <c r="AK154" s="392">
        <v>161258019</v>
      </c>
      <c r="AL154" s="392">
        <v>52929551</v>
      </c>
      <c r="AM154" s="392">
        <v>51155781</v>
      </c>
      <c r="AN154" s="392">
        <v>1892122</v>
      </c>
      <c r="AO154" s="392">
        <v>3829917</v>
      </c>
      <c r="AP154" s="392">
        <v>1290565</v>
      </c>
      <c r="AQ154" s="392">
        <v>3294463</v>
      </c>
      <c r="AR154" s="392">
        <v>2059711</v>
      </c>
      <c r="AS154" s="392">
        <v>5419590</v>
      </c>
      <c r="AT154" s="392">
        <v>3504609</v>
      </c>
      <c r="AU154" s="392">
        <v>5967699</v>
      </c>
      <c r="AV154" s="392">
        <v>39095795</v>
      </c>
      <c r="AW154" s="392">
        <v>26520246</v>
      </c>
      <c r="AX154" s="392">
        <v>2746943</v>
      </c>
      <c r="AY154" s="786">
        <v>5583011</v>
      </c>
      <c r="AZ154" s="392">
        <v>61827119</v>
      </c>
      <c r="BA154" s="639">
        <f>SUM(SNAMEB[[#This Row],[Instruction Expenditures]:[Transfers Out/OtherFinancing]])+SUM(SNAMEB[[#This Row],[General Fund Balance]:[Other Enterprise FundBalance]])</f>
        <v>214187570</v>
      </c>
      <c r="BB154" s="639">
        <f>SUM(SNAMEB[[#This Row],[Property Tax Revenue]:[IDEA/Other Fed Revenue]])+SNAMEB[General Long-term DebtProceeds]+SNAMEB[TransfersIn/Other Financing]+SNAMEB[Fixed Asset Disposition]+SNAMEB[Beginning Fund Balance]</f>
        <v>214187570</v>
      </c>
    </row>
    <row r="155" spans="1:54" x14ac:dyDescent="0.2">
      <c r="A155" s="390">
        <v>15</v>
      </c>
      <c r="B155" s="391" t="s">
        <v>230</v>
      </c>
      <c r="C155" s="631">
        <v>3312</v>
      </c>
      <c r="D155" t="s">
        <v>1148</v>
      </c>
      <c r="E155" s="392">
        <v>3703763</v>
      </c>
      <c r="F155" s="392">
        <v>87013</v>
      </c>
      <c r="G155" s="392">
        <v>675850</v>
      </c>
      <c r="H155" s="392">
        <v>0</v>
      </c>
      <c r="I155" s="392">
        <v>0</v>
      </c>
      <c r="J155" s="392">
        <v>0</v>
      </c>
      <c r="K155" s="392">
        <v>3468356</v>
      </c>
      <c r="L155" s="392">
        <v>161872</v>
      </c>
      <c r="M155" s="392">
        <v>0</v>
      </c>
      <c r="N155" s="392">
        <v>1047638</v>
      </c>
      <c r="O155" s="392">
        <v>82975</v>
      </c>
      <c r="P155" s="392">
        <v>0</v>
      </c>
      <c r="Q155" s="392">
        <v>9227467</v>
      </c>
      <c r="R155" s="392">
        <v>6840918</v>
      </c>
      <c r="S155" s="392">
        <v>1009618</v>
      </c>
      <c r="T155" s="392">
        <v>0</v>
      </c>
      <c r="U155" s="392">
        <v>261086</v>
      </c>
      <c r="V155" s="392">
        <v>22589</v>
      </c>
      <c r="W155" s="392">
        <v>213656</v>
      </c>
      <c r="X155" s="392">
        <v>350958</v>
      </c>
      <c r="Y155" s="392">
        <v>278990</v>
      </c>
      <c r="Z155" s="392">
        <v>2662</v>
      </c>
      <c r="AA155" s="392">
        <v>13800404</v>
      </c>
      <c r="AB155" s="392">
        <v>0</v>
      </c>
      <c r="AC155" s="392">
        <v>1939749</v>
      </c>
      <c r="AD155" s="392">
        <v>338847</v>
      </c>
      <c r="AE155" s="392">
        <v>580484</v>
      </c>
      <c r="AF155" s="392">
        <v>1451699</v>
      </c>
      <c r="AG155" s="392">
        <v>27091662</v>
      </c>
      <c r="AH155" s="392">
        <v>0</v>
      </c>
      <c r="AI155" s="392">
        <v>1134664</v>
      </c>
      <c r="AJ155" s="392">
        <v>71969</v>
      </c>
      <c r="AK155" s="392">
        <v>28298295</v>
      </c>
      <c r="AL155" s="392">
        <v>7447222</v>
      </c>
      <c r="AM155" s="392">
        <v>15259236</v>
      </c>
      <c r="AN155" s="392">
        <v>863664</v>
      </c>
      <c r="AO155" s="392">
        <v>455925</v>
      </c>
      <c r="AP155" s="392">
        <v>579678</v>
      </c>
      <c r="AQ155" s="392">
        <v>1377890</v>
      </c>
      <c r="AR155" s="392">
        <v>495204</v>
      </c>
      <c r="AS155" s="392">
        <v>1969187</v>
      </c>
      <c r="AT155" s="392">
        <v>667567</v>
      </c>
      <c r="AU155" s="392">
        <v>947868</v>
      </c>
      <c r="AV155" s="392">
        <v>176356</v>
      </c>
      <c r="AW155" s="392">
        <v>1738691</v>
      </c>
      <c r="AX155" s="392">
        <v>851712</v>
      </c>
      <c r="AY155" s="786">
        <v>1135070</v>
      </c>
      <c r="AZ155" s="392">
        <v>9227467</v>
      </c>
      <c r="BA155" s="639">
        <f>SUM(SNAMEB[[#This Row],[Instruction Expenditures]:[Transfers Out/OtherFinancing]])+SUM(SNAMEB[[#This Row],[General Fund Balance]:[Other Enterprise FundBalance]])</f>
        <v>35745515</v>
      </c>
      <c r="BB155" s="639">
        <f>SUM(SNAMEB[[#This Row],[Property Tax Revenue]:[IDEA/Other Fed Revenue]])+SNAMEB[General Long-term DebtProceeds]+SNAMEB[TransfersIn/Other Financing]+SNAMEB[Fixed Asset Disposition]+SNAMEB[Beginning Fund Balance]</f>
        <v>35745515</v>
      </c>
    </row>
    <row r="156" spans="1:54" x14ac:dyDescent="0.2">
      <c r="A156" s="390">
        <v>15</v>
      </c>
      <c r="B156" s="391" t="s">
        <v>231</v>
      </c>
      <c r="C156" s="631">
        <v>3330</v>
      </c>
      <c r="D156" t="s">
        <v>1149</v>
      </c>
      <c r="E156" s="392">
        <v>930870</v>
      </c>
      <c r="F156" s="392">
        <v>60224</v>
      </c>
      <c r="G156" s="392">
        <v>195230</v>
      </c>
      <c r="H156" s="392">
        <v>0</v>
      </c>
      <c r="I156" s="392">
        <v>0</v>
      </c>
      <c r="J156" s="392">
        <v>0</v>
      </c>
      <c r="K156" s="392">
        <v>410131</v>
      </c>
      <c r="L156" s="392">
        <v>22280</v>
      </c>
      <c r="M156" s="392">
        <v>0</v>
      </c>
      <c r="N156" s="392">
        <v>2561</v>
      </c>
      <c r="O156" s="392">
        <v>6974</v>
      </c>
      <c r="P156" s="392">
        <v>0</v>
      </c>
      <c r="Q156" s="392">
        <v>1628269</v>
      </c>
      <c r="R156" s="392">
        <v>1835931</v>
      </c>
      <c r="S156" s="392">
        <v>54987</v>
      </c>
      <c r="T156" s="392">
        <v>20915</v>
      </c>
      <c r="U156" s="392">
        <v>138191</v>
      </c>
      <c r="V156" s="392">
        <v>3732</v>
      </c>
      <c r="W156" s="392">
        <v>109559</v>
      </c>
      <c r="X156" s="392">
        <v>161770</v>
      </c>
      <c r="Y156" s="392">
        <v>151506</v>
      </c>
      <c r="Z156" s="392">
        <v>0</v>
      </c>
      <c r="AA156" s="392">
        <v>1777652</v>
      </c>
      <c r="AB156" s="392">
        <v>0</v>
      </c>
      <c r="AC156" s="392">
        <v>355590</v>
      </c>
      <c r="AD156" s="392">
        <v>6259</v>
      </c>
      <c r="AE156" s="392">
        <v>43670</v>
      </c>
      <c r="AF156" s="392">
        <v>126231</v>
      </c>
      <c r="AG156" s="392">
        <v>4785992</v>
      </c>
      <c r="AH156" s="392">
        <v>0</v>
      </c>
      <c r="AI156" s="392">
        <v>140591</v>
      </c>
      <c r="AJ156" s="392">
        <v>0</v>
      </c>
      <c r="AK156" s="392">
        <v>4926583</v>
      </c>
      <c r="AL156" s="392">
        <v>1597935</v>
      </c>
      <c r="AM156" s="392">
        <v>2794755</v>
      </c>
      <c r="AN156" s="392">
        <v>34670</v>
      </c>
      <c r="AO156" s="392">
        <v>147735</v>
      </c>
      <c r="AP156" s="392">
        <v>152323</v>
      </c>
      <c r="AQ156" s="392">
        <v>204617</v>
      </c>
      <c r="AR156" s="392">
        <v>94759</v>
      </c>
      <c r="AS156" s="392">
        <v>352100</v>
      </c>
      <c r="AT156" s="392">
        <v>165685</v>
      </c>
      <c r="AU156" s="392">
        <v>170721</v>
      </c>
      <c r="AV156" s="392">
        <v>98887</v>
      </c>
      <c r="AW156" s="392">
        <v>411196</v>
      </c>
      <c r="AX156" s="392">
        <v>137123</v>
      </c>
      <c r="AY156" s="786">
        <v>131678</v>
      </c>
      <c r="AZ156" s="392">
        <v>1628269</v>
      </c>
      <c r="BA156" s="639">
        <f>SUM(SNAMEB[[#This Row],[Instruction Expenditures]:[Transfers Out/OtherFinancing]])+SUM(SNAMEB[[#This Row],[General Fund Balance]:[Other Enterprise FundBalance]])</f>
        <v>6524519</v>
      </c>
      <c r="BB156" s="639">
        <f>SUM(SNAMEB[[#This Row],[Property Tax Revenue]:[IDEA/Other Fed Revenue]])+SNAMEB[General Long-term DebtProceeds]+SNAMEB[TransfersIn/Other Financing]+SNAMEB[Fixed Asset Disposition]+SNAMEB[Beginning Fund Balance]</f>
        <v>6524519</v>
      </c>
    </row>
    <row r="157" spans="1:54" x14ac:dyDescent="0.2">
      <c r="A157" s="390">
        <v>12</v>
      </c>
      <c r="B157" s="391" t="s">
        <v>232</v>
      </c>
      <c r="C157" s="631">
        <v>3348</v>
      </c>
      <c r="D157" t="s">
        <v>1150</v>
      </c>
      <c r="E157" s="392">
        <v>1069760</v>
      </c>
      <c r="F157" s="392">
        <v>67961</v>
      </c>
      <c r="G157" s="392">
        <v>208977</v>
      </c>
      <c r="H157" s="392">
        <v>0</v>
      </c>
      <c r="I157" s="392">
        <v>0</v>
      </c>
      <c r="J157" s="392">
        <v>0</v>
      </c>
      <c r="K157" s="392">
        <v>970064</v>
      </c>
      <c r="L157" s="392">
        <v>473427</v>
      </c>
      <c r="M157" s="392">
        <v>0</v>
      </c>
      <c r="N157" s="392">
        <v>21113</v>
      </c>
      <c r="O157" s="392">
        <v>105652</v>
      </c>
      <c r="P157" s="392">
        <v>0</v>
      </c>
      <c r="Q157" s="392">
        <v>2916954</v>
      </c>
      <c r="R157" s="392">
        <v>2419187</v>
      </c>
      <c r="S157" s="392">
        <v>44493</v>
      </c>
      <c r="T157" s="392">
        <v>112073</v>
      </c>
      <c r="U157" s="392">
        <v>177570</v>
      </c>
      <c r="V157" s="392">
        <v>12824</v>
      </c>
      <c r="W157" s="392">
        <v>135631</v>
      </c>
      <c r="X157" s="392">
        <v>118513</v>
      </c>
      <c r="Y157" s="392">
        <v>204293</v>
      </c>
      <c r="Z157" s="392">
        <v>0</v>
      </c>
      <c r="AA157" s="392">
        <v>2475802</v>
      </c>
      <c r="AB157" s="392">
        <v>0</v>
      </c>
      <c r="AC157" s="392">
        <v>458111</v>
      </c>
      <c r="AD157" s="392">
        <v>35853</v>
      </c>
      <c r="AE157" s="392">
        <v>59082</v>
      </c>
      <c r="AF157" s="392">
        <v>284250</v>
      </c>
      <c r="AG157" s="392">
        <v>6537682</v>
      </c>
      <c r="AH157" s="392">
        <v>0</v>
      </c>
      <c r="AI157" s="392">
        <v>103371</v>
      </c>
      <c r="AJ157" s="392">
        <v>943</v>
      </c>
      <c r="AK157" s="392">
        <v>6641997</v>
      </c>
      <c r="AL157" s="392">
        <v>2365488</v>
      </c>
      <c r="AM157" s="392">
        <v>3728682</v>
      </c>
      <c r="AN157" s="392">
        <v>110169</v>
      </c>
      <c r="AO157" s="392">
        <v>177678</v>
      </c>
      <c r="AP157" s="392">
        <v>238390</v>
      </c>
      <c r="AQ157" s="392">
        <v>194986</v>
      </c>
      <c r="AR157" s="392">
        <v>101829</v>
      </c>
      <c r="AS157" s="392">
        <v>436116</v>
      </c>
      <c r="AT157" s="392">
        <v>195102</v>
      </c>
      <c r="AU157" s="392">
        <v>231258</v>
      </c>
      <c r="AV157" s="392">
        <v>95474</v>
      </c>
      <c r="AW157" s="392">
        <v>282088</v>
      </c>
      <c r="AX157" s="392">
        <v>196000</v>
      </c>
      <c r="AY157" s="786">
        <v>102760</v>
      </c>
      <c r="AZ157" s="392">
        <v>2916954</v>
      </c>
      <c r="BA157" s="639">
        <f>SUM(SNAMEB[[#This Row],[Instruction Expenditures]:[Transfers Out/OtherFinancing]])+SUM(SNAMEB[[#This Row],[General Fund Balance]:[Other Enterprise FundBalance]])</f>
        <v>9007486</v>
      </c>
      <c r="BB157" s="639">
        <f>SUM(SNAMEB[[#This Row],[Property Tax Revenue]:[IDEA/Other Fed Revenue]])+SNAMEB[General Long-term DebtProceeds]+SNAMEB[TransfersIn/Other Financing]+SNAMEB[Fixed Asset Disposition]+SNAMEB[Beginning Fund Balance]</f>
        <v>9007484</v>
      </c>
    </row>
    <row r="158" spans="1:54" x14ac:dyDescent="0.2">
      <c r="A158" s="390">
        <v>11</v>
      </c>
      <c r="B158" s="391" t="s">
        <v>233</v>
      </c>
      <c r="C158" s="631">
        <v>3375</v>
      </c>
      <c r="D158" t="s">
        <v>1151</v>
      </c>
      <c r="E158" s="392">
        <v>1928510</v>
      </c>
      <c r="F158" s="392">
        <v>212320</v>
      </c>
      <c r="G158" s="392">
        <v>209335</v>
      </c>
      <c r="H158" s="392">
        <v>0</v>
      </c>
      <c r="I158" s="392">
        <v>9680</v>
      </c>
      <c r="J158" s="392">
        <v>0</v>
      </c>
      <c r="K158" s="392">
        <v>4688329</v>
      </c>
      <c r="L158" s="392">
        <v>166052</v>
      </c>
      <c r="M158" s="392">
        <v>0</v>
      </c>
      <c r="N158" s="392">
        <v>1521967</v>
      </c>
      <c r="O158" s="392">
        <v>225315</v>
      </c>
      <c r="P158" s="392">
        <v>0</v>
      </c>
      <c r="Q158" s="392">
        <v>8961509</v>
      </c>
      <c r="R158" s="392">
        <v>5881357</v>
      </c>
      <c r="S158" s="392">
        <v>203542</v>
      </c>
      <c r="T158" s="392">
        <v>446366</v>
      </c>
      <c r="U158" s="392">
        <v>401879</v>
      </c>
      <c r="V158" s="392">
        <v>4600</v>
      </c>
      <c r="W158" s="392">
        <v>260118</v>
      </c>
      <c r="X158" s="392">
        <v>581633</v>
      </c>
      <c r="Y158" s="392">
        <v>607491</v>
      </c>
      <c r="Z158" s="392">
        <v>0</v>
      </c>
      <c r="AA158" s="392">
        <v>11941301</v>
      </c>
      <c r="AB158" s="392">
        <v>0</v>
      </c>
      <c r="AC158" s="392">
        <v>1806561</v>
      </c>
      <c r="AD158" s="392">
        <v>139191</v>
      </c>
      <c r="AE158" s="392">
        <v>309578</v>
      </c>
      <c r="AF158" s="392">
        <v>674823</v>
      </c>
      <c r="AG158" s="392">
        <v>23258439</v>
      </c>
      <c r="AH158" s="392">
        <v>9955000</v>
      </c>
      <c r="AI158" s="392">
        <v>1655371</v>
      </c>
      <c r="AJ158" s="392">
        <v>0</v>
      </c>
      <c r="AK158" s="392">
        <v>34868811</v>
      </c>
      <c r="AL158" s="392">
        <v>4791259</v>
      </c>
      <c r="AM158" s="392">
        <v>13709039</v>
      </c>
      <c r="AN158" s="392">
        <v>376523</v>
      </c>
      <c r="AO158" s="392">
        <v>400907</v>
      </c>
      <c r="AP158" s="392">
        <v>374926</v>
      </c>
      <c r="AQ158" s="392">
        <v>1096266</v>
      </c>
      <c r="AR158" s="392">
        <v>724348</v>
      </c>
      <c r="AS158" s="392">
        <v>1762189</v>
      </c>
      <c r="AT158" s="392">
        <v>829082</v>
      </c>
      <c r="AU158" s="392">
        <v>870442</v>
      </c>
      <c r="AV158" s="392">
        <v>4121762</v>
      </c>
      <c r="AW158" s="392">
        <v>4040397</v>
      </c>
      <c r="AX158" s="392">
        <v>727867</v>
      </c>
      <c r="AY158" s="786">
        <v>1664811</v>
      </c>
      <c r="AZ158" s="392">
        <v>8961509</v>
      </c>
      <c r="BA158" s="639">
        <f>SUM(SNAMEB[[#This Row],[Instruction Expenditures]:[Transfers Out/OtherFinancing]])+SUM(SNAMEB[[#This Row],[General Fund Balance]:[Other Enterprise FundBalance]])</f>
        <v>39660067</v>
      </c>
      <c r="BB158" s="639">
        <f>SUM(SNAMEB[[#This Row],[Property Tax Revenue]:[IDEA/Other Fed Revenue]])+SNAMEB[General Long-term DebtProceeds]+SNAMEB[TransfersIn/Other Financing]+SNAMEB[Fixed Asset Disposition]+SNAMEB[Beginning Fund Balance]</f>
        <v>39660070</v>
      </c>
    </row>
    <row r="159" spans="1:54" x14ac:dyDescent="0.2">
      <c r="A159" s="390">
        <v>7</v>
      </c>
      <c r="B159" s="391" t="s">
        <v>234</v>
      </c>
      <c r="C159" s="631">
        <v>3420</v>
      </c>
      <c r="D159" t="s">
        <v>1152</v>
      </c>
      <c r="E159" s="392">
        <v>1140742</v>
      </c>
      <c r="F159" s="392">
        <v>168625</v>
      </c>
      <c r="G159" s="392">
        <v>34128</v>
      </c>
      <c r="H159" s="392">
        <v>0</v>
      </c>
      <c r="I159" s="392">
        <v>0</v>
      </c>
      <c r="J159" s="392">
        <v>0</v>
      </c>
      <c r="K159" s="392">
        <v>774707</v>
      </c>
      <c r="L159" s="392">
        <v>343094</v>
      </c>
      <c r="M159" s="392">
        <v>0</v>
      </c>
      <c r="N159" s="392">
        <v>17599</v>
      </c>
      <c r="O159" s="392">
        <v>71673</v>
      </c>
      <c r="P159" s="392">
        <v>0</v>
      </c>
      <c r="Q159" s="392">
        <v>2550567</v>
      </c>
      <c r="R159" s="392">
        <v>2863256</v>
      </c>
      <c r="S159" s="392">
        <v>15612</v>
      </c>
      <c r="T159" s="392">
        <v>293844</v>
      </c>
      <c r="U159" s="392">
        <v>662653</v>
      </c>
      <c r="V159" s="392">
        <v>1192</v>
      </c>
      <c r="W159" s="392">
        <v>172648</v>
      </c>
      <c r="X159" s="392">
        <v>261454</v>
      </c>
      <c r="Y159" s="392">
        <v>174491</v>
      </c>
      <c r="Z159" s="392">
        <v>0</v>
      </c>
      <c r="AA159" s="392">
        <v>3381489</v>
      </c>
      <c r="AB159" s="392">
        <v>0</v>
      </c>
      <c r="AC159" s="392">
        <v>616452</v>
      </c>
      <c r="AD159" s="392">
        <v>53554</v>
      </c>
      <c r="AE159" s="392">
        <v>100819</v>
      </c>
      <c r="AF159" s="392">
        <v>386602</v>
      </c>
      <c r="AG159" s="392">
        <v>8984066</v>
      </c>
      <c r="AH159" s="392">
        <v>0</v>
      </c>
      <c r="AI159" s="392">
        <v>144938</v>
      </c>
      <c r="AJ159" s="392">
        <v>0</v>
      </c>
      <c r="AK159" s="392">
        <v>9129004</v>
      </c>
      <c r="AL159" s="392">
        <v>3030428</v>
      </c>
      <c r="AM159" s="392">
        <v>5365689</v>
      </c>
      <c r="AN159" s="392">
        <v>120185</v>
      </c>
      <c r="AO159" s="392">
        <v>219163</v>
      </c>
      <c r="AP159" s="392">
        <v>242509</v>
      </c>
      <c r="AQ159" s="392">
        <v>287649</v>
      </c>
      <c r="AR159" s="392">
        <v>218195</v>
      </c>
      <c r="AS159" s="392">
        <v>935665</v>
      </c>
      <c r="AT159" s="392">
        <v>364206</v>
      </c>
      <c r="AU159" s="392">
        <v>347884</v>
      </c>
      <c r="AV159" s="392">
        <v>861867</v>
      </c>
      <c r="AW159" s="392">
        <v>311166</v>
      </c>
      <c r="AX159" s="392">
        <v>264312</v>
      </c>
      <c r="AY159" s="786">
        <v>70373</v>
      </c>
      <c r="AZ159" s="392">
        <v>2550567</v>
      </c>
      <c r="BA159" s="639">
        <f>SUM(SNAMEB[[#This Row],[Instruction Expenditures]:[Transfers Out/OtherFinancing]])+SUM(SNAMEB[[#This Row],[General Fund Balance]:[Other Enterprise FundBalance]])</f>
        <v>12159431</v>
      </c>
      <c r="BB159" s="639">
        <f>SUM(SNAMEB[[#This Row],[Property Tax Revenue]:[IDEA/Other Fed Revenue]])+SNAMEB[General Long-term DebtProceeds]+SNAMEB[TransfersIn/Other Financing]+SNAMEB[Fixed Asset Disposition]+SNAMEB[Beginning Fund Balance]</f>
        <v>12159432</v>
      </c>
    </row>
    <row r="160" spans="1:54" x14ac:dyDescent="0.2">
      <c r="A160" s="390">
        <v>13</v>
      </c>
      <c r="B160" s="391" t="s">
        <v>235</v>
      </c>
      <c r="C160" s="631">
        <v>3465</v>
      </c>
      <c r="D160" t="s">
        <v>1153</v>
      </c>
      <c r="E160" s="392">
        <v>399696</v>
      </c>
      <c r="F160" s="392">
        <v>31288</v>
      </c>
      <c r="G160" s="392">
        <v>194754</v>
      </c>
      <c r="H160" s="392">
        <v>0</v>
      </c>
      <c r="I160" s="392">
        <v>0</v>
      </c>
      <c r="J160" s="392">
        <v>0</v>
      </c>
      <c r="K160" s="392">
        <v>1149367</v>
      </c>
      <c r="L160" s="392">
        <v>360306</v>
      </c>
      <c r="M160" s="392">
        <v>1578</v>
      </c>
      <c r="N160" s="392">
        <v>56278</v>
      </c>
      <c r="O160" s="392">
        <v>30433</v>
      </c>
      <c r="P160" s="392">
        <v>3083</v>
      </c>
      <c r="Q160" s="392">
        <v>2226782</v>
      </c>
      <c r="R160" s="392">
        <v>1353082</v>
      </c>
      <c r="S160" s="392">
        <v>15043</v>
      </c>
      <c r="T160" s="392">
        <v>33130</v>
      </c>
      <c r="U160" s="392">
        <v>316353</v>
      </c>
      <c r="V160" s="392">
        <v>9604</v>
      </c>
      <c r="W160" s="392">
        <v>53050</v>
      </c>
      <c r="X160" s="392">
        <v>82676</v>
      </c>
      <c r="Y160" s="392">
        <v>52315</v>
      </c>
      <c r="Z160" s="392">
        <v>0</v>
      </c>
      <c r="AA160" s="392">
        <v>2025618</v>
      </c>
      <c r="AB160" s="392">
        <v>0</v>
      </c>
      <c r="AC160" s="392">
        <v>330737</v>
      </c>
      <c r="AD160" s="392">
        <v>10255</v>
      </c>
      <c r="AE160" s="392">
        <v>98456</v>
      </c>
      <c r="AF160" s="392">
        <v>273652</v>
      </c>
      <c r="AG160" s="392">
        <v>4653972</v>
      </c>
      <c r="AH160" s="392">
        <v>2065003</v>
      </c>
      <c r="AI160" s="392">
        <v>0</v>
      </c>
      <c r="AJ160" s="392">
        <v>0</v>
      </c>
      <c r="AK160" s="392">
        <v>6718975</v>
      </c>
      <c r="AL160" s="392">
        <v>2272187</v>
      </c>
      <c r="AM160" s="392">
        <v>2729637</v>
      </c>
      <c r="AN160" s="392">
        <v>92174</v>
      </c>
      <c r="AO160" s="392">
        <v>52432</v>
      </c>
      <c r="AP160" s="392">
        <v>117203</v>
      </c>
      <c r="AQ160" s="392">
        <v>279593</v>
      </c>
      <c r="AR160" s="392">
        <v>86973</v>
      </c>
      <c r="AS160" s="392">
        <v>542208</v>
      </c>
      <c r="AT160" s="392">
        <v>154573</v>
      </c>
      <c r="AU160" s="392">
        <v>215471</v>
      </c>
      <c r="AV160" s="392">
        <v>72581</v>
      </c>
      <c r="AW160" s="392">
        <v>2287247</v>
      </c>
      <c r="AX160" s="392">
        <v>134288</v>
      </c>
      <c r="AY160" s="786">
        <v>0</v>
      </c>
      <c r="AZ160" s="392">
        <v>2226782</v>
      </c>
      <c r="BA160" s="639">
        <f>SUM(SNAMEB[[#This Row],[Instruction Expenditures]:[Transfers Out/OtherFinancing]])+SUM(SNAMEB[[#This Row],[General Fund Balance]:[Other Enterprise FundBalance]])</f>
        <v>8991163</v>
      </c>
      <c r="BB160" s="639">
        <f>SUM(SNAMEB[[#This Row],[Property Tax Revenue]:[IDEA/Other Fed Revenue]])+SNAMEB[General Long-term DebtProceeds]+SNAMEB[TransfersIn/Other Financing]+SNAMEB[Fixed Asset Disposition]+SNAMEB[Beginning Fund Balance]</f>
        <v>8991161</v>
      </c>
    </row>
    <row r="161" spans="1:54" x14ac:dyDescent="0.2">
      <c r="A161" s="390">
        <v>5</v>
      </c>
      <c r="B161" s="391" t="s">
        <v>236</v>
      </c>
      <c r="C161" s="631">
        <v>3537</v>
      </c>
      <c r="D161" t="s">
        <v>1154</v>
      </c>
      <c r="E161" s="392">
        <v>825674</v>
      </c>
      <c r="F161" s="392">
        <v>58972</v>
      </c>
      <c r="G161" s="392">
        <v>512045</v>
      </c>
      <c r="H161" s="392">
        <v>42198</v>
      </c>
      <c r="I161" s="392">
        <v>0</v>
      </c>
      <c r="J161" s="392">
        <v>0</v>
      </c>
      <c r="K161" s="392">
        <v>787075</v>
      </c>
      <c r="L161" s="392">
        <v>416074</v>
      </c>
      <c r="M161" s="392">
        <v>0</v>
      </c>
      <c r="N161" s="392">
        <v>0</v>
      </c>
      <c r="O161" s="392">
        <v>54197</v>
      </c>
      <c r="P161" s="392">
        <v>0</v>
      </c>
      <c r="Q161" s="392">
        <v>2696235</v>
      </c>
      <c r="R161" s="392">
        <v>1997078</v>
      </c>
      <c r="S161" s="392">
        <v>30099</v>
      </c>
      <c r="T161" s="392">
        <v>131568</v>
      </c>
      <c r="U161" s="392">
        <v>52058</v>
      </c>
      <c r="V161" s="392">
        <v>1308</v>
      </c>
      <c r="W161" s="392">
        <v>47385</v>
      </c>
      <c r="X161" s="392">
        <v>23368</v>
      </c>
      <c r="Y161" s="392">
        <v>165900</v>
      </c>
      <c r="Z161" s="392">
        <v>0</v>
      </c>
      <c r="AA161" s="392">
        <v>1722029</v>
      </c>
      <c r="AB161" s="392">
        <v>0</v>
      </c>
      <c r="AC161" s="392">
        <v>301397</v>
      </c>
      <c r="AD161" s="392">
        <v>21558</v>
      </c>
      <c r="AE161" s="392">
        <v>105149</v>
      </c>
      <c r="AF161" s="392">
        <v>173154</v>
      </c>
      <c r="AG161" s="392">
        <v>4772049</v>
      </c>
      <c r="AH161" s="392">
        <v>0</v>
      </c>
      <c r="AI161" s="392">
        <v>237519</v>
      </c>
      <c r="AJ161" s="392">
        <v>2003</v>
      </c>
      <c r="AK161" s="392">
        <v>5011571</v>
      </c>
      <c r="AL161" s="392">
        <v>2194448</v>
      </c>
      <c r="AM161" s="392">
        <v>2421665</v>
      </c>
      <c r="AN161" s="392">
        <v>69849</v>
      </c>
      <c r="AO161" s="392">
        <v>61653</v>
      </c>
      <c r="AP161" s="392">
        <v>143446</v>
      </c>
      <c r="AQ161" s="392">
        <v>131320</v>
      </c>
      <c r="AR161" s="392">
        <v>137447</v>
      </c>
      <c r="AS161" s="392">
        <v>339751</v>
      </c>
      <c r="AT161" s="392">
        <v>240146</v>
      </c>
      <c r="AU161" s="392">
        <v>178390</v>
      </c>
      <c r="AV161" s="392">
        <v>292166</v>
      </c>
      <c r="AW161" s="392">
        <v>70993</v>
      </c>
      <c r="AX161" s="392">
        <v>139597</v>
      </c>
      <c r="AY161" s="786">
        <v>283362</v>
      </c>
      <c r="AZ161" s="392">
        <v>2696235</v>
      </c>
      <c r="BA161" s="639">
        <f>SUM(SNAMEB[[#This Row],[Instruction Expenditures]:[Transfers Out/OtherFinancing]])+SUM(SNAMEB[[#This Row],[General Fund Balance]:[Other Enterprise FundBalance]])</f>
        <v>7206020</v>
      </c>
      <c r="BB161" s="639">
        <f>SUM(SNAMEB[[#This Row],[Property Tax Revenue]:[IDEA/Other Fed Revenue]])+SNAMEB[General Long-term DebtProceeds]+SNAMEB[TransfersIn/Other Financing]+SNAMEB[Fixed Asset Disposition]+SNAMEB[Beginning Fund Balance]</f>
        <v>7206021</v>
      </c>
    </row>
    <row r="162" spans="1:54" x14ac:dyDescent="0.2">
      <c r="A162" s="390">
        <v>12</v>
      </c>
      <c r="B162" s="391" t="s">
        <v>237</v>
      </c>
      <c r="C162" s="631">
        <v>3555</v>
      </c>
      <c r="D162" t="s">
        <v>1155</v>
      </c>
      <c r="E162" s="392">
        <v>637228</v>
      </c>
      <c r="F162" s="392">
        <v>64100</v>
      </c>
      <c r="G162" s="392">
        <v>202384</v>
      </c>
      <c r="H162" s="392">
        <v>0</v>
      </c>
      <c r="I162" s="392">
        <v>0</v>
      </c>
      <c r="J162" s="392">
        <v>0</v>
      </c>
      <c r="K162" s="392">
        <v>560937</v>
      </c>
      <c r="L162" s="392">
        <v>100214</v>
      </c>
      <c r="M162" s="392">
        <v>0</v>
      </c>
      <c r="N162" s="392">
        <v>10317</v>
      </c>
      <c r="O162" s="392">
        <v>45495</v>
      </c>
      <c r="P162" s="392">
        <v>170683</v>
      </c>
      <c r="Q162" s="392">
        <v>1791358</v>
      </c>
      <c r="R162" s="392">
        <v>2865507</v>
      </c>
      <c r="S162" s="392">
        <v>107374</v>
      </c>
      <c r="T162" s="392">
        <v>137551</v>
      </c>
      <c r="U162" s="392">
        <v>560123</v>
      </c>
      <c r="V162" s="392">
        <v>2854</v>
      </c>
      <c r="W162" s="392">
        <v>205439</v>
      </c>
      <c r="X162" s="392">
        <v>287897</v>
      </c>
      <c r="Y162" s="392">
        <v>275188</v>
      </c>
      <c r="Z162" s="392">
        <v>4847</v>
      </c>
      <c r="AA162" s="392">
        <v>3484432</v>
      </c>
      <c r="AB162" s="392">
        <v>0</v>
      </c>
      <c r="AC162" s="392">
        <v>624766</v>
      </c>
      <c r="AD162" s="392">
        <v>29625</v>
      </c>
      <c r="AE162" s="392">
        <v>65971</v>
      </c>
      <c r="AF162" s="392">
        <v>248842</v>
      </c>
      <c r="AG162" s="392">
        <v>8900416</v>
      </c>
      <c r="AH162" s="392">
        <v>0</v>
      </c>
      <c r="AI162" s="392">
        <v>308013</v>
      </c>
      <c r="AJ162" s="392">
        <v>0</v>
      </c>
      <c r="AK162" s="392">
        <v>9208429</v>
      </c>
      <c r="AL162" s="392">
        <v>1742311</v>
      </c>
      <c r="AM162" s="392">
        <v>5126123</v>
      </c>
      <c r="AN162" s="392">
        <v>154069</v>
      </c>
      <c r="AO162" s="392">
        <v>316057</v>
      </c>
      <c r="AP162" s="392">
        <v>358332</v>
      </c>
      <c r="AQ162" s="392">
        <v>356611</v>
      </c>
      <c r="AR162" s="392">
        <v>83202</v>
      </c>
      <c r="AS162" s="392">
        <v>558135</v>
      </c>
      <c r="AT162" s="392">
        <v>362259</v>
      </c>
      <c r="AU162" s="392">
        <v>323041</v>
      </c>
      <c r="AV162" s="392">
        <v>159926</v>
      </c>
      <c r="AW162" s="392">
        <v>795429</v>
      </c>
      <c r="AX162" s="392">
        <v>258944</v>
      </c>
      <c r="AY162" s="786">
        <v>307255</v>
      </c>
      <c r="AZ162" s="392">
        <v>1791358</v>
      </c>
      <c r="BA162" s="639">
        <f>SUM(SNAMEB[[#This Row],[Instruction Expenditures]:[Transfers Out/OtherFinancing]])+SUM(SNAMEB[[#This Row],[General Fund Balance]:[Other Enterprise FundBalance]])</f>
        <v>10950741</v>
      </c>
      <c r="BB162" s="639">
        <f>SUM(SNAMEB[[#This Row],[Property Tax Revenue]:[IDEA/Other Fed Revenue]])+SNAMEB[General Long-term DebtProceeds]+SNAMEB[TransfersIn/Other Financing]+SNAMEB[Fixed Asset Disposition]+SNAMEB[Beginning Fund Balance]</f>
        <v>10950740</v>
      </c>
    </row>
    <row r="163" spans="1:54" x14ac:dyDescent="0.2">
      <c r="A163" s="390">
        <v>12</v>
      </c>
      <c r="B163" s="391" t="s">
        <v>239</v>
      </c>
      <c r="C163" s="631">
        <v>3600</v>
      </c>
      <c r="D163" t="s">
        <v>1158</v>
      </c>
      <c r="E163" s="392">
        <v>3196260</v>
      </c>
      <c r="F163" s="392">
        <v>363912</v>
      </c>
      <c r="G163" s="392">
        <v>534192</v>
      </c>
      <c r="H163" s="392">
        <v>0</v>
      </c>
      <c r="I163" s="392">
        <v>0</v>
      </c>
      <c r="J163" s="392">
        <v>0</v>
      </c>
      <c r="K163" s="392">
        <v>3310599</v>
      </c>
      <c r="L163" s="392">
        <v>376191</v>
      </c>
      <c r="M163" s="392">
        <v>0</v>
      </c>
      <c r="N163" s="392">
        <v>798706</v>
      </c>
      <c r="O163" s="392">
        <v>-102318</v>
      </c>
      <c r="P163" s="392">
        <v>0</v>
      </c>
      <c r="Q163" s="392">
        <v>8477543</v>
      </c>
      <c r="R163" s="392">
        <v>7632656</v>
      </c>
      <c r="S163" s="392">
        <v>302940</v>
      </c>
      <c r="T163" s="392">
        <v>0</v>
      </c>
      <c r="U163" s="392">
        <v>468012</v>
      </c>
      <c r="V163" s="392">
        <v>22397</v>
      </c>
      <c r="W163" s="392">
        <v>432251</v>
      </c>
      <c r="X163" s="392">
        <v>615341</v>
      </c>
      <c r="Y163" s="392">
        <v>431080</v>
      </c>
      <c r="Z163" s="392">
        <v>9000</v>
      </c>
      <c r="AA163" s="392">
        <v>13003527</v>
      </c>
      <c r="AB163" s="392">
        <v>0</v>
      </c>
      <c r="AC163" s="392">
        <v>2050829</v>
      </c>
      <c r="AD163" s="392">
        <v>284269</v>
      </c>
      <c r="AE163" s="392">
        <v>261239</v>
      </c>
      <c r="AF163" s="392">
        <v>795300</v>
      </c>
      <c r="AG163" s="392">
        <v>26308841</v>
      </c>
      <c r="AH163" s="392">
        <v>0</v>
      </c>
      <c r="AI163" s="392">
        <v>900443</v>
      </c>
      <c r="AJ163" s="392">
        <v>0</v>
      </c>
      <c r="AK163" s="392">
        <v>27209284</v>
      </c>
      <c r="AL163" s="392">
        <v>9064486</v>
      </c>
      <c r="AM163" s="392">
        <v>15932425</v>
      </c>
      <c r="AN163" s="392">
        <v>668379</v>
      </c>
      <c r="AO163" s="392">
        <v>1156617</v>
      </c>
      <c r="AP163" s="392">
        <v>571753</v>
      </c>
      <c r="AQ163" s="392">
        <v>1296806</v>
      </c>
      <c r="AR163" s="392">
        <v>147045</v>
      </c>
      <c r="AS163" s="392">
        <v>1772543</v>
      </c>
      <c r="AT163" s="392">
        <v>813594</v>
      </c>
      <c r="AU163" s="392">
        <v>880639</v>
      </c>
      <c r="AV163" s="392">
        <v>1817981</v>
      </c>
      <c r="AW163" s="392">
        <v>888605</v>
      </c>
      <c r="AX163" s="392">
        <v>955722</v>
      </c>
      <c r="AY163" s="786">
        <v>894119</v>
      </c>
      <c r="AZ163" s="392">
        <v>8477543</v>
      </c>
      <c r="BA163" s="639">
        <f>SUM(SNAMEB[[#This Row],[Instruction Expenditures]:[Transfers Out/OtherFinancing]])+SUM(SNAMEB[[#This Row],[General Fund Balance]:[Other Enterprise FundBalance]])</f>
        <v>36273770</v>
      </c>
      <c r="BB163" s="639">
        <f>SUM(SNAMEB[[#This Row],[Property Tax Revenue]:[IDEA/Other Fed Revenue]])+SNAMEB[General Long-term DebtProceeds]+SNAMEB[TransfersIn/Other Financing]+SNAMEB[Fixed Asset Disposition]+SNAMEB[Beginning Fund Balance]</f>
        <v>36273770</v>
      </c>
    </row>
    <row r="164" spans="1:54" x14ac:dyDescent="0.2">
      <c r="A164" s="390">
        <v>13</v>
      </c>
      <c r="B164" s="391" t="s">
        <v>240</v>
      </c>
      <c r="C164" s="631">
        <v>3609</v>
      </c>
      <c r="D164" t="s">
        <v>1159</v>
      </c>
      <c r="E164" s="392">
        <v>1100234</v>
      </c>
      <c r="F164" s="392">
        <v>29720</v>
      </c>
      <c r="G164" s="392">
        <v>1048490</v>
      </c>
      <c r="H164" s="392">
        <v>0</v>
      </c>
      <c r="I164" s="392">
        <v>0</v>
      </c>
      <c r="J164" s="392">
        <v>0</v>
      </c>
      <c r="K164" s="392">
        <v>79836</v>
      </c>
      <c r="L164" s="392">
        <v>372769</v>
      </c>
      <c r="M164" s="392">
        <v>0</v>
      </c>
      <c r="N164" s="392">
        <v>12068</v>
      </c>
      <c r="O164" s="392">
        <v>45074</v>
      </c>
      <c r="P164" s="392">
        <v>0</v>
      </c>
      <c r="Q164" s="392">
        <v>2688191</v>
      </c>
      <c r="R164" s="392">
        <v>2076854</v>
      </c>
      <c r="S164" s="392">
        <v>22767</v>
      </c>
      <c r="T164" s="392">
        <v>126375</v>
      </c>
      <c r="U164" s="392">
        <v>348432</v>
      </c>
      <c r="V164" s="392">
        <v>13337</v>
      </c>
      <c r="W164" s="392">
        <v>111650</v>
      </c>
      <c r="X164" s="392">
        <v>113553</v>
      </c>
      <c r="Y164" s="392">
        <v>150300</v>
      </c>
      <c r="Z164" s="392">
        <v>0</v>
      </c>
      <c r="AA164" s="392">
        <v>2865001</v>
      </c>
      <c r="AB164" s="392">
        <v>0</v>
      </c>
      <c r="AC164" s="392">
        <v>489486</v>
      </c>
      <c r="AD164" s="392">
        <v>30143</v>
      </c>
      <c r="AE164" s="392">
        <v>95190</v>
      </c>
      <c r="AF164" s="392">
        <v>283543</v>
      </c>
      <c r="AG164" s="392">
        <v>6726632</v>
      </c>
      <c r="AH164" s="392">
        <v>0</v>
      </c>
      <c r="AI164" s="392">
        <v>66969</v>
      </c>
      <c r="AJ164" s="392">
        <v>6183</v>
      </c>
      <c r="AK164" s="392">
        <v>6799784</v>
      </c>
      <c r="AL164" s="392">
        <v>3148253</v>
      </c>
      <c r="AM164" s="392">
        <v>3602909</v>
      </c>
      <c r="AN164" s="392">
        <v>95268</v>
      </c>
      <c r="AO164" s="392">
        <v>148026</v>
      </c>
      <c r="AP164" s="392">
        <v>197598</v>
      </c>
      <c r="AQ164" s="392">
        <v>304400</v>
      </c>
      <c r="AR164" s="392">
        <v>83761</v>
      </c>
      <c r="AS164" s="392">
        <v>439169</v>
      </c>
      <c r="AT164" s="392">
        <v>161613</v>
      </c>
      <c r="AU164" s="392">
        <v>289355</v>
      </c>
      <c r="AV164" s="392">
        <v>1055578</v>
      </c>
      <c r="AW164" s="392">
        <v>507614</v>
      </c>
      <c r="AX164" s="392">
        <v>191434</v>
      </c>
      <c r="AY164" s="786">
        <v>183121</v>
      </c>
      <c r="AZ164" s="392">
        <v>2688191</v>
      </c>
      <c r="BA164" s="639">
        <f>SUM(SNAMEB[[#This Row],[Instruction Expenditures]:[Transfers Out/OtherFinancing]])+SUM(SNAMEB[[#This Row],[General Fund Balance]:[Other Enterprise FundBalance]])</f>
        <v>9948037</v>
      </c>
      <c r="BB164" s="639">
        <f>SUM(SNAMEB[[#This Row],[Property Tax Revenue]:[IDEA/Other Fed Revenue]])+SNAMEB[General Long-term DebtProceeds]+SNAMEB[TransfersIn/Other Financing]+SNAMEB[Fixed Asset Disposition]+SNAMEB[Beginning Fund Balance]</f>
        <v>9948036</v>
      </c>
    </row>
    <row r="165" spans="1:54" x14ac:dyDescent="0.2">
      <c r="A165" s="390">
        <v>13</v>
      </c>
      <c r="B165" s="391" t="s">
        <v>241</v>
      </c>
      <c r="C165" s="631">
        <v>3645</v>
      </c>
      <c r="D165" t="s">
        <v>1160</v>
      </c>
      <c r="E165" s="392">
        <v>5870869</v>
      </c>
      <c r="F165" s="392">
        <v>78865</v>
      </c>
      <c r="G165" s="392">
        <v>825856</v>
      </c>
      <c r="H165" s="392">
        <v>0</v>
      </c>
      <c r="I165" s="392">
        <v>0</v>
      </c>
      <c r="J165" s="392">
        <v>0</v>
      </c>
      <c r="K165" s="392">
        <v>4904569</v>
      </c>
      <c r="L165" s="392">
        <v>1430774</v>
      </c>
      <c r="M165" s="392">
        <v>26064</v>
      </c>
      <c r="N165" s="392">
        <v>5373083</v>
      </c>
      <c r="O165" s="392">
        <v>-394880</v>
      </c>
      <c r="P165" s="392">
        <v>-18547</v>
      </c>
      <c r="Q165" s="392">
        <v>18096653</v>
      </c>
      <c r="R165" s="392">
        <v>11815746</v>
      </c>
      <c r="S165" s="392">
        <v>2491507</v>
      </c>
      <c r="T165" s="392">
        <v>866963</v>
      </c>
      <c r="U165" s="392">
        <v>5345417</v>
      </c>
      <c r="V165" s="392">
        <v>7007</v>
      </c>
      <c r="W165" s="392">
        <v>691904</v>
      </c>
      <c r="X165" s="392">
        <v>515936</v>
      </c>
      <c r="Y165" s="392">
        <v>913027</v>
      </c>
      <c r="Z165" s="392">
        <v>493198</v>
      </c>
      <c r="AA165" s="392">
        <v>12906816</v>
      </c>
      <c r="AB165" s="392">
        <v>0</v>
      </c>
      <c r="AC165" s="392">
        <v>3646519</v>
      </c>
      <c r="AD165" s="392">
        <v>512094</v>
      </c>
      <c r="AE165" s="392">
        <v>336404</v>
      </c>
      <c r="AF165" s="392">
        <v>1390967</v>
      </c>
      <c r="AG165" s="392">
        <v>41933506</v>
      </c>
      <c r="AH165" s="392">
        <v>0</v>
      </c>
      <c r="AI165" s="392">
        <v>932854</v>
      </c>
      <c r="AJ165" s="392">
        <v>2754</v>
      </c>
      <c r="AK165" s="392">
        <v>42869114</v>
      </c>
      <c r="AL165" s="392">
        <v>17054005</v>
      </c>
      <c r="AM165" s="392">
        <v>23444093</v>
      </c>
      <c r="AN165" s="392">
        <v>737907</v>
      </c>
      <c r="AO165" s="392">
        <v>1611517</v>
      </c>
      <c r="AP165" s="392">
        <v>438896</v>
      </c>
      <c r="AQ165" s="392">
        <v>1895444</v>
      </c>
      <c r="AR165" s="392">
        <v>354113</v>
      </c>
      <c r="AS165" s="392">
        <v>2888356</v>
      </c>
      <c r="AT165" s="392">
        <v>1615943</v>
      </c>
      <c r="AU165" s="392">
        <v>1846630</v>
      </c>
      <c r="AV165" s="392">
        <v>2031244</v>
      </c>
      <c r="AW165" s="392">
        <v>1537487</v>
      </c>
      <c r="AX165" s="392">
        <v>1093195</v>
      </c>
      <c r="AY165" s="786">
        <v>2331641</v>
      </c>
      <c r="AZ165" s="392">
        <v>18096653</v>
      </c>
      <c r="BA165" s="639">
        <f>SUM(SNAMEB[[#This Row],[Instruction Expenditures]:[Transfers Out/OtherFinancing]])+SUM(SNAMEB[[#This Row],[General Fund Balance]:[Other Enterprise FundBalance]])</f>
        <v>59923119</v>
      </c>
      <c r="BB165" s="639">
        <f>SUM(SNAMEB[[#This Row],[Property Tax Revenue]:[IDEA/Other Fed Revenue]])+SNAMEB[General Long-term DebtProceeds]+SNAMEB[TransfersIn/Other Financing]+SNAMEB[Fixed Asset Disposition]+SNAMEB[Beginning Fund Balance]</f>
        <v>59923118</v>
      </c>
    </row>
    <row r="166" spans="1:54" x14ac:dyDescent="0.2">
      <c r="A166" s="390">
        <v>10</v>
      </c>
      <c r="B166" s="391" t="s">
        <v>243</v>
      </c>
      <c r="C166" s="631">
        <v>3715</v>
      </c>
      <c r="D166" t="s">
        <v>1162</v>
      </c>
      <c r="E166" s="392">
        <v>10126244</v>
      </c>
      <c r="F166" s="392">
        <v>555799</v>
      </c>
      <c r="G166" s="392">
        <v>2013570</v>
      </c>
      <c r="H166" s="392">
        <v>320776</v>
      </c>
      <c r="I166" s="392">
        <v>0</v>
      </c>
      <c r="J166" s="392">
        <v>0</v>
      </c>
      <c r="K166" s="392">
        <v>7031752</v>
      </c>
      <c r="L166" s="392">
        <v>3478709</v>
      </c>
      <c r="M166" s="392">
        <v>4957033</v>
      </c>
      <c r="N166" s="392">
        <v>4236478</v>
      </c>
      <c r="O166" s="392">
        <v>1176662</v>
      </c>
      <c r="P166" s="392">
        <v>115124</v>
      </c>
      <c r="Q166" s="392">
        <v>34012147</v>
      </c>
      <c r="R166" s="392">
        <v>31977344</v>
      </c>
      <c r="S166" s="392">
        <v>160022</v>
      </c>
      <c r="T166" s="392">
        <v>0</v>
      </c>
      <c r="U166" s="392">
        <v>4279085</v>
      </c>
      <c r="V166" s="392">
        <v>106441</v>
      </c>
      <c r="W166" s="392">
        <v>2185826</v>
      </c>
      <c r="X166" s="392">
        <v>1084462</v>
      </c>
      <c r="Y166" s="392">
        <v>2017698</v>
      </c>
      <c r="Z166" s="392">
        <v>0</v>
      </c>
      <c r="AA166" s="392">
        <v>43932663</v>
      </c>
      <c r="AB166" s="392">
        <v>0</v>
      </c>
      <c r="AC166" s="392">
        <v>7143944</v>
      </c>
      <c r="AD166" s="392">
        <v>1053583</v>
      </c>
      <c r="AE166" s="392">
        <v>418898</v>
      </c>
      <c r="AF166" s="392">
        <v>2831320</v>
      </c>
      <c r="AG166" s="392">
        <v>97191286</v>
      </c>
      <c r="AH166" s="392">
        <v>20000000</v>
      </c>
      <c r="AI166" s="392">
        <v>26001233</v>
      </c>
      <c r="AJ166" s="392">
        <v>13676</v>
      </c>
      <c r="AK166" s="392">
        <v>143206195</v>
      </c>
      <c r="AL166" s="392">
        <v>29924868</v>
      </c>
      <c r="AM166" s="392">
        <v>52864636</v>
      </c>
      <c r="AN166" s="392">
        <v>3704754</v>
      </c>
      <c r="AO166" s="392">
        <v>5382210</v>
      </c>
      <c r="AP166" s="392">
        <v>1021499</v>
      </c>
      <c r="AQ166" s="392">
        <v>3972560</v>
      </c>
      <c r="AR166" s="392">
        <v>1938824</v>
      </c>
      <c r="AS166" s="392">
        <v>6666603</v>
      </c>
      <c r="AT166" s="392">
        <v>2782121</v>
      </c>
      <c r="AU166" s="392">
        <v>3634234</v>
      </c>
      <c r="AV166" s="392">
        <v>19381435</v>
      </c>
      <c r="AW166" s="392">
        <v>8713691</v>
      </c>
      <c r="AX166" s="392">
        <v>3055116</v>
      </c>
      <c r="AY166" s="786">
        <v>26001233</v>
      </c>
      <c r="AZ166" s="392">
        <v>34012147</v>
      </c>
      <c r="BA166" s="639">
        <f>SUM(SNAMEB[[#This Row],[Instruction Expenditures]:[Transfers Out/OtherFinancing]])+SUM(SNAMEB[[#This Row],[General Fund Balance]:[Other Enterprise FundBalance]])</f>
        <v>173131063</v>
      </c>
      <c r="BB166" s="639">
        <f>SUM(SNAMEB[[#This Row],[Property Tax Revenue]:[IDEA/Other Fed Revenue]])+SNAMEB[General Long-term DebtProceeds]+SNAMEB[TransfersIn/Other Financing]+SNAMEB[Fixed Asset Disposition]+SNAMEB[Beginning Fund Balance]</f>
        <v>173131063</v>
      </c>
    </row>
    <row r="167" spans="1:54" x14ac:dyDescent="0.2">
      <c r="A167" s="390">
        <v>10</v>
      </c>
      <c r="B167" s="391" t="s">
        <v>244</v>
      </c>
      <c r="C167" s="631">
        <v>3744</v>
      </c>
      <c r="D167" t="s">
        <v>1163</v>
      </c>
      <c r="E167" s="392">
        <v>1591321</v>
      </c>
      <c r="F167" s="392">
        <v>35707</v>
      </c>
      <c r="G167" s="392">
        <v>372031</v>
      </c>
      <c r="H167" s="392">
        <v>0</v>
      </c>
      <c r="I167" s="392">
        <v>0</v>
      </c>
      <c r="J167" s="392">
        <v>0</v>
      </c>
      <c r="K167" s="392">
        <v>516839</v>
      </c>
      <c r="L167" s="392">
        <v>107185</v>
      </c>
      <c r="M167" s="392">
        <v>0</v>
      </c>
      <c r="N167" s="392">
        <v>981127</v>
      </c>
      <c r="O167" s="392">
        <v>39919</v>
      </c>
      <c r="P167" s="392">
        <v>-267375</v>
      </c>
      <c r="Q167" s="392">
        <v>3376754</v>
      </c>
      <c r="R167" s="392">
        <v>2497430</v>
      </c>
      <c r="S167" s="392">
        <v>49754</v>
      </c>
      <c r="T167" s="392">
        <v>137723</v>
      </c>
      <c r="U167" s="392">
        <v>754024</v>
      </c>
      <c r="V167" s="392">
        <v>5101</v>
      </c>
      <c r="W167" s="392">
        <v>280671</v>
      </c>
      <c r="X167" s="392">
        <v>218329</v>
      </c>
      <c r="Y167" s="392">
        <v>798203</v>
      </c>
      <c r="Z167" s="392">
        <v>0</v>
      </c>
      <c r="AA167" s="392">
        <v>4319210</v>
      </c>
      <c r="AB167" s="392">
        <v>0</v>
      </c>
      <c r="AC167" s="392">
        <v>624845</v>
      </c>
      <c r="AD167" s="392">
        <v>2949</v>
      </c>
      <c r="AE167" s="392">
        <v>49772</v>
      </c>
      <c r="AF167" s="392">
        <v>205664</v>
      </c>
      <c r="AG167" s="392">
        <v>9943675</v>
      </c>
      <c r="AH167" s="392">
        <v>0</v>
      </c>
      <c r="AI167" s="392">
        <v>488040</v>
      </c>
      <c r="AJ167" s="392">
        <v>0</v>
      </c>
      <c r="AK167" s="392">
        <v>10431716</v>
      </c>
      <c r="AL167" s="392">
        <v>2523078</v>
      </c>
      <c r="AM167" s="392">
        <v>4871224</v>
      </c>
      <c r="AN167" s="392">
        <v>185911</v>
      </c>
      <c r="AO167" s="392">
        <v>224100</v>
      </c>
      <c r="AP167" s="392">
        <v>395663</v>
      </c>
      <c r="AQ167" s="392">
        <v>313892</v>
      </c>
      <c r="AR167" s="392">
        <v>106454</v>
      </c>
      <c r="AS167" s="392">
        <v>728899</v>
      </c>
      <c r="AT167" s="392">
        <v>198320</v>
      </c>
      <c r="AU167" s="392">
        <v>1118703</v>
      </c>
      <c r="AV167" s="392">
        <v>140339</v>
      </c>
      <c r="AW167" s="392">
        <v>276250</v>
      </c>
      <c r="AX167" s="392">
        <v>277033</v>
      </c>
      <c r="AY167" s="786">
        <v>741252</v>
      </c>
      <c r="AZ167" s="392">
        <v>3376754</v>
      </c>
      <c r="BA167" s="639">
        <f>SUM(SNAMEB[[#This Row],[Instruction Expenditures]:[Transfers Out/OtherFinancing]])+SUM(SNAMEB[[#This Row],[General Fund Balance]:[Other Enterprise FundBalance]])</f>
        <v>12954794</v>
      </c>
      <c r="BB167" s="639">
        <f>SUM(SNAMEB[[#This Row],[Property Tax Revenue]:[IDEA/Other Fed Revenue]])+SNAMEB[General Long-term DebtProceeds]+SNAMEB[TransfersIn/Other Financing]+SNAMEB[Fixed Asset Disposition]+SNAMEB[Beginning Fund Balance]</f>
        <v>12954793</v>
      </c>
    </row>
    <row r="168" spans="1:54" x14ac:dyDescent="0.2">
      <c r="A168" s="390">
        <v>13</v>
      </c>
      <c r="B168" s="391" t="s">
        <v>245</v>
      </c>
      <c r="C168" s="631">
        <v>3798</v>
      </c>
      <c r="D168" t="s">
        <v>1164</v>
      </c>
      <c r="E168" s="392">
        <v>1075513</v>
      </c>
      <c r="F168" s="392">
        <v>148912</v>
      </c>
      <c r="G168" s="392">
        <v>267616</v>
      </c>
      <c r="H168" s="392">
        <v>0</v>
      </c>
      <c r="I168" s="392">
        <v>0</v>
      </c>
      <c r="J168" s="392">
        <v>0</v>
      </c>
      <c r="K168" s="392">
        <v>1351438</v>
      </c>
      <c r="L168" s="392">
        <v>104323</v>
      </c>
      <c r="M168" s="392">
        <v>0</v>
      </c>
      <c r="N168" s="392">
        <v>12450</v>
      </c>
      <c r="O168" s="392">
        <v>-29957</v>
      </c>
      <c r="P168" s="392">
        <v>-3362</v>
      </c>
      <c r="Q168" s="392">
        <v>2926934</v>
      </c>
      <c r="R168" s="392">
        <v>1827568</v>
      </c>
      <c r="S168" s="392">
        <v>49521</v>
      </c>
      <c r="T168" s="392">
        <v>212156</v>
      </c>
      <c r="U168" s="392">
        <v>1003259</v>
      </c>
      <c r="V168" s="392">
        <v>1701</v>
      </c>
      <c r="W168" s="392">
        <v>209100</v>
      </c>
      <c r="X168" s="392">
        <v>222492</v>
      </c>
      <c r="Y168" s="392">
        <v>249047</v>
      </c>
      <c r="Z168" s="392">
        <v>0</v>
      </c>
      <c r="AA168" s="392">
        <v>3414022</v>
      </c>
      <c r="AB168" s="392">
        <v>0</v>
      </c>
      <c r="AC168" s="392">
        <v>565645</v>
      </c>
      <c r="AD168" s="392">
        <v>12303</v>
      </c>
      <c r="AE168" s="392">
        <v>62903</v>
      </c>
      <c r="AF168" s="392">
        <v>215272</v>
      </c>
      <c r="AG168" s="392">
        <v>8044989</v>
      </c>
      <c r="AH168" s="392">
        <v>0</v>
      </c>
      <c r="AI168" s="392">
        <v>72367</v>
      </c>
      <c r="AJ168" s="392">
        <v>300</v>
      </c>
      <c r="AK168" s="392">
        <v>8117656</v>
      </c>
      <c r="AL168" s="392">
        <v>2683983</v>
      </c>
      <c r="AM168" s="392">
        <v>4804017</v>
      </c>
      <c r="AN168" s="392">
        <v>175403</v>
      </c>
      <c r="AO168" s="392">
        <v>266429</v>
      </c>
      <c r="AP168" s="392">
        <v>147533</v>
      </c>
      <c r="AQ168" s="392">
        <v>323445</v>
      </c>
      <c r="AR168" s="392">
        <v>121627</v>
      </c>
      <c r="AS168" s="392">
        <v>732658</v>
      </c>
      <c r="AT168" s="392">
        <v>307503</v>
      </c>
      <c r="AU168" s="392">
        <v>439199</v>
      </c>
      <c r="AV168" s="392">
        <v>21645</v>
      </c>
      <c r="AW168" s="392">
        <v>227574</v>
      </c>
      <c r="AX168" s="392">
        <v>235306</v>
      </c>
      <c r="AY168" s="786">
        <v>72367</v>
      </c>
      <c r="AZ168" s="392">
        <v>2926934</v>
      </c>
      <c r="BA168" s="639">
        <f>SUM(SNAMEB[[#This Row],[Instruction Expenditures]:[Transfers Out/OtherFinancing]])+SUM(SNAMEB[[#This Row],[General Fund Balance]:[Other Enterprise FundBalance]])</f>
        <v>10801639</v>
      </c>
      <c r="BB168" s="639">
        <f>SUM(SNAMEB[[#This Row],[Property Tax Revenue]:[IDEA/Other Fed Revenue]])+SNAMEB[General Long-term DebtProceeds]+SNAMEB[TransfersIn/Other Financing]+SNAMEB[Fixed Asset Disposition]+SNAMEB[Beginning Fund Balance]</f>
        <v>10801639</v>
      </c>
    </row>
    <row r="169" spans="1:54" x14ac:dyDescent="0.2">
      <c r="A169" s="390">
        <v>10</v>
      </c>
      <c r="B169" s="391" t="s">
        <v>246</v>
      </c>
      <c r="C169" s="631">
        <v>3816</v>
      </c>
      <c r="D169" t="s">
        <v>1165</v>
      </c>
      <c r="E169" s="392">
        <v>874218</v>
      </c>
      <c r="F169" s="392">
        <v>99925</v>
      </c>
      <c r="G169" s="392">
        <v>87539</v>
      </c>
      <c r="H169" s="392">
        <v>0</v>
      </c>
      <c r="I169" s="392">
        <v>0</v>
      </c>
      <c r="J169" s="392">
        <v>0</v>
      </c>
      <c r="K169" s="392">
        <v>609195</v>
      </c>
      <c r="L169" s="392">
        <v>154108</v>
      </c>
      <c r="M169" s="392">
        <v>9168</v>
      </c>
      <c r="N169" s="392">
        <v>12314</v>
      </c>
      <c r="O169" s="392">
        <v>-3052</v>
      </c>
      <c r="P169" s="392">
        <v>20531</v>
      </c>
      <c r="Q169" s="392">
        <v>1863945</v>
      </c>
      <c r="R169" s="392">
        <v>1713195</v>
      </c>
      <c r="S169" s="392">
        <v>27996</v>
      </c>
      <c r="T169" s="392">
        <v>231865</v>
      </c>
      <c r="U169" s="392">
        <v>615630</v>
      </c>
      <c r="V169" s="392">
        <v>1202</v>
      </c>
      <c r="W169" s="392">
        <v>103228</v>
      </c>
      <c r="X169" s="392">
        <v>253066</v>
      </c>
      <c r="Y169" s="392">
        <v>79215</v>
      </c>
      <c r="Z169" s="392">
        <v>0</v>
      </c>
      <c r="AA169" s="392">
        <v>2238780</v>
      </c>
      <c r="AB169" s="392">
        <v>0</v>
      </c>
      <c r="AC169" s="392">
        <v>413549</v>
      </c>
      <c r="AD169" s="392">
        <v>20932</v>
      </c>
      <c r="AE169" s="392">
        <v>47190</v>
      </c>
      <c r="AF169" s="392">
        <v>217326</v>
      </c>
      <c r="AG169" s="392">
        <v>5963175</v>
      </c>
      <c r="AH169" s="392">
        <v>0</v>
      </c>
      <c r="AI169" s="392">
        <v>16431</v>
      </c>
      <c r="AJ169" s="392">
        <v>100</v>
      </c>
      <c r="AK169" s="392">
        <v>5979705</v>
      </c>
      <c r="AL169" s="392">
        <v>1863787</v>
      </c>
      <c r="AM169" s="392">
        <v>3332369</v>
      </c>
      <c r="AN169" s="392">
        <v>120343</v>
      </c>
      <c r="AO169" s="392">
        <v>194444</v>
      </c>
      <c r="AP169" s="392">
        <v>270512</v>
      </c>
      <c r="AQ169" s="392">
        <v>340737</v>
      </c>
      <c r="AR169" s="392">
        <v>169443</v>
      </c>
      <c r="AS169" s="392">
        <v>474229</v>
      </c>
      <c r="AT169" s="392">
        <v>114394</v>
      </c>
      <c r="AU169" s="392">
        <v>235344</v>
      </c>
      <c r="AV169" s="392">
        <v>258300</v>
      </c>
      <c r="AW169" s="392">
        <v>285530</v>
      </c>
      <c r="AX169" s="392">
        <v>167472</v>
      </c>
      <c r="AY169" s="786">
        <v>16430</v>
      </c>
      <c r="AZ169" s="392">
        <v>1863945</v>
      </c>
      <c r="BA169" s="639">
        <f>SUM(SNAMEB[[#This Row],[Instruction Expenditures]:[Transfers Out/OtherFinancing]])+SUM(SNAMEB[[#This Row],[General Fund Balance]:[Other Enterprise FundBalance]])</f>
        <v>7843493</v>
      </c>
      <c r="BB169" s="639">
        <f>SUM(SNAMEB[[#This Row],[Property Tax Revenue]:[IDEA/Other Fed Revenue]])+SNAMEB[General Long-term DebtProceeds]+SNAMEB[TransfersIn/Other Financing]+SNAMEB[Fixed Asset Disposition]+SNAMEB[Beginning Fund Balance]</f>
        <v>7843492</v>
      </c>
    </row>
    <row r="170" spans="1:54" x14ac:dyDescent="0.2">
      <c r="A170" s="390">
        <v>9</v>
      </c>
      <c r="B170" s="391" t="s">
        <v>247</v>
      </c>
      <c r="C170" s="631">
        <v>3841</v>
      </c>
      <c r="D170" t="s">
        <v>1166</v>
      </c>
      <c r="E170" s="392">
        <v>2346881</v>
      </c>
      <c r="F170" s="392">
        <v>54068</v>
      </c>
      <c r="G170" s="392">
        <v>58238</v>
      </c>
      <c r="H170" s="392">
        <v>0</v>
      </c>
      <c r="I170" s="392">
        <v>0</v>
      </c>
      <c r="J170" s="392">
        <v>0</v>
      </c>
      <c r="K170" s="392">
        <v>1246035</v>
      </c>
      <c r="L170" s="392">
        <v>488112</v>
      </c>
      <c r="M170" s="392">
        <v>0</v>
      </c>
      <c r="N170" s="392">
        <v>2428702</v>
      </c>
      <c r="O170" s="392">
        <v>158974</v>
      </c>
      <c r="P170" s="392">
        <v>48210</v>
      </c>
      <c r="Q170" s="392">
        <v>6829220</v>
      </c>
      <c r="R170" s="392">
        <v>2513000</v>
      </c>
      <c r="S170" s="392">
        <v>665730</v>
      </c>
      <c r="T170" s="392">
        <v>357129</v>
      </c>
      <c r="U170" s="392">
        <v>848803</v>
      </c>
      <c r="V170" s="392">
        <v>61910</v>
      </c>
      <c r="W170" s="392">
        <v>235988</v>
      </c>
      <c r="X170" s="392">
        <v>108007</v>
      </c>
      <c r="Y170" s="392">
        <v>241329</v>
      </c>
      <c r="Z170" s="392">
        <v>0</v>
      </c>
      <c r="AA170" s="392">
        <v>4472471</v>
      </c>
      <c r="AB170" s="392">
        <v>0</v>
      </c>
      <c r="AC170" s="392">
        <v>762660</v>
      </c>
      <c r="AD170" s="392">
        <v>59411</v>
      </c>
      <c r="AE170" s="392">
        <v>98269</v>
      </c>
      <c r="AF170" s="392">
        <v>317493</v>
      </c>
      <c r="AG170" s="392">
        <v>10742202</v>
      </c>
      <c r="AH170" s="392">
        <v>0</v>
      </c>
      <c r="AI170" s="392">
        <v>806457</v>
      </c>
      <c r="AJ170" s="392">
        <v>4266</v>
      </c>
      <c r="AK170" s="392">
        <v>11552925</v>
      </c>
      <c r="AL170" s="392">
        <v>5731804</v>
      </c>
      <c r="AM170" s="392">
        <v>5708680</v>
      </c>
      <c r="AN170" s="392">
        <v>208871</v>
      </c>
      <c r="AO170" s="392">
        <v>313082</v>
      </c>
      <c r="AP170" s="392">
        <v>283516</v>
      </c>
      <c r="AQ170" s="392">
        <v>416539</v>
      </c>
      <c r="AR170" s="392">
        <v>304725</v>
      </c>
      <c r="AS170" s="392">
        <v>603034</v>
      </c>
      <c r="AT170" s="392">
        <v>576887</v>
      </c>
      <c r="AU170" s="392">
        <v>406545</v>
      </c>
      <c r="AV170" s="392">
        <v>678231</v>
      </c>
      <c r="AW170" s="392">
        <v>152270</v>
      </c>
      <c r="AX170" s="392">
        <v>316673</v>
      </c>
      <c r="AY170" s="786">
        <v>486457</v>
      </c>
      <c r="AZ170" s="392">
        <v>6829220</v>
      </c>
      <c r="BA170" s="639">
        <f>SUM(SNAMEB[[#This Row],[Instruction Expenditures]:[Transfers Out/OtherFinancing]])+SUM(SNAMEB[[#This Row],[General Fund Balance]:[Other Enterprise FundBalance]])</f>
        <v>17284730</v>
      </c>
      <c r="BB170" s="639">
        <f>SUM(SNAMEB[[#This Row],[Property Tax Revenue]:[IDEA/Other Fed Revenue]])+SNAMEB[General Long-term DebtProceeds]+SNAMEB[TransfersIn/Other Financing]+SNAMEB[Fixed Asset Disposition]+SNAMEB[Beginning Fund Balance]</f>
        <v>17284727</v>
      </c>
    </row>
    <row r="171" spans="1:54" x14ac:dyDescent="0.2">
      <c r="A171" s="390">
        <v>5</v>
      </c>
      <c r="B171" s="391" t="s">
        <v>248</v>
      </c>
      <c r="C171" s="631">
        <v>3897</v>
      </c>
      <c r="D171" t="s">
        <v>1167</v>
      </c>
      <c r="E171" s="392">
        <v>538640</v>
      </c>
      <c r="F171" s="392">
        <v>538</v>
      </c>
      <c r="G171" s="392">
        <v>430150</v>
      </c>
      <c r="H171" s="392">
        <v>0</v>
      </c>
      <c r="I171" s="392">
        <v>0</v>
      </c>
      <c r="J171" s="392">
        <v>0</v>
      </c>
      <c r="K171" s="392">
        <v>488563</v>
      </c>
      <c r="L171" s="392">
        <v>107737</v>
      </c>
      <c r="M171" s="392">
        <v>0</v>
      </c>
      <c r="N171" s="392">
        <v>0</v>
      </c>
      <c r="O171" s="392">
        <v>28282</v>
      </c>
      <c r="P171" s="392">
        <v>0</v>
      </c>
      <c r="Q171" s="392">
        <v>1593909</v>
      </c>
      <c r="R171" s="392">
        <v>1429315</v>
      </c>
      <c r="S171" s="392">
        <v>35540</v>
      </c>
      <c r="T171" s="392">
        <v>178577</v>
      </c>
      <c r="U171" s="392">
        <v>0</v>
      </c>
      <c r="V171" s="392">
        <v>1546</v>
      </c>
      <c r="W171" s="392">
        <v>17077</v>
      </c>
      <c r="X171" s="392">
        <v>0</v>
      </c>
      <c r="Y171" s="392">
        <v>4061</v>
      </c>
      <c r="Z171" s="392">
        <v>0</v>
      </c>
      <c r="AA171" s="392">
        <v>518517</v>
      </c>
      <c r="AB171" s="392">
        <v>0</v>
      </c>
      <c r="AC171" s="392">
        <v>171478</v>
      </c>
      <c r="AD171" s="392">
        <v>14986</v>
      </c>
      <c r="AE171" s="392">
        <v>55425</v>
      </c>
      <c r="AF171" s="392">
        <v>84571</v>
      </c>
      <c r="AG171" s="392">
        <v>2511094</v>
      </c>
      <c r="AH171" s="392">
        <v>0</v>
      </c>
      <c r="AI171" s="392">
        <v>500382</v>
      </c>
      <c r="AJ171" s="392">
        <v>2332</v>
      </c>
      <c r="AK171" s="392">
        <v>3013808</v>
      </c>
      <c r="AL171" s="392">
        <v>1166153</v>
      </c>
      <c r="AM171" s="392">
        <v>1405893</v>
      </c>
      <c r="AN171" s="392">
        <v>9743</v>
      </c>
      <c r="AO171" s="392">
        <v>21435</v>
      </c>
      <c r="AP171" s="392">
        <v>179999</v>
      </c>
      <c r="AQ171" s="392">
        <v>48122</v>
      </c>
      <c r="AR171" s="392">
        <v>59768</v>
      </c>
      <c r="AS171" s="392">
        <v>177290</v>
      </c>
      <c r="AT171" s="392">
        <v>138190</v>
      </c>
      <c r="AU171" s="392">
        <v>59992</v>
      </c>
      <c r="AV171" s="392">
        <v>306614</v>
      </c>
      <c r="AW171" s="392">
        <v>0</v>
      </c>
      <c r="AX171" s="392">
        <v>65094</v>
      </c>
      <c r="AY171" s="786">
        <v>113912</v>
      </c>
      <c r="AZ171" s="392">
        <v>1593909</v>
      </c>
      <c r="BA171" s="639">
        <f>SUM(SNAMEB[[#This Row],[Instruction Expenditures]:[Transfers Out/OtherFinancing]])+SUM(SNAMEB[[#This Row],[General Fund Balance]:[Other Enterprise FundBalance]])</f>
        <v>4179962</v>
      </c>
      <c r="BB171" s="639">
        <f>SUM(SNAMEB[[#This Row],[Property Tax Revenue]:[IDEA/Other Fed Revenue]])+SNAMEB[General Long-term DebtProceeds]+SNAMEB[TransfersIn/Other Financing]+SNAMEB[Fixed Asset Disposition]+SNAMEB[Beginning Fund Balance]</f>
        <v>4179960</v>
      </c>
    </row>
    <row r="172" spans="1:54" x14ac:dyDescent="0.2">
      <c r="A172" s="390">
        <v>11</v>
      </c>
      <c r="B172" s="391" t="s">
        <v>249</v>
      </c>
      <c r="C172" s="631">
        <v>3906</v>
      </c>
      <c r="D172" t="s">
        <v>1168</v>
      </c>
      <c r="E172" s="392">
        <v>565270</v>
      </c>
      <c r="F172" s="392">
        <v>174410</v>
      </c>
      <c r="G172" s="392">
        <v>89017</v>
      </c>
      <c r="H172" s="392">
        <v>0</v>
      </c>
      <c r="I172" s="392">
        <v>0</v>
      </c>
      <c r="J172" s="392">
        <v>0</v>
      </c>
      <c r="K172" s="392">
        <v>605082</v>
      </c>
      <c r="L172" s="392">
        <v>110473</v>
      </c>
      <c r="M172" s="392">
        <v>37645</v>
      </c>
      <c r="N172" s="392">
        <v>21162</v>
      </c>
      <c r="O172" s="392">
        <v>47768</v>
      </c>
      <c r="P172" s="392">
        <v>0</v>
      </c>
      <c r="Q172" s="392">
        <v>1650826</v>
      </c>
      <c r="R172" s="392">
        <v>2082646</v>
      </c>
      <c r="S172" s="392">
        <v>106467</v>
      </c>
      <c r="T172" s="392">
        <v>275113</v>
      </c>
      <c r="U172" s="392">
        <v>455135</v>
      </c>
      <c r="V172" s="392">
        <v>4388</v>
      </c>
      <c r="W172" s="392">
        <v>172459</v>
      </c>
      <c r="X172" s="392">
        <v>315817</v>
      </c>
      <c r="Y172" s="392">
        <v>161528</v>
      </c>
      <c r="Z172" s="392">
        <v>0</v>
      </c>
      <c r="AA172" s="392">
        <v>2220552</v>
      </c>
      <c r="AB172" s="392">
        <v>0</v>
      </c>
      <c r="AC172" s="392">
        <v>493479</v>
      </c>
      <c r="AD172" s="392">
        <v>23113</v>
      </c>
      <c r="AE172" s="392">
        <v>32198</v>
      </c>
      <c r="AF172" s="392">
        <v>192496</v>
      </c>
      <c r="AG172" s="392">
        <v>6535391</v>
      </c>
      <c r="AH172" s="392">
        <v>515790</v>
      </c>
      <c r="AI172" s="392">
        <v>254239</v>
      </c>
      <c r="AJ172" s="392">
        <v>0</v>
      </c>
      <c r="AK172" s="392">
        <v>7305420</v>
      </c>
      <c r="AL172" s="392">
        <v>1260947</v>
      </c>
      <c r="AM172" s="392">
        <v>3633034</v>
      </c>
      <c r="AN172" s="392">
        <v>101090</v>
      </c>
      <c r="AO172" s="392">
        <v>176633</v>
      </c>
      <c r="AP172" s="392">
        <v>236232</v>
      </c>
      <c r="AQ172" s="392">
        <v>222200</v>
      </c>
      <c r="AR172" s="392">
        <v>106615</v>
      </c>
      <c r="AS172" s="392">
        <v>411635</v>
      </c>
      <c r="AT172" s="392">
        <v>857165</v>
      </c>
      <c r="AU172" s="392">
        <v>272001</v>
      </c>
      <c r="AV172" s="392">
        <v>120641</v>
      </c>
      <c r="AW172" s="392">
        <v>365005</v>
      </c>
      <c r="AX172" s="392">
        <v>170985</v>
      </c>
      <c r="AY172" s="786">
        <v>242305</v>
      </c>
      <c r="AZ172" s="392">
        <v>1650826</v>
      </c>
      <c r="BA172" s="639">
        <f>SUM(SNAMEB[[#This Row],[Instruction Expenditures]:[Transfers Out/OtherFinancing]])+SUM(SNAMEB[[#This Row],[General Fund Balance]:[Other Enterprise FundBalance]])</f>
        <v>8566368</v>
      </c>
      <c r="BB172" s="639">
        <f>SUM(SNAMEB[[#This Row],[Property Tax Revenue]:[IDEA/Other Fed Revenue]])+SNAMEB[General Long-term DebtProceeds]+SNAMEB[TransfersIn/Other Financing]+SNAMEB[Fixed Asset Disposition]+SNAMEB[Beginning Fund Balance]</f>
        <v>8566367</v>
      </c>
    </row>
    <row r="173" spans="1:54" x14ac:dyDescent="0.2">
      <c r="A173" s="390">
        <v>11</v>
      </c>
      <c r="B173" s="391" t="s">
        <v>250</v>
      </c>
      <c r="C173" s="631">
        <v>3942</v>
      </c>
      <c r="D173" t="s">
        <v>1169</v>
      </c>
      <c r="E173" s="392">
        <v>1024946</v>
      </c>
      <c r="F173" s="392">
        <v>44837</v>
      </c>
      <c r="G173" s="392">
        <v>342464</v>
      </c>
      <c r="H173" s="392">
        <v>0</v>
      </c>
      <c r="I173" s="392">
        <v>0</v>
      </c>
      <c r="J173" s="392">
        <v>0</v>
      </c>
      <c r="K173" s="392">
        <v>820159</v>
      </c>
      <c r="L173" s="392">
        <v>305481</v>
      </c>
      <c r="M173" s="392">
        <v>0</v>
      </c>
      <c r="N173" s="392">
        <v>103244</v>
      </c>
      <c r="O173" s="392">
        <v>-335730</v>
      </c>
      <c r="P173" s="392">
        <v>0</v>
      </c>
      <c r="Q173" s="392">
        <v>2305401</v>
      </c>
      <c r="R173" s="392">
        <v>1997025</v>
      </c>
      <c r="S173" s="392">
        <v>31979</v>
      </c>
      <c r="T173" s="392">
        <v>232053</v>
      </c>
      <c r="U173" s="392">
        <v>415684</v>
      </c>
      <c r="V173" s="392">
        <v>1086</v>
      </c>
      <c r="W173" s="392">
        <v>196251</v>
      </c>
      <c r="X173" s="392">
        <v>171824</v>
      </c>
      <c r="Y173" s="392">
        <v>87993</v>
      </c>
      <c r="Z173" s="392">
        <v>0</v>
      </c>
      <c r="AA173" s="392">
        <v>4419840</v>
      </c>
      <c r="AB173" s="392">
        <v>0</v>
      </c>
      <c r="AC173" s="392">
        <v>681178</v>
      </c>
      <c r="AD173" s="392">
        <v>33993</v>
      </c>
      <c r="AE173" s="392">
        <v>43789</v>
      </c>
      <c r="AF173" s="392">
        <v>215992</v>
      </c>
      <c r="AG173" s="392">
        <v>8528686</v>
      </c>
      <c r="AH173" s="392">
        <v>1517000</v>
      </c>
      <c r="AI173" s="392">
        <v>1709584</v>
      </c>
      <c r="AJ173" s="392">
        <v>655</v>
      </c>
      <c r="AK173" s="392">
        <v>11755926</v>
      </c>
      <c r="AL173" s="392">
        <v>3382604</v>
      </c>
      <c r="AM173" s="392">
        <v>5105021</v>
      </c>
      <c r="AN173" s="392">
        <v>196421</v>
      </c>
      <c r="AO173" s="392">
        <v>81449</v>
      </c>
      <c r="AP173" s="392">
        <v>183657</v>
      </c>
      <c r="AQ173" s="392">
        <v>562689</v>
      </c>
      <c r="AR173" s="392">
        <v>108612</v>
      </c>
      <c r="AS173" s="392">
        <v>517511</v>
      </c>
      <c r="AT173" s="392">
        <v>299891</v>
      </c>
      <c r="AU173" s="392">
        <v>357502</v>
      </c>
      <c r="AV173" s="392">
        <v>1598449</v>
      </c>
      <c r="AW173" s="392">
        <v>1838784</v>
      </c>
      <c r="AX173" s="392">
        <v>273558</v>
      </c>
      <c r="AY173" s="786">
        <v>1709584</v>
      </c>
      <c r="AZ173" s="392">
        <v>2305401</v>
      </c>
      <c r="BA173" s="639">
        <f>SUM(SNAMEB[[#This Row],[Instruction Expenditures]:[Transfers Out/OtherFinancing]])+SUM(SNAMEB[[#This Row],[General Fund Balance]:[Other Enterprise FundBalance]])</f>
        <v>15138529</v>
      </c>
      <c r="BB173" s="639">
        <f>SUM(SNAMEB[[#This Row],[Property Tax Revenue]:[IDEA/Other Fed Revenue]])+SNAMEB[General Long-term DebtProceeds]+SNAMEB[TransfersIn/Other Financing]+SNAMEB[Fixed Asset Disposition]+SNAMEB[Beginning Fund Balance]</f>
        <v>15138530</v>
      </c>
    </row>
    <row r="174" spans="1:54" x14ac:dyDescent="0.2">
      <c r="A174" s="390">
        <v>5</v>
      </c>
      <c r="B174" s="391" t="s">
        <v>252</v>
      </c>
      <c r="C174" s="631">
        <v>4023</v>
      </c>
      <c r="D174" t="s">
        <v>1170</v>
      </c>
      <c r="E174" s="392">
        <v>1423060</v>
      </c>
      <c r="F174" s="392">
        <v>184973</v>
      </c>
      <c r="G174" s="392">
        <v>32988</v>
      </c>
      <c r="H174" s="392">
        <v>0</v>
      </c>
      <c r="I174" s="392">
        <v>0</v>
      </c>
      <c r="J174" s="392">
        <v>0</v>
      </c>
      <c r="K174" s="392">
        <v>408431</v>
      </c>
      <c r="L174" s="392">
        <v>258611</v>
      </c>
      <c r="M174" s="392">
        <v>0</v>
      </c>
      <c r="N174" s="392">
        <v>0</v>
      </c>
      <c r="O174" s="392">
        <v>29199</v>
      </c>
      <c r="P174" s="392">
        <v>-143553</v>
      </c>
      <c r="Q174" s="392">
        <v>2193709</v>
      </c>
      <c r="R174" s="392">
        <v>3070690</v>
      </c>
      <c r="S174" s="392">
        <v>415040</v>
      </c>
      <c r="T174" s="392">
        <v>297668</v>
      </c>
      <c r="U174" s="392">
        <v>2011392</v>
      </c>
      <c r="V174" s="392">
        <v>10602</v>
      </c>
      <c r="W174" s="392">
        <v>187704</v>
      </c>
      <c r="X174" s="392">
        <v>468681</v>
      </c>
      <c r="Y174" s="392">
        <v>118898</v>
      </c>
      <c r="Z174" s="392">
        <v>0</v>
      </c>
      <c r="AA174" s="392">
        <v>2952689</v>
      </c>
      <c r="AB174" s="392">
        <v>0</v>
      </c>
      <c r="AC174" s="392">
        <v>780765</v>
      </c>
      <c r="AD174" s="392">
        <v>83541</v>
      </c>
      <c r="AE174" s="392">
        <v>91953</v>
      </c>
      <c r="AF174" s="392">
        <v>239915</v>
      </c>
      <c r="AG174" s="392">
        <v>10729538</v>
      </c>
      <c r="AH174" s="392">
        <v>378685</v>
      </c>
      <c r="AI174" s="392">
        <v>454568</v>
      </c>
      <c r="AJ174" s="392">
        <v>119093</v>
      </c>
      <c r="AK174" s="392">
        <v>11681884</v>
      </c>
      <c r="AL174" s="392">
        <v>2549404</v>
      </c>
      <c r="AM174" s="392">
        <v>6914468</v>
      </c>
      <c r="AN174" s="392">
        <v>206620</v>
      </c>
      <c r="AO174" s="392">
        <v>323522</v>
      </c>
      <c r="AP174" s="392">
        <v>238414</v>
      </c>
      <c r="AQ174" s="392">
        <v>422017</v>
      </c>
      <c r="AR174" s="392">
        <v>145345</v>
      </c>
      <c r="AS174" s="392">
        <v>722790</v>
      </c>
      <c r="AT174" s="392">
        <v>815784</v>
      </c>
      <c r="AU174" s="392">
        <v>703490</v>
      </c>
      <c r="AV174" s="392">
        <v>368487</v>
      </c>
      <c r="AW174" s="392">
        <v>433761</v>
      </c>
      <c r="AX174" s="392">
        <v>273751</v>
      </c>
      <c r="AY174" s="786">
        <v>469132</v>
      </c>
      <c r="AZ174" s="392">
        <v>2193709</v>
      </c>
      <c r="BA174" s="639">
        <f>SUM(SNAMEB[[#This Row],[Instruction Expenditures]:[Transfers Out/OtherFinancing]])+SUM(SNAMEB[[#This Row],[General Fund Balance]:[Other Enterprise FundBalance]])</f>
        <v>14231290</v>
      </c>
      <c r="BB174" s="639">
        <f>SUM(SNAMEB[[#This Row],[Property Tax Revenue]:[IDEA/Other Fed Revenue]])+SNAMEB[General Long-term DebtProceeds]+SNAMEB[TransfersIn/Other Financing]+SNAMEB[Fixed Asset Disposition]+SNAMEB[Beginning Fund Balance]</f>
        <v>14231288</v>
      </c>
    </row>
    <row r="175" spans="1:54" x14ac:dyDescent="0.2">
      <c r="A175" s="390">
        <v>12</v>
      </c>
      <c r="B175" s="391" t="s">
        <v>253</v>
      </c>
      <c r="C175" s="631">
        <v>4033</v>
      </c>
      <c r="D175" t="s">
        <v>1494</v>
      </c>
      <c r="E175" s="392">
        <v>1271302</v>
      </c>
      <c r="F175" s="392">
        <v>78769</v>
      </c>
      <c r="G175" s="392">
        <v>177690</v>
      </c>
      <c r="H175" s="392">
        <v>0</v>
      </c>
      <c r="I175" s="392">
        <v>0</v>
      </c>
      <c r="J175" s="392">
        <v>0</v>
      </c>
      <c r="K175" s="392">
        <v>288645</v>
      </c>
      <c r="L175" s="392">
        <v>356052</v>
      </c>
      <c r="M175" s="392">
        <v>0</v>
      </c>
      <c r="N175" s="392">
        <v>34858</v>
      </c>
      <c r="O175" s="392">
        <v>-87882</v>
      </c>
      <c r="P175" s="392">
        <v>0</v>
      </c>
      <c r="Q175" s="392">
        <v>2119433</v>
      </c>
      <c r="R175" s="392">
        <v>3637217</v>
      </c>
      <c r="S175" s="392">
        <v>79958</v>
      </c>
      <c r="T175" s="392">
        <v>78689</v>
      </c>
      <c r="U175" s="392">
        <v>235104</v>
      </c>
      <c r="V175" s="392">
        <v>2855</v>
      </c>
      <c r="W175" s="392">
        <v>147870</v>
      </c>
      <c r="X175" s="392">
        <v>349119</v>
      </c>
      <c r="Y175" s="392">
        <v>320812</v>
      </c>
      <c r="Z175" s="392">
        <v>0</v>
      </c>
      <c r="AA175" s="392">
        <v>3490903</v>
      </c>
      <c r="AB175" s="392">
        <v>0</v>
      </c>
      <c r="AC175" s="392">
        <v>697660</v>
      </c>
      <c r="AD175" s="392">
        <v>6146</v>
      </c>
      <c r="AE175" s="392">
        <v>159401</v>
      </c>
      <c r="AF175" s="392">
        <v>414734</v>
      </c>
      <c r="AG175" s="392">
        <v>9620468</v>
      </c>
      <c r="AH175" s="392">
        <v>0</v>
      </c>
      <c r="AI175" s="392">
        <v>270925</v>
      </c>
      <c r="AJ175" s="392">
        <v>6489</v>
      </c>
      <c r="AK175" s="392">
        <v>9897882</v>
      </c>
      <c r="AL175" s="392">
        <v>3466332</v>
      </c>
      <c r="AM175" s="392">
        <v>5812902</v>
      </c>
      <c r="AN175" s="392">
        <v>280384</v>
      </c>
      <c r="AO175" s="392">
        <v>224115</v>
      </c>
      <c r="AP175" s="392">
        <v>299708</v>
      </c>
      <c r="AQ175" s="392">
        <v>460475</v>
      </c>
      <c r="AR175" s="392">
        <v>157686</v>
      </c>
      <c r="AS175" s="392">
        <v>776463</v>
      </c>
      <c r="AT175" s="392">
        <v>606808</v>
      </c>
      <c r="AU175" s="392">
        <v>442598</v>
      </c>
      <c r="AV175" s="392">
        <v>883559</v>
      </c>
      <c r="AW175" s="392">
        <v>600660</v>
      </c>
      <c r="AX175" s="392">
        <v>296511</v>
      </c>
      <c r="AY175" s="786">
        <v>402914</v>
      </c>
      <c r="AZ175" s="392">
        <v>2119433</v>
      </c>
      <c r="BA175" s="639">
        <f>SUM(SNAMEB[[#This Row],[Instruction Expenditures]:[Transfers Out/OtherFinancing]])+SUM(SNAMEB[[#This Row],[General Fund Balance]:[Other Enterprise FundBalance]])</f>
        <v>13364217</v>
      </c>
      <c r="BB175" s="639">
        <f>SUM(SNAMEB[[#This Row],[Property Tax Revenue]:[IDEA/Other Fed Revenue]])+SNAMEB[General Long-term DebtProceeds]+SNAMEB[TransfersIn/Other Financing]+SNAMEB[Fixed Asset Disposition]+SNAMEB[Beginning Fund Balance]</f>
        <v>13364214</v>
      </c>
    </row>
    <row r="176" spans="1:54" x14ac:dyDescent="0.2">
      <c r="A176" s="390">
        <v>9</v>
      </c>
      <c r="B176" s="391" t="s">
        <v>254</v>
      </c>
      <c r="C176" s="631">
        <v>4041</v>
      </c>
      <c r="D176" t="s">
        <v>1171</v>
      </c>
      <c r="E176" s="392">
        <v>3124474</v>
      </c>
      <c r="F176" s="392">
        <v>161355</v>
      </c>
      <c r="G176" s="392">
        <v>1185891</v>
      </c>
      <c r="H176" s="392">
        <v>0</v>
      </c>
      <c r="I176" s="392">
        <v>123695</v>
      </c>
      <c r="J176" s="392">
        <v>0</v>
      </c>
      <c r="K176" s="392">
        <v>2071516</v>
      </c>
      <c r="L176" s="392">
        <v>362395</v>
      </c>
      <c r="M176" s="392">
        <v>0</v>
      </c>
      <c r="N176" s="392">
        <v>74363</v>
      </c>
      <c r="O176" s="392">
        <v>1080</v>
      </c>
      <c r="P176" s="392">
        <v>0</v>
      </c>
      <c r="Q176" s="392">
        <v>7104769</v>
      </c>
      <c r="R176" s="392">
        <v>4969992</v>
      </c>
      <c r="S176" s="392">
        <v>100499</v>
      </c>
      <c r="T176" s="392">
        <v>582862</v>
      </c>
      <c r="U176" s="392">
        <v>1268570</v>
      </c>
      <c r="V176" s="392">
        <v>35833</v>
      </c>
      <c r="W176" s="392">
        <v>230795</v>
      </c>
      <c r="X176" s="392">
        <v>432675</v>
      </c>
      <c r="Y176" s="392">
        <v>346081</v>
      </c>
      <c r="Z176" s="392">
        <v>3750</v>
      </c>
      <c r="AA176" s="392">
        <v>8804366</v>
      </c>
      <c r="AB176" s="392">
        <v>0</v>
      </c>
      <c r="AC176" s="392">
        <v>1431848</v>
      </c>
      <c r="AD176" s="392">
        <v>81978</v>
      </c>
      <c r="AE176" s="392">
        <v>367116</v>
      </c>
      <c r="AF176" s="392">
        <v>853133</v>
      </c>
      <c r="AG176" s="392">
        <v>19509498</v>
      </c>
      <c r="AH176" s="392">
        <v>0</v>
      </c>
      <c r="AI176" s="392">
        <v>854960</v>
      </c>
      <c r="AJ176" s="392">
        <v>3452</v>
      </c>
      <c r="AK176" s="392">
        <v>20367910</v>
      </c>
      <c r="AL176" s="392">
        <v>7078966</v>
      </c>
      <c r="AM176" s="392">
        <v>12052407</v>
      </c>
      <c r="AN176" s="392">
        <v>481094</v>
      </c>
      <c r="AO176" s="392">
        <v>469727</v>
      </c>
      <c r="AP176" s="392">
        <v>289794</v>
      </c>
      <c r="AQ176" s="392">
        <v>1057471</v>
      </c>
      <c r="AR176" s="392">
        <v>408957</v>
      </c>
      <c r="AS176" s="392">
        <v>1255418</v>
      </c>
      <c r="AT176" s="392">
        <v>654864</v>
      </c>
      <c r="AU176" s="392">
        <v>716404</v>
      </c>
      <c r="AV176" s="392">
        <v>515767</v>
      </c>
      <c r="AW176" s="392">
        <v>855118</v>
      </c>
      <c r="AX176" s="392">
        <v>590058</v>
      </c>
      <c r="AY176" s="786">
        <v>995024</v>
      </c>
      <c r="AZ176" s="392">
        <v>7104769</v>
      </c>
      <c r="BA176" s="639">
        <f>SUM(SNAMEB[[#This Row],[Instruction Expenditures]:[Transfers Out/OtherFinancing]])+SUM(SNAMEB[[#This Row],[General Fund Balance]:[Other Enterprise FundBalance]])</f>
        <v>27446872</v>
      </c>
      <c r="BB176" s="639">
        <f>SUM(SNAMEB[[#This Row],[Property Tax Revenue]:[IDEA/Other Fed Revenue]])+SNAMEB[General Long-term DebtProceeds]+SNAMEB[TransfersIn/Other Financing]+SNAMEB[Fixed Asset Disposition]+SNAMEB[Beginning Fund Balance]</f>
        <v>27446876</v>
      </c>
    </row>
    <row r="177" spans="1:54" x14ac:dyDescent="0.2">
      <c r="A177" s="390">
        <v>1</v>
      </c>
      <c r="B177" s="391" t="s">
        <v>255</v>
      </c>
      <c r="C177" s="631">
        <v>4043</v>
      </c>
      <c r="D177" t="s">
        <v>1172</v>
      </c>
      <c r="E177" s="392">
        <v>2485872</v>
      </c>
      <c r="F177" s="392">
        <v>117135</v>
      </c>
      <c r="G177" s="392">
        <v>1712912</v>
      </c>
      <c r="H177" s="392">
        <v>0</v>
      </c>
      <c r="I177" s="392">
        <v>0</v>
      </c>
      <c r="J177" s="392">
        <v>0</v>
      </c>
      <c r="K177" s="392">
        <v>2199118</v>
      </c>
      <c r="L177" s="392">
        <v>117012</v>
      </c>
      <c r="M177" s="392">
        <v>0</v>
      </c>
      <c r="N177" s="392">
        <v>308956</v>
      </c>
      <c r="O177" s="392">
        <v>-1836</v>
      </c>
      <c r="P177" s="392">
        <v>0</v>
      </c>
      <c r="Q177" s="392">
        <v>6939169</v>
      </c>
      <c r="R177" s="392">
        <v>4265588</v>
      </c>
      <c r="S177" s="392">
        <v>92566</v>
      </c>
      <c r="T177" s="392">
        <v>0</v>
      </c>
      <c r="U177" s="392">
        <v>319852</v>
      </c>
      <c r="V177" s="392">
        <v>76577</v>
      </c>
      <c r="W177" s="392">
        <v>209589</v>
      </c>
      <c r="X177" s="392">
        <v>349020</v>
      </c>
      <c r="Y177" s="392">
        <v>232161</v>
      </c>
      <c r="Z177" s="392">
        <v>0</v>
      </c>
      <c r="AA177" s="392">
        <v>3831363</v>
      </c>
      <c r="AB177" s="392">
        <v>0</v>
      </c>
      <c r="AC177" s="392">
        <v>950830</v>
      </c>
      <c r="AD177" s="392">
        <v>30912</v>
      </c>
      <c r="AE177" s="392">
        <v>86857</v>
      </c>
      <c r="AF177" s="392">
        <v>314434</v>
      </c>
      <c r="AG177" s="392">
        <v>10759749</v>
      </c>
      <c r="AH177" s="392">
        <v>0</v>
      </c>
      <c r="AI177" s="392">
        <v>0</v>
      </c>
      <c r="AJ177" s="392">
        <v>0</v>
      </c>
      <c r="AK177" s="392">
        <v>10759749</v>
      </c>
      <c r="AL177" s="392">
        <v>5946786</v>
      </c>
      <c r="AM177" s="392">
        <v>5837295</v>
      </c>
      <c r="AN177" s="392">
        <v>171007</v>
      </c>
      <c r="AO177" s="392">
        <v>211108</v>
      </c>
      <c r="AP177" s="392">
        <v>278646</v>
      </c>
      <c r="AQ177" s="392">
        <v>420124</v>
      </c>
      <c r="AR177" s="392">
        <v>212083</v>
      </c>
      <c r="AS177" s="392">
        <v>629050</v>
      </c>
      <c r="AT177" s="392">
        <v>405637</v>
      </c>
      <c r="AU177" s="392">
        <v>407137</v>
      </c>
      <c r="AV177" s="392">
        <v>127362</v>
      </c>
      <c r="AW177" s="392">
        <v>574860</v>
      </c>
      <c r="AX177" s="392">
        <v>299325</v>
      </c>
      <c r="AY177" s="786">
        <v>193734</v>
      </c>
      <c r="AZ177" s="392">
        <v>6939169</v>
      </c>
      <c r="BA177" s="639">
        <f>SUM(SNAMEB[[#This Row],[Instruction Expenditures]:[Transfers Out/OtherFinancing]])+SUM(SNAMEB[[#This Row],[General Fund Balance]:[Other Enterprise FundBalance]])</f>
        <v>16706537</v>
      </c>
      <c r="BB177" s="639">
        <f>SUM(SNAMEB[[#This Row],[Property Tax Revenue]:[IDEA/Other Fed Revenue]])+SNAMEB[General Long-term DebtProceeds]+SNAMEB[TransfersIn/Other Financing]+SNAMEB[Fixed Asset Disposition]+SNAMEB[Beginning Fund Balance]</f>
        <v>16706535</v>
      </c>
    </row>
    <row r="178" spans="1:54" x14ac:dyDescent="0.2">
      <c r="A178" s="390">
        <v>12</v>
      </c>
      <c r="B178" s="391" t="s">
        <v>256</v>
      </c>
      <c r="C178" s="631">
        <v>4068</v>
      </c>
      <c r="D178" t="s">
        <v>1173</v>
      </c>
      <c r="E178" s="392">
        <v>1053408</v>
      </c>
      <c r="F178" s="392">
        <v>33774</v>
      </c>
      <c r="G178" s="392">
        <v>422606</v>
      </c>
      <c r="H178" s="392">
        <v>0</v>
      </c>
      <c r="I178" s="392">
        <v>0</v>
      </c>
      <c r="J178" s="392">
        <v>0</v>
      </c>
      <c r="K178" s="392">
        <v>1784983</v>
      </c>
      <c r="L178" s="392">
        <v>302070</v>
      </c>
      <c r="M178" s="392">
        <v>0</v>
      </c>
      <c r="N178" s="392">
        <v>53390</v>
      </c>
      <c r="O178" s="392">
        <v>78298</v>
      </c>
      <c r="P178" s="392">
        <v>0</v>
      </c>
      <c r="Q178" s="392">
        <v>3728529</v>
      </c>
      <c r="R178" s="392">
        <v>3139498</v>
      </c>
      <c r="S178" s="392">
        <v>197933</v>
      </c>
      <c r="T178" s="392">
        <v>298565</v>
      </c>
      <c r="U178" s="392">
        <v>149210</v>
      </c>
      <c r="V178" s="392">
        <v>9352</v>
      </c>
      <c r="W178" s="392">
        <v>108334</v>
      </c>
      <c r="X178" s="392">
        <v>124344</v>
      </c>
      <c r="Y178" s="392">
        <v>175428</v>
      </c>
      <c r="Z178" s="392">
        <v>0</v>
      </c>
      <c r="AA178" s="392">
        <v>1833162</v>
      </c>
      <c r="AB178" s="392">
        <v>0</v>
      </c>
      <c r="AC178" s="392">
        <v>447666</v>
      </c>
      <c r="AD178" s="392">
        <v>39390</v>
      </c>
      <c r="AE178" s="392">
        <v>46171</v>
      </c>
      <c r="AF178" s="392">
        <v>139402</v>
      </c>
      <c r="AG178" s="392">
        <v>6708454</v>
      </c>
      <c r="AH178" s="392">
        <v>0</v>
      </c>
      <c r="AI178" s="392">
        <v>35464</v>
      </c>
      <c r="AJ178" s="392">
        <v>8872</v>
      </c>
      <c r="AK178" s="392">
        <v>6752790</v>
      </c>
      <c r="AL178" s="392">
        <v>4581910</v>
      </c>
      <c r="AM178" s="392">
        <v>3351216</v>
      </c>
      <c r="AN178" s="392">
        <v>153591</v>
      </c>
      <c r="AO178" s="392">
        <v>82037</v>
      </c>
      <c r="AP178" s="392">
        <v>247964</v>
      </c>
      <c r="AQ178" s="392">
        <v>208597</v>
      </c>
      <c r="AR178" s="392">
        <v>79164</v>
      </c>
      <c r="AS178" s="392">
        <v>377680</v>
      </c>
      <c r="AT178" s="392">
        <v>349621</v>
      </c>
      <c r="AU178" s="392">
        <v>192108</v>
      </c>
      <c r="AV178" s="392">
        <v>717337</v>
      </c>
      <c r="AW178" s="392">
        <v>1441414</v>
      </c>
      <c r="AX178" s="392">
        <v>186645</v>
      </c>
      <c r="AY178" s="786">
        <v>218799</v>
      </c>
      <c r="AZ178" s="392">
        <v>3728529</v>
      </c>
      <c r="BA178" s="639">
        <f>SUM(SNAMEB[[#This Row],[Instruction Expenditures]:[Transfers Out/OtherFinancing]])+SUM(SNAMEB[[#This Row],[General Fund Balance]:[Other Enterprise FundBalance]])</f>
        <v>11334702</v>
      </c>
      <c r="BB178" s="639">
        <f>SUM(SNAMEB[[#This Row],[Property Tax Revenue]:[IDEA/Other Fed Revenue]])+SNAMEB[General Long-term DebtProceeds]+SNAMEB[TransfersIn/Other Financing]+SNAMEB[Fixed Asset Disposition]+SNAMEB[Beginning Fund Balance]</f>
        <v>11334701</v>
      </c>
    </row>
    <row r="179" spans="1:54" x14ac:dyDescent="0.2">
      <c r="A179" s="390">
        <v>10</v>
      </c>
      <c r="B179" s="391" t="s">
        <v>257</v>
      </c>
      <c r="C179" s="631">
        <v>4086</v>
      </c>
      <c r="D179" t="s">
        <v>1174</v>
      </c>
      <c r="E179" s="392">
        <v>2589990</v>
      </c>
      <c r="F179" s="392">
        <v>269112</v>
      </c>
      <c r="G179" s="392">
        <v>266729</v>
      </c>
      <c r="H179" s="392">
        <v>0</v>
      </c>
      <c r="I179" s="392">
        <v>352620</v>
      </c>
      <c r="J179" s="392">
        <v>0</v>
      </c>
      <c r="K179" s="392">
        <v>4194049</v>
      </c>
      <c r="L179" s="392">
        <v>2866213</v>
      </c>
      <c r="M179" s="392">
        <v>0</v>
      </c>
      <c r="N179" s="392">
        <v>893416</v>
      </c>
      <c r="O179" s="392">
        <v>425411</v>
      </c>
      <c r="P179" s="392">
        <v>211556</v>
      </c>
      <c r="Q179" s="392">
        <v>12069096</v>
      </c>
      <c r="R179" s="392">
        <v>7766131</v>
      </c>
      <c r="S179" s="392">
        <v>172944</v>
      </c>
      <c r="T179" s="392">
        <v>528017</v>
      </c>
      <c r="U179" s="392">
        <v>4696248</v>
      </c>
      <c r="V179" s="392">
        <v>23144</v>
      </c>
      <c r="W179" s="392">
        <v>427085</v>
      </c>
      <c r="X179" s="392">
        <v>771369</v>
      </c>
      <c r="Y179" s="392">
        <v>310634</v>
      </c>
      <c r="Z179" s="392">
        <v>0</v>
      </c>
      <c r="AA179" s="392">
        <v>12362078</v>
      </c>
      <c r="AB179" s="392">
        <v>0</v>
      </c>
      <c r="AC179" s="392">
        <v>1925004</v>
      </c>
      <c r="AD179" s="392">
        <v>207823</v>
      </c>
      <c r="AE179" s="392">
        <v>249374</v>
      </c>
      <c r="AF179" s="392">
        <v>886619</v>
      </c>
      <c r="AG179" s="392">
        <v>30326470</v>
      </c>
      <c r="AH179" s="392">
        <v>0</v>
      </c>
      <c r="AI179" s="392">
        <v>1212884</v>
      </c>
      <c r="AJ179" s="392">
        <v>39</v>
      </c>
      <c r="AK179" s="392">
        <v>31539393</v>
      </c>
      <c r="AL179" s="392">
        <v>10626364</v>
      </c>
      <c r="AM179" s="392">
        <v>17504064</v>
      </c>
      <c r="AN179" s="392">
        <v>887608</v>
      </c>
      <c r="AO179" s="392">
        <v>984847</v>
      </c>
      <c r="AP179" s="392">
        <v>317143</v>
      </c>
      <c r="AQ179" s="392">
        <v>1447585</v>
      </c>
      <c r="AR179" s="392">
        <v>438254</v>
      </c>
      <c r="AS179" s="392">
        <v>2023774</v>
      </c>
      <c r="AT179" s="392">
        <v>518582</v>
      </c>
      <c r="AU179" s="392">
        <v>851449</v>
      </c>
      <c r="AV179" s="392">
        <v>953436</v>
      </c>
      <c r="AW179" s="392">
        <v>2143038</v>
      </c>
      <c r="AX179" s="392">
        <v>813998</v>
      </c>
      <c r="AY179" s="786">
        <v>1212884</v>
      </c>
      <c r="AZ179" s="392">
        <v>12069096</v>
      </c>
      <c r="BA179" s="639">
        <f>SUM(SNAMEB[[#This Row],[Instruction Expenditures]:[Transfers Out/OtherFinancing]])+SUM(SNAMEB[[#This Row],[General Fund Balance]:[Other Enterprise FundBalance]])</f>
        <v>42165758</v>
      </c>
      <c r="BB179" s="639">
        <f>SUM(SNAMEB[[#This Row],[Property Tax Revenue]:[IDEA/Other Fed Revenue]])+SNAMEB[General Long-term DebtProceeds]+SNAMEB[TransfersIn/Other Financing]+SNAMEB[Fixed Asset Disposition]+SNAMEB[Beginning Fund Balance]</f>
        <v>42165757</v>
      </c>
    </row>
    <row r="180" spans="1:54" x14ac:dyDescent="0.2">
      <c r="A180" s="390">
        <v>7</v>
      </c>
      <c r="B180" s="391" t="s">
        <v>258</v>
      </c>
      <c r="C180" s="631">
        <v>4104</v>
      </c>
      <c r="D180" t="s">
        <v>1175</v>
      </c>
      <c r="E180" s="392">
        <v>6131872</v>
      </c>
      <c r="F180" s="392">
        <v>105299</v>
      </c>
      <c r="G180" s="392">
        <v>1850054</v>
      </c>
      <c r="H180" s="392">
        <v>173324</v>
      </c>
      <c r="I180" s="392">
        <v>51392</v>
      </c>
      <c r="J180" s="392">
        <v>0</v>
      </c>
      <c r="K180" s="392">
        <v>2006575</v>
      </c>
      <c r="L180" s="392">
        <v>265470</v>
      </c>
      <c r="M180" s="392">
        <v>0</v>
      </c>
      <c r="N180" s="392">
        <v>1801032</v>
      </c>
      <c r="O180" s="392">
        <v>261670</v>
      </c>
      <c r="P180" s="392">
        <v>0</v>
      </c>
      <c r="Q180" s="392">
        <v>12646688</v>
      </c>
      <c r="R180" s="392">
        <v>15906435</v>
      </c>
      <c r="S180" s="392">
        <v>1205637</v>
      </c>
      <c r="T180" s="392">
        <v>0</v>
      </c>
      <c r="U180" s="392">
        <v>604288</v>
      </c>
      <c r="V180" s="392">
        <v>22668</v>
      </c>
      <c r="W180" s="392">
        <v>537776</v>
      </c>
      <c r="X180" s="392">
        <v>746908</v>
      </c>
      <c r="Y180" s="392">
        <v>493597</v>
      </c>
      <c r="Z180" s="392">
        <v>7359</v>
      </c>
      <c r="AA180" s="392">
        <v>40414369</v>
      </c>
      <c r="AB180" s="392">
        <v>0</v>
      </c>
      <c r="AC180" s="392">
        <v>5636028</v>
      </c>
      <c r="AD180" s="392">
        <v>589812</v>
      </c>
      <c r="AE180" s="392">
        <v>1414675</v>
      </c>
      <c r="AF180" s="392">
        <v>5223504</v>
      </c>
      <c r="AG180" s="392">
        <v>72803056</v>
      </c>
      <c r="AH180" s="392">
        <v>0</v>
      </c>
      <c r="AI180" s="392">
        <v>5321035</v>
      </c>
      <c r="AJ180" s="392">
        <v>295</v>
      </c>
      <c r="AK180" s="392">
        <v>78124386</v>
      </c>
      <c r="AL180" s="392">
        <v>11974258</v>
      </c>
      <c r="AM180" s="392">
        <v>43132928</v>
      </c>
      <c r="AN180" s="392">
        <v>2398621</v>
      </c>
      <c r="AO180" s="392">
        <v>2764853</v>
      </c>
      <c r="AP180" s="392">
        <v>1664636</v>
      </c>
      <c r="AQ180" s="392">
        <v>2577367</v>
      </c>
      <c r="AR180" s="392">
        <v>824753</v>
      </c>
      <c r="AS180" s="392">
        <v>4918247</v>
      </c>
      <c r="AT180" s="392">
        <v>1830820</v>
      </c>
      <c r="AU180" s="392">
        <v>3303424</v>
      </c>
      <c r="AV180" s="392">
        <v>2712835</v>
      </c>
      <c r="AW180" s="392">
        <v>3999275</v>
      </c>
      <c r="AX180" s="392">
        <v>2385793</v>
      </c>
      <c r="AY180" s="786">
        <v>4938404</v>
      </c>
      <c r="AZ180" s="392">
        <v>12646688</v>
      </c>
      <c r="BA180" s="639">
        <f>SUM(SNAMEB[[#This Row],[Instruction Expenditures]:[Transfers Out/OtherFinancing]])+SUM(SNAMEB[[#This Row],[General Fund Balance]:[Other Enterprise FundBalance]])</f>
        <v>90098644</v>
      </c>
      <c r="BB180" s="639">
        <f>SUM(SNAMEB[[#This Row],[Property Tax Revenue]:[IDEA/Other Fed Revenue]])+SNAMEB[General Long-term DebtProceeds]+SNAMEB[TransfersIn/Other Financing]+SNAMEB[Fixed Asset Disposition]+SNAMEB[Beginning Fund Balance]</f>
        <v>90098644</v>
      </c>
    </row>
    <row r="181" spans="1:54" x14ac:dyDescent="0.2">
      <c r="A181" s="390">
        <v>11</v>
      </c>
      <c r="B181" s="391" t="s">
        <v>259</v>
      </c>
      <c r="C181" s="631">
        <v>4122</v>
      </c>
      <c r="D181" t="s">
        <v>1176</v>
      </c>
      <c r="E181" s="392">
        <v>2122434</v>
      </c>
      <c r="F181" s="392">
        <v>67012</v>
      </c>
      <c r="G181" s="392">
        <v>424558</v>
      </c>
      <c r="H181" s="392">
        <v>0</v>
      </c>
      <c r="I181" s="392">
        <v>0</v>
      </c>
      <c r="J181" s="392">
        <v>0</v>
      </c>
      <c r="K181" s="392">
        <v>433461</v>
      </c>
      <c r="L181" s="392">
        <v>42708</v>
      </c>
      <c r="M181" s="392">
        <v>0</v>
      </c>
      <c r="N181" s="392">
        <v>1396888</v>
      </c>
      <c r="O181" s="392">
        <v>76760</v>
      </c>
      <c r="P181" s="392">
        <v>-7820</v>
      </c>
      <c r="Q181" s="392">
        <v>4556001</v>
      </c>
      <c r="R181" s="392">
        <v>2306553</v>
      </c>
      <c r="S181" s="392">
        <v>55724</v>
      </c>
      <c r="T181" s="392">
        <v>31259</v>
      </c>
      <c r="U181" s="392">
        <v>876375</v>
      </c>
      <c r="V181" s="392">
        <v>14370</v>
      </c>
      <c r="W181" s="392">
        <v>163380</v>
      </c>
      <c r="X181" s="392">
        <v>152458</v>
      </c>
      <c r="Y181" s="392">
        <v>205590</v>
      </c>
      <c r="Z181" s="392">
        <v>0</v>
      </c>
      <c r="AA181" s="392">
        <v>3102099</v>
      </c>
      <c r="AB181" s="392">
        <v>0</v>
      </c>
      <c r="AC181" s="392">
        <v>537184</v>
      </c>
      <c r="AD181" s="392">
        <v>1251</v>
      </c>
      <c r="AE181" s="392">
        <v>36388</v>
      </c>
      <c r="AF181" s="392">
        <v>268994</v>
      </c>
      <c r="AG181" s="392">
        <v>7751624</v>
      </c>
      <c r="AH181" s="392">
        <v>0</v>
      </c>
      <c r="AI181" s="392">
        <v>316458</v>
      </c>
      <c r="AJ181" s="392">
        <v>0</v>
      </c>
      <c r="AK181" s="392">
        <v>8068082</v>
      </c>
      <c r="AL181" s="392">
        <v>4482318</v>
      </c>
      <c r="AM181" s="392">
        <v>4405468</v>
      </c>
      <c r="AN181" s="392">
        <v>136803</v>
      </c>
      <c r="AO181" s="392">
        <v>70369</v>
      </c>
      <c r="AP181" s="392">
        <v>157224</v>
      </c>
      <c r="AQ181" s="392">
        <v>450105</v>
      </c>
      <c r="AR181" s="392">
        <v>187963</v>
      </c>
      <c r="AS181" s="392">
        <v>596955</v>
      </c>
      <c r="AT181" s="392">
        <v>354412</v>
      </c>
      <c r="AU181" s="392">
        <v>307589</v>
      </c>
      <c r="AV181" s="392">
        <v>327278</v>
      </c>
      <c r="AW181" s="392">
        <v>477103</v>
      </c>
      <c r="AX181" s="392">
        <v>211729</v>
      </c>
      <c r="AY181" s="786">
        <v>311402</v>
      </c>
      <c r="AZ181" s="392">
        <v>4556001</v>
      </c>
      <c r="BA181" s="639">
        <f>SUM(SNAMEB[[#This Row],[Instruction Expenditures]:[Transfers Out/OtherFinancing]])+SUM(SNAMEB[[#This Row],[General Fund Balance]:[Other Enterprise FundBalance]])</f>
        <v>12550401</v>
      </c>
      <c r="BB181" s="639">
        <f>SUM(SNAMEB[[#This Row],[Property Tax Revenue]:[IDEA/Other Fed Revenue]])+SNAMEB[General Long-term DebtProceeds]+SNAMEB[TransfersIn/Other Financing]+SNAMEB[Fixed Asset Disposition]+SNAMEB[Beginning Fund Balance]</f>
        <v>12550401</v>
      </c>
    </row>
    <row r="182" spans="1:54" x14ac:dyDescent="0.2">
      <c r="A182" s="390">
        <v>7</v>
      </c>
      <c r="B182" s="391" t="s">
        <v>260</v>
      </c>
      <c r="C182" s="631">
        <v>4131</v>
      </c>
      <c r="D182" t="s">
        <v>1177</v>
      </c>
      <c r="E182" s="392">
        <v>5895380</v>
      </c>
      <c r="F182" s="392">
        <v>245799</v>
      </c>
      <c r="G182" s="392">
        <v>2409416</v>
      </c>
      <c r="H182" s="392">
        <v>0</v>
      </c>
      <c r="I182" s="392">
        <v>0</v>
      </c>
      <c r="J182" s="392">
        <v>0</v>
      </c>
      <c r="K182" s="392">
        <v>3341674</v>
      </c>
      <c r="L182" s="392">
        <v>2161709</v>
      </c>
      <c r="M182" s="392">
        <v>0</v>
      </c>
      <c r="N182" s="392">
        <v>6596010</v>
      </c>
      <c r="O182" s="392">
        <v>966864</v>
      </c>
      <c r="P182" s="392">
        <v>0</v>
      </c>
      <c r="Q182" s="392">
        <v>21616852</v>
      </c>
      <c r="R182" s="392">
        <v>16064983</v>
      </c>
      <c r="S182" s="392">
        <v>380020</v>
      </c>
      <c r="T182" s="392">
        <v>1839747</v>
      </c>
      <c r="U182" s="392">
        <v>2638106</v>
      </c>
      <c r="V182" s="392">
        <v>65107</v>
      </c>
      <c r="W182" s="392">
        <v>819853</v>
      </c>
      <c r="X182" s="392">
        <v>791232</v>
      </c>
      <c r="Y182" s="392">
        <v>582314</v>
      </c>
      <c r="Z182" s="392">
        <v>0</v>
      </c>
      <c r="AA182" s="392">
        <v>22457737</v>
      </c>
      <c r="AB182" s="392">
        <v>0</v>
      </c>
      <c r="AC182" s="392">
        <v>4050501</v>
      </c>
      <c r="AD182" s="392">
        <v>351118</v>
      </c>
      <c r="AE182" s="392">
        <v>817266</v>
      </c>
      <c r="AF182" s="392">
        <v>2080837</v>
      </c>
      <c r="AG182" s="392">
        <v>52938821</v>
      </c>
      <c r="AH182" s="392">
        <v>0</v>
      </c>
      <c r="AI182" s="392">
        <v>2225000</v>
      </c>
      <c r="AJ182" s="392">
        <v>5548</v>
      </c>
      <c r="AK182" s="392">
        <v>55169368</v>
      </c>
      <c r="AL182" s="392">
        <v>22716865</v>
      </c>
      <c r="AM182" s="392">
        <v>32380635</v>
      </c>
      <c r="AN182" s="392">
        <v>1113691</v>
      </c>
      <c r="AO182" s="392">
        <v>706891</v>
      </c>
      <c r="AP182" s="392">
        <v>961236</v>
      </c>
      <c r="AQ182" s="392">
        <v>2487019</v>
      </c>
      <c r="AR182" s="392">
        <v>1190337</v>
      </c>
      <c r="AS182" s="392">
        <v>3675544</v>
      </c>
      <c r="AT182" s="392">
        <v>1773100</v>
      </c>
      <c r="AU182" s="392">
        <v>2067767</v>
      </c>
      <c r="AV182" s="392">
        <v>4520993</v>
      </c>
      <c r="AW182" s="392">
        <v>1483230</v>
      </c>
      <c r="AX182" s="392">
        <v>1683939</v>
      </c>
      <c r="AY182" s="786">
        <v>2225000</v>
      </c>
      <c r="AZ182" s="392">
        <v>21616852</v>
      </c>
      <c r="BA182" s="639">
        <f>SUM(SNAMEB[[#This Row],[Instruction Expenditures]:[Transfers Out/OtherFinancing]])+SUM(SNAMEB[[#This Row],[General Fund Balance]:[Other Enterprise FundBalance]])</f>
        <v>77886234</v>
      </c>
      <c r="BB182" s="639">
        <f>SUM(SNAMEB[[#This Row],[Property Tax Revenue]:[IDEA/Other Fed Revenue]])+SNAMEB[General Long-term DebtProceeds]+SNAMEB[TransfersIn/Other Financing]+SNAMEB[Fixed Asset Disposition]+SNAMEB[Beginning Fund Balance]</f>
        <v>77886234</v>
      </c>
    </row>
    <row r="183" spans="1:54" x14ac:dyDescent="0.2">
      <c r="A183" s="390">
        <v>15</v>
      </c>
      <c r="B183" s="391" t="s">
        <v>262</v>
      </c>
      <c r="C183" s="631">
        <v>4203</v>
      </c>
      <c r="D183" t="s">
        <v>1178</v>
      </c>
      <c r="E183" s="392">
        <v>1337693</v>
      </c>
      <c r="F183" s="392">
        <v>208517</v>
      </c>
      <c r="G183" s="392">
        <v>525040</v>
      </c>
      <c r="H183" s="392">
        <v>0</v>
      </c>
      <c r="I183" s="392">
        <v>0</v>
      </c>
      <c r="J183" s="392">
        <v>0</v>
      </c>
      <c r="K183" s="392">
        <v>1704714</v>
      </c>
      <c r="L183" s="392">
        <v>519011</v>
      </c>
      <c r="M183" s="392">
        <v>0</v>
      </c>
      <c r="N183" s="392">
        <v>2999</v>
      </c>
      <c r="O183" s="392">
        <v>50409</v>
      </c>
      <c r="P183" s="392">
        <v>436229</v>
      </c>
      <c r="Q183" s="392">
        <v>4784612</v>
      </c>
      <c r="R183" s="392">
        <v>3036709</v>
      </c>
      <c r="S183" s="392">
        <v>54526</v>
      </c>
      <c r="T183" s="392">
        <v>336803</v>
      </c>
      <c r="U183" s="392">
        <v>966784</v>
      </c>
      <c r="V183" s="392">
        <v>29593</v>
      </c>
      <c r="W183" s="392">
        <v>173621</v>
      </c>
      <c r="X183" s="392">
        <v>258549</v>
      </c>
      <c r="Y183" s="392">
        <v>429420</v>
      </c>
      <c r="Z183" s="392">
        <v>0</v>
      </c>
      <c r="AA183" s="392">
        <v>3948246</v>
      </c>
      <c r="AB183" s="392">
        <v>0</v>
      </c>
      <c r="AC183" s="392">
        <v>757371</v>
      </c>
      <c r="AD183" s="392">
        <v>31010</v>
      </c>
      <c r="AE183" s="392">
        <v>72309</v>
      </c>
      <c r="AF183" s="392">
        <v>221502</v>
      </c>
      <c r="AG183" s="392">
        <v>10316443</v>
      </c>
      <c r="AH183" s="392">
        <v>0</v>
      </c>
      <c r="AI183" s="392">
        <v>919626</v>
      </c>
      <c r="AJ183" s="392">
        <v>12690</v>
      </c>
      <c r="AK183" s="392">
        <v>11248759</v>
      </c>
      <c r="AL183" s="392">
        <v>4972420</v>
      </c>
      <c r="AM183" s="392">
        <v>6003408</v>
      </c>
      <c r="AN183" s="392">
        <v>235084</v>
      </c>
      <c r="AO183" s="392">
        <v>373187</v>
      </c>
      <c r="AP183" s="392">
        <v>275320</v>
      </c>
      <c r="AQ183" s="392">
        <v>347604</v>
      </c>
      <c r="AR183" s="392">
        <v>228309</v>
      </c>
      <c r="AS183" s="392">
        <v>665355</v>
      </c>
      <c r="AT183" s="392">
        <v>544477</v>
      </c>
      <c r="AU183" s="392">
        <v>303570</v>
      </c>
      <c r="AV183" s="392">
        <v>887300</v>
      </c>
      <c r="AW183" s="392">
        <v>624677</v>
      </c>
      <c r="AX183" s="392">
        <v>323827</v>
      </c>
      <c r="AY183" s="786">
        <v>624450</v>
      </c>
      <c r="AZ183" s="392">
        <v>4784612</v>
      </c>
      <c r="BA183" s="639">
        <f>SUM(SNAMEB[[#This Row],[Instruction Expenditures]:[Transfers Out/OtherFinancing]])+SUM(SNAMEB[[#This Row],[General Fund Balance]:[Other Enterprise FundBalance]])</f>
        <v>16221180</v>
      </c>
      <c r="BB183" s="639">
        <f>SUM(SNAMEB[[#This Row],[Property Tax Revenue]:[IDEA/Other Fed Revenue]])+SNAMEB[General Long-term DebtProceeds]+SNAMEB[TransfersIn/Other Financing]+SNAMEB[Fixed Asset Disposition]+SNAMEB[Beginning Fund Balance]</f>
        <v>16221179</v>
      </c>
    </row>
    <row r="184" spans="1:54" x14ac:dyDescent="0.2">
      <c r="A184" s="390">
        <v>11</v>
      </c>
      <c r="B184" s="391" t="s">
        <v>263</v>
      </c>
      <c r="C184" s="631">
        <v>4212</v>
      </c>
      <c r="D184" t="s">
        <v>1179</v>
      </c>
      <c r="E184" s="392">
        <v>404305</v>
      </c>
      <c r="F184" s="392">
        <v>48454</v>
      </c>
      <c r="G184" s="392">
        <v>130457</v>
      </c>
      <c r="H184" s="392">
        <v>0</v>
      </c>
      <c r="I184" s="392">
        <v>0</v>
      </c>
      <c r="J184" s="392">
        <v>0</v>
      </c>
      <c r="K184" s="392">
        <v>329929</v>
      </c>
      <c r="L184" s="392">
        <v>71357</v>
      </c>
      <c r="M184" s="392">
        <v>0</v>
      </c>
      <c r="N184" s="392">
        <v>32130</v>
      </c>
      <c r="O184" s="392">
        <v>6260</v>
      </c>
      <c r="P184" s="392">
        <v>0</v>
      </c>
      <c r="Q184" s="392">
        <v>1022892</v>
      </c>
      <c r="R184" s="392">
        <v>1218722</v>
      </c>
      <c r="S184" s="392">
        <v>79601</v>
      </c>
      <c r="T184" s="392">
        <v>11021</v>
      </c>
      <c r="U184" s="392">
        <v>257200</v>
      </c>
      <c r="V184" s="392">
        <v>592</v>
      </c>
      <c r="W184" s="392">
        <v>64304</v>
      </c>
      <c r="X184" s="392">
        <v>89483</v>
      </c>
      <c r="Y184" s="392">
        <v>258653</v>
      </c>
      <c r="Z184" s="392">
        <v>20</v>
      </c>
      <c r="AA184" s="392">
        <v>2361954</v>
      </c>
      <c r="AB184" s="392">
        <v>0</v>
      </c>
      <c r="AC184" s="392">
        <v>354159</v>
      </c>
      <c r="AD184" s="392">
        <v>5267</v>
      </c>
      <c r="AE184" s="392">
        <v>55595</v>
      </c>
      <c r="AF184" s="392">
        <v>212781</v>
      </c>
      <c r="AG184" s="392">
        <v>4969353</v>
      </c>
      <c r="AH184" s="392">
        <v>0</v>
      </c>
      <c r="AI184" s="392">
        <v>108611</v>
      </c>
      <c r="AJ184" s="392">
        <v>0</v>
      </c>
      <c r="AK184" s="392">
        <v>5077964</v>
      </c>
      <c r="AL184" s="392">
        <v>774498</v>
      </c>
      <c r="AM184" s="392">
        <v>2937113</v>
      </c>
      <c r="AN184" s="392">
        <v>52049</v>
      </c>
      <c r="AO184" s="392">
        <v>49420</v>
      </c>
      <c r="AP184" s="392">
        <v>145082</v>
      </c>
      <c r="AQ184" s="392">
        <v>224979</v>
      </c>
      <c r="AR184" s="392">
        <v>197849</v>
      </c>
      <c r="AS184" s="392">
        <v>291752</v>
      </c>
      <c r="AT184" s="392">
        <v>215348</v>
      </c>
      <c r="AU184" s="392">
        <v>194957</v>
      </c>
      <c r="AV184" s="392">
        <v>123780</v>
      </c>
      <c r="AW184" s="392">
        <v>154982</v>
      </c>
      <c r="AX184" s="392">
        <v>134716</v>
      </c>
      <c r="AY184" s="786">
        <v>107543</v>
      </c>
      <c r="AZ184" s="392">
        <v>1022892</v>
      </c>
      <c r="BA184" s="639">
        <f>SUM(SNAMEB[[#This Row],[Instruction Expenditures]:[Transfers Out/OtherFinancing]])+SUM(SNAMEB[[#This Row],[General Fund Balance]:[Other Enterprise FundBalance]])</f>
        <v>5852462</v>
      </c>
      <c r="BB184" s="639">
        <f>SUM(SNAMEB[[#This Row],[Property Tax Revenue]:[IDEA/Other Fed Revenue]])+SNAMEB[General Long-term DebtProceeds]+SNAMEB[TransfersIn/Other Financing]+SNAMEB[Fixed Asset Disposition]+SNAMEB[Beginning Fund Balance]</f>
        <v>5852461</v>
      </c>
    </row>
    <row r="185" spans="1:54" x14ac:dyDescent="0.2">
      <c r="A185" s="390">
        <v>1</v>
      </c>
      <c r="B185" s="391" t="s">
        <v>267</v>
      </c>
      <c r="C185" s="631">
        <v>4419</v>
      </c>
      <c r="D185" t="s">
        <v>643</v>
      </c>
      <c r="E185" s="392">
        <v>757836</v>
      </c>
      <c r="F185" s="392">
        <v>152639</v>
      </c>
      <c r="G185" s="392">
        <v>646984</v>
      </c>
      <c r="H185" s="392">
        <v>0</v>
      </c>
      <c r="I185" s="392">
        <v>0</v>
      </c>
      <c r="J185" s="392">
        <v>0</v>
      </c>
      <c r="K185" s="392">
        <v>1761030</v>
      </c>
      <c r="L185" s="392">
        <v>448689</v>
      </c>
      <c r="M185" s="392">
        <v>0</v>
      </c>
      <c r="N185" s="392">
        <v>181496</v>
      </c>
      <c r="O185" s="392">
        <v>-171855</v>
      </c>
      <c r="P185" s="392">
        <v>81112</v>
      </c>
      <c r="Q185" s="392">
        <v>3857929</v>
      </c>
      <c r="R185" s="392">
        <v>3477208</v>
      </c>
      <c r="S185" s="392">
        <v>70798</v>
      </c>
      <c r="T185" s="392">
        <v>297465</v>
      </c>
      <c r="U185" s="392">
        <v>239879</v>
      </c>
      <c r="V185" s="392">
        <v>8224</v>
      </c>
      <c r="W185" s="392">
        <v>211959</v>
      </c>
      <c r="X185" s="392">
        <v>365097</v>
      </c>
      <c r="Y185" s="392">
        <v>123963</v>
      </c>
      <c r="Z185" s="392">
        <v>0</v>
      </c>
      <c r="AA185" s="392">
        <v>4578451</v>
      </c>
      <c r="AB185" s="392">
        <v>0</v>
      </c>
      <c r="AC185" s="392">
        <v>1037094</v>
      </c>
      <c r="AD185" s="392">
        <v>63725</v>
      </c>
      <c r="AE185" s="392">
        <v>133717</v>
      </c>
      <c r="AF185" s="392">
        <v>445169</v>
      </c>
      <c r="AG185" s="392">
        <v>11052749</v>
      </c>
      <c r="AH185" s="392">
        <v>0</v>
      </c>
      <c r="AI185" s="392">
        <v>213683</v>
      </c>
      <c r="AJ185" s="392">
        <v>0</v>
      </c>
      <c r="AK185" s="392">
        <v>11266432</v>
      </c>
      <c r="AL185" s="392">
        <v>3829600</v>
      </c>
      <c r="AM185" s="392">
        <v>6407534</v>
      </c>
      <c r="AN185" s="392">
        <v>176161</v>
      </c>
      <c r="AO185" s="392">
        <v>96697</v>
      </c>
      <c r="AP185" s="392">
        <v>332689</v>
      </c>
      <c r="AQ185" s="392">
        <v>535023</v>
      </c>
      <c r="AR185" s="392">
        <v>248150</v>
      </c>
      <c r="AS185" s="392">
        <v>796434</v>
      </c>
      <c r="AT185" s="392">
        <v>544737</v>
      </c>
      <c r="AU185" s="392">
        <v>466026</v>
      </c>
      <c r="AV185" s="392">
        <v>791738</v>
      </c>
      <c r="AW185" s="392">
        <v>212490</v>
      </c>
      <c r="AX185" s="392">
        <v>331715</v>
      </c>
      <c r="AY185" s="786">
        <v>298710</v>
      </c>
      <c r="AZ185" s="392">
        <v>3857929</v>
      </c>
      <c r="BA185" s="639">
        <f>SUM(SNAMEB[[#This Row],[Instruction Expenditures]:[Transfers Out/OtherFinancing]])+SUM(SNAMEB[[#This Row],[General Fund Balance]:[Other Enterprise FundBalance]])</f>
        <v>15096035</v>
      </c>
      <c r="BB185" s="639">
        <f>SUM(SNAMEB[[#This Row],[Property Tax Revenue]:[IDEA/Other Fed Revenue]])+SNAMEB[General Long-term DebtProceeds]+SNAMEB[TransfersIn/Other Financing]+SNAMEB[Fixed Asset Disposition]+SNAMEB[Beginning Fund Balance]</f>
        <v>15096032</v>
      </c>
    </row>
    <row r="186" spans="1:54" x14ac:dyDescent="0.2">
      <c r="A186" s="390">
        <v>10</v>
      </c>
      <c r="B186" s="391" t="s">
        <v>264</v>
      </c>
      <c r="C186" s="631">
        <v>4269</v>
      </c>
      <c r="D186" t="s">
        <v>642</v>
      </c>
      <c r="E186" s="392">
        <v>1657382</v>
      </c>
      <c r="F186" s="392">
        <v>77985</v>
      </c>
      <c r="G186" s="392">
        <v>351314</v>
      </c>
      <c r="H186" s="392">
        <v>0</v>
      </c>
      <c r="I186" s="392">
        <v>0</v>
      </c>
      <c r="J186" s="392">
        <v>0</v>
      </c>
      <c r="K186" s="392">
        <v>330169</v>
      </c>
      <c r="L186" s="392">
        <v>51140</v>
      </c>
      <c r="M186" s="392">
        <v>9926258</v>
      </c>
      <c r="N186" s="392">
        <v>1215218</v>
      </c>
      <c r="O186" s="392">
        <v>-49979</v>
      </c>
      <c r="P186" s="392">
        <v>-104339</v>
      </c>
      <c r="Q186" s="392">
        <v>13455150</v>
      </c>
      <c r="R186" s="392">
        <v>3528713</v>
      </c>
      <c r="S186" s="392">
        <v>45153</v>
      </c>
      <c r="T186" s="392">
        <v>261495</v>
      </c>
      <c r="U186" s="392">
        <v>223104</v>
      </c>
      <c r="V186" s="392">
        <v>77223</v>
      </c>
      <c r="W186" s="392">
        <v>95943</v>
      </c>
      <c r="X186" s="392">
        <v>117564</v>
      </c>
      <c r="Y186" s="392">
        <v>97935</v>
      </c>
      <c r="Z186" s="392">
        <v>0</v>
      </c>
      <c r="AA186" s="392">
        <v>2863660</v>
      </c>
      <c r="AB186" s="392">
        <v>0</v>
      </c>
      <c r="AC186" s="392">
        <v>504081</v>
      </c>
      <c r="AD186" s="392">
        <v>654</v>
      </c>
      <c r="AE186" s="392">
        <v>81936</v>
      </c>
      <c r="AF186" s="392">
        <v>366958</v>
      </c>
      <c r="AG186" s="392">
        <v>8264419</v>
      </c>
      <c r="AH186" s="392">
        <v>13143687</v>
      </c>
      <c r="AI186" s="392">
        <v>402393</v>
      </c>
      <c r="AJ186" s="392">
        <v>753</v>
      </c>
      <c r="AK186" s="392">
        <v>21811252</v>
      </c>
      <c r="AL186" s="392">
        <v>2994059</v>
      </c>
      <c r="AM186" s="392">
        <v>4094479</v>
      </c>
      <c r="AN186" s="392">
        <v>178817</v>
      </c>
      <c r="AO186" s="392">
        <v>161722</v>
      </c>
      <c r="AP186" s="392">
        <v>258282</v>
      </c>
      <c r="AQ186" s="392">
        <v>342975</v>
      </c>
      <c r="AR186" s="392">
        <v>161796</v>
      </c>
      <c r="AS186" s="392">
        <v>386295</v>
      </c>
      <c r="AT186" s="392">
        <v>549010</v>
      </c>
      <c r="AU186" s="392">
        <v>276619</v>
      </c>
      <c r="AV186" s="392">
        <v>2973909</v>
      </c>
      <c r="AW186" s="392">
        <v>1340166</v>
      </c>
      <c r="AX186" s="392">
        <v>223599</v>
      </c>
      <c r="AY186" s="786">
        <v>402493</v>
      </c>
      <c r="AZ186" s="392">
        <v>13455150</v>
      </c>
      <c r="BA186" s="639">
        <f>SUM(SNAMEB[[#This Row],[Instruction Expenditures]:[Transfers Out/OtherFinancing]])+SUM(SNAMEB[[#This Row],[General Fund Balance]:[Other Enterprise FundBalance]])</f>
        <v>24805310</v>
      </c>
      <c r="BB186" s="639">
        <f>SUM(SNAMEB[[#This Row],[Property Tax Revenue]:[IDEA/Other Fed Revenue]])+SNAMEB[General Long-term DebtProceeds]+SNAMEB[TransfersIn/Other Financing]+SNAMEB[Fixed Asset Disposition]+SNAMEB[Beginning Fund Balance]</f>
        <v>24805311</v>
      </c>
    </row>
    <row r="187" spans="1:54" x14ac:dyDescent="0.2">
      <c r="A187" s="390">
        <v>10</v>
      </c>
      <c r="B187" s="391" t="s">
        <v>265</v>
      </c>
      <c r="C187" s="631">
        <v>4271</v>
      </c>
      <c r="D187" t="s">
        <v>1180</v>
      </c>
      <c r="E187" s="392">
        <v>2505844</v>
      </c>
      <c r="F187" s="392">
        <v>179005</v>
      </c>
      <c r="G187" s="392">
        <v>152617</v>
      </c>
      <c r="H187" s="392">
        <v>0</v>
      </c>
      <c r="I187" s="392">
        <v>0</v>
      </c>
      <c r="J187" s="392">
        <v>0</v>
      </c>
      <c r="K187" s="392">
        <v>2241101</v>
      </c>
      <c r="L187" s="392">
        <v>342596</v>
      </c>
      <c r="M187" s="392">
        <v>2812930</v>
      </c>
      <c r="N187" s="392">
        <v>25524</v>
      </c>
      <c r="O187" s="392">
        <v>-133477</v>
      </c>
      <c r="P187" s="392">
        <v>0</v>
      </c>
      <c r="Q187" s="392">
        <v>8126140</v>
      </c>
      <c r="R187" s="392">
        <v>5299229</v>
      </c>
      <c r="S187" s="392">
        <v>37186</v>
      </c>
      <c r="T187" s="392">
        <v>1018860</v>
      </c>
      <c r="U187" s="392">
        <v>1613684</v>
      </c>
      <c r="V187" s="392">
        <v>22586</v>
      </c>
      <c r="W187" s="392">
        <v>381893</v>
      </c>
      <c r="X187" s="392">
        <v>322609</v>
      </c>
      <c r="Y187" s="392">
        <v>764434</v>
      </c>
      <c r="Z187" s="392">
        <v>0</v>
      </c>
      <c r="AA187" s="392">
        <v>7099890</v>
      </c>
      <c r="AB187" s="392">
        <v>0</v>
      </c>
      <c r="AC187" s="392">
        <v>1239692</v>
      </c>
      <c r="AD187" s="392">
        <v>146280</v>
      </c>
      <c r="AE187" s="392">
        <v>311102</v>
      </c>
      <c r="AF187" s="392">
        <v>651986</v>
      </c>
      <c r="AG187" s="392">
        <v>18909431</v>
      </c>
      <c r="AH187" s="392">
        <v>0</v>
      </c>
      <c r="AI187" s="392">
        <v>571932</v>
      </c>
      <c r="AJ187" s="392">
        <v>0</v>
      </c>
      <c r="AK187" s="392">
        <v>19481363</v>
      </c>
      <c r="AL187" s="392">
        <v>13512423</v>
      </c>
      <c r="AM187" s="392">
        <v>10296723</v>
      </c>
      <c r="AN187" s="392">
        <v>338292</v>
      </c>
      <c r="AO187" s="392">
        <v>598206</v>
      </c>
      <c r="AP187" s="392">
        <v>360232</v>
      </c>
      <c r="AQ187" s="392">
        <v>1133598</v>
      </c>
      <c r="AR187" s="392">
        <v>254418</v>
      </c>
      <c r="AS187" s="392">
        <v>1253464</v>
      </c>
      <c r="AT187" s="392">
        <v>927968</v>
      </c>
      <c r="AU187" s="392">
        <v>670802</v>
      </c>
      <c r="AV187" s="392">
        <v>6178862</v>
      </c>
      <c r="AW187" s="392">
        <v>1424993</v>
      </c>
      <c r="AX187" s="392">
        <v>512392</v>
      </c>
      <c r="AY187" s="786">
        <v>917694</v>
      </c>
      <c r="AZ187" s="392">
        <v>8126140</v>
      </c>
      <c r="BA187" s="639">
        <f>SUM(SNAMEB[[#This Row],[Instruction Expenditures]:[Transfers Out/OtherFinancing]])+SUM(SNAMEB[[#This Row],[General Fund Balance]:[Other Enterprise FundBalance]])</f>
        <v>32993784</v>
      </c>
      <c r="BB187" s="639">
        <f>SUM(SNAMEB[[#This Row],[Property Tax Revenue]:[IDEA/Other Fed Revenue]])+SNAMEB[General Long-term DebtProceeds]+SNAMEB[TransfersIn/Other Financing]+SNAMEB[Fixed Asset Disposition]+SNAMEB[Beginning Fund Balance]</f>
        <v>32993786</v>
      </c>
    </row>
    <row r="188" spans="1:54" x14ac:dyDescent="0.2">
      <c r="A188" s="390">
        <v>13</v>
      </c>
      <c r="B188" s="391" t="s">
        <v>266</v>
      </c>
      <c r="C188" s="631">
        <v>4356</v>
      </c>
      <c r="D188" t="s">
        <v>1181</v>
      </c>
      <c r="E188" s="392">
        <v>2430104</v>
      </c>
      <c r="F188" s="392">
        <v>87700</v>
      </c>
      <c r="G188" s="392">
        <v>1091186</v>
      </c>
      <c r="H188" s="392">
        <v>0</v>
      </c>
      <c r="I188" s="392">
        <v>0</v>
      </c>
      <c r="J188" s="392">
        <v>0</v>
      </c>
      <c r="K188" s="392">
        <v>2220317</v>
      </c>
      <c r="L188" s="392">
        <v>2066933</v>
      </c>
      <c r="M188" s="392">
        <v>0</v>
      </c>
      <c r="N188" s="392">
        <v>450724</v>
      </c>
      <c r="O188" s="392">
        <v>81913</v>
      </c>
      <c r="P188" s="392">
        <v>339</v>
      </c>
      <c r="Q188" s="392">
        <v>8429215</v>
      </c>
      <c r="R188" s="392">
        <v>3341610</v>
      </c>
      <c r="S188" s="392">
        <v>148947</v>
      </c>
      <c r="T188" s="392">
        <v>225130</v>
      </c>
      <c r="U188" s="392">
        <v>209845</v>
      </c>
      <c r="V188" s="392">
        <v>8592</v>
      </c>
      <c r="W188" s="392">
        <v>164381</v>
      </c>
      <c r="X188" s="392">
        <v>218594</v>
      </c>
      <c r="Y188" s="392">
        <v>186955</v>
      </c>
      <c r="Z188" s="392">
        <v>0</v>
      </c>
      <c r="AA188" s="392">
        <v>4915010</v>
      </c>
      <c r="AB188" s="392">
        <v>0</v>
      </c>
      <c r="AC188" s="392">
        <v>840588</v>
      </c>
      <c r="AD188" s="392">
        <v>42468</v>
      </c>
      <c r="AE188" s="392">
        <v>129671</v>
      </c>
      <c r="AF188" s="392">
        <v>388256</v>
      </c>
      <c r="AG188" s="392">
        <v>10820048</v>
      </c>
      <c r="AH188" s="392">
        <v>3085000</v>
      </c>
      <c r="AI188" s="392">
        <v>503575</v>
      </c>
      <c r="AJ188" s="392">
        <v>1777</v>
      </c>
      <c r="AK188" s="392">
        <v>14410400</v>
      </c>
      <c r="AL188" s="392">
        <v>10504049</v>
      </c>
      <c r="AM188" s="392">
        <v>6378821</v>
      </c>
      <c r="AN188" s="392">
        <v>330600</v>
      </c>
      <c r="AO188" s="392">
        <v>248833</v>
      </c>
      <c r="AP188" s="392">
        <v>275104</v>
      </c>
      <c r="AQ188" s="392">
        <v>544803</v>
      </c>
      <c r="AR188" s="392">
        <v>153306</v>
      </c>
      <c r="AS188" s="392">
        <v>755033</v>
      </c>
      <c r="AT188" s="392">
        <v>344759</v>
      </c>
      <c r="AU188" s="392">
        <v>360247</v>
      </c>
      <c r="AV188" s="392">
        <v>5892150</v>
      </c>
      <c r="AW188" s="392">
        <v>359275</v>
      </c>
      <c r="AX188" s="392">
        <v>349844</v>
      </c>
      <c r="AY188" s="786">
        <v>492460</v>
      </c>
      <c r="AZ188" s="392">
        <v>8429215</v>
      </c>
      <c r="BA188" s="639">
        <f>SUM(SNAMEB[[#This Row],[Instruction Expenditures]:[Transfers Out/OtherFinancing]])+SUM(SNAMEB[[#This Row],[General Fund Balance]:[Other Enterprise FundBalance]])</f>
        <v>24914451</v>
      </c>
      <c r="BB188" s="639">
        <f>SUM(SNAMEB[[#This Row],[Property Tax Revenue]:[IDEA/Other Fed Revenue]])+SNAMEB[General Long-term DebtProceeds]+SNAMEB[TransfersIn/Other Financing]+SNAMEB[Fixed Asset Disposition]+SNAMEB[Beginning Fund Balance]</f>
        <v>24914448</v>
      </c>
    </row>
    <row r="189" spans="1:54" x14ac:dyDescent="0.2">
      <c r="A189" s="390">
        <v>12</v>
      </c>
      <c r="B189" s="391" t="s">
        <v>261</v>
      </c>
      <c r="C189" s="631">
        <v>4149</v>
      </c>
      <c r="D189" t="s">
        <v>641</v>
      </c>
      <c r="E189" s="392">
        <v>3513311</v>
      </c>
      <c r="F189" s="392">
        <v>158749</v>
      </c>
      <c r="G189" s="392">
        <v>316980</v>
      </c>
      <c r="H189" s="392">
        <v>0</v>
      </c>
      <c r="I189" s="392">
        <v>0</v>
      </c>
      <c r="J189" s="392">
        <v>0</v>
      </c>
      <c r="K189" s="392">
        <v>2146104</v>
      </c>
      <c r="L189" s="392">
        <v>501188</v>
      </c>
      <c r="M189" s="392">
        <v>0</v>
      </c>
      <c r="N189" s="392">
        <v>59262</v>
      </c>
      <c r="O189" s="392">
        <v>297285</v>
      </c>
      <c r="P189" s="392">
        <v>0</v>
      </c>
      <c r="Q189" s="392">
        <v>6992880</v>
      </c>
      <c r="R189" s="392">
        <v>5063493</v>
      </c>
      <c r="S189" s="392">
        <v>55922</v>
      </c>
      <c r="T189" s="392">
        <v>611824</v>
      </c>
      <c r="U189" s="392">
        <v>462780</v>
      </c>
      <c r="V189" s="392">
        <v>66331</v>
      </c>
      <c r="W189" s="392">
        <v>513470</v>
      </c>
      <c r="X189" s="392">
        <v>378452</v>
      </c>
      <c r="Y189" s="392">
        <v>718182</v>
      </c>
      <c r="Z189" s="392">
        <v>0</v>
      </c>
      <c r="AA189" s="392">
        <v>7680145</v>
      </c>
      <c r="AB189" s="392">
        <v>0</v>
      </c>
      <c r="AC189" s="392">
        <v>1972169</v>
      </c>
      <c r="AD189" s="392">
        <v>89892</v>
      </c>
      <c r="AE189" s="392">
        <v>149012</v>
      </c>
      <c r="AF189" s="392">
        <v>698942</v>
      </c>
      <c r="AG189" s="392">
        <v>18460614</v>
      </c>
      <c r="AH189" s="392">
        <v>0</v>
      </c>
      <c r="AI189" s="392">
        <v>698256</v>
      </c>
      <c r="AJ189" s="392">
        <v>1977</v>
      </c>
      <c r="AK189" s="392">
        <v>19160848</v>
      </c>
      <c r="AL189" s="392">
        <v>8947334</v>
      </c>
      <c r="AM189" s="392">
        <v>10406525</v>
      </c>
      <c r="AN189" s="392">
        <v>349841</v>
      </c>
      <c r="AO189" s="392">
        <v>1040898</v>
      </c>
      <c r="AP189" s="392">
        <v>338423</v>
      </c>
      <c r="AQ189" s="392">
        <v>805864</v>
      </c>
      <c r="AR189" s="392">
        <v>134325</v>
      </c>
      <c r="AS189" s="392">
        <v>1244820</v>
      </c>
      <c r="AT189" s="392">
        <v>556747</v>
      </c>
      <c r="AU189" s="392">
        <v>773783</v>
      </c>
      <c r="AV189" s="392">
        <v>3452276</v>
      </c>
      <c r="AW189" s="392">
        <v>674130</v>
      </c>
      <c r="AX189" s="392">
        <v>640613</v>
      </c>
      <c r="AY189" s="786">
        <v>697056</v>
      </c>
      <c r="AZ189" s="392">
        <v>6992880</v>
      </c>
      <c r="BA189" s="639">
        <f>SUM(SNAMEB[[#This Row],[Instruction Expenditures]:[Transfers Out/OtherFinancing]])+SUM(SNAMEB[[#This Row],[General Fund Balance]:[Other Enterprise FundBalance]])</f>
        <v>28108180</v>
      </c>
      <c r="BB189" s="639">
        <f>SUM(SNAMEB[[#This Row],[Property Tax Revenue]:[IDEA/Other Fed Revenue]])+SNAMEB[General Long-term DebtProceeds]+SNAMEB[TransfersIn/Other Financing]+SNAMEB[Fixed Asset Disposition]+SNAMEB[Beginning Fund Balance]</f>
        <v>28108181</v>
      </c>
    </row>
    <row r="190" spans="1:54" x14ac:dyDescent="0.2">
      <c r="A190" s="390">
        <v>7</v>
      </c>
      <c r="B190" s="391" t="s">
        <v>268</v>
      </c>
      <c r="C190" s="631">
        <v>4437</v>
      </c>
      <c r="D190" t="s">
        <v>1182</v>
      </c>
      <c r="E190" s="392">
        <v>418220</v>
      </c>
      <c r="F190" s="392">
        <v>152201</v>
      </c>
      <c r="G190" s="392">
        <v>173130</v>
      </c>
      <c r="H190" s="392">
        <v>0</v>
      </c>
      <c r="I190" s="392">
        <v>47193</v>
      </c>
      <c r="J190" s="392">
        <v>0</v>
      </c>
      <c r="K190" s="392">
        <v>823713</v>
      </c>
      <c r="L190" s="392">
        <v>370465</v>
      </c>
      <c r="M190" s="392">
        <v>0</v>
      </c>
      <c r="N190" s="392">
        <v>196683</v>
      </c>
      <c r="O190" s="392">
        <v>-28038</v>
      </c>
      <c r="P190" s="392">
        <v>0</v>
      </c>
      <c r="Q190" s="392">
        <v>2153568</v>
      </c>
      <c r="R190" s="392">
        <v>3272922</v>
      </c>
      <c r="S190" s="392">
        <v>92257</v>
      </c>
      <c r="T190" s="392">
        <v>241684</v>
      </c>
      <c r="U190" s="392">
        <v>164615</v>
      </c>
      <c r="V190" s="392">
        <v>4078</v>
      </c>
      <c r="W190" s="392">
        <v>170978</v>
      </c>
      <c r="X190" s="392">
        <v>218738</v>
      </c>
      <c r="Y190" s="392">
        <v>175814</v>
      </c>
      <c r="Z190" s="392">
        <v>0</v>
      </c>
      <c r="AA190" s="392">
        <v>2421346</v>
      </c>
      <c r="AB190" s="392">
        <v>0</v>
      </c>
      <c r="AC190" s="392">
        <v>531255</v>
      </c>
      <c r="AD190" s="392">
        <v>25235</v>
      </c>
      <c r="AE190" s="392">
        <v>68206</v>
      </c>
      <c r="AF190" s="392">
        <v>347670</v>
      </c>
      <c r="AG190" s="392">
        <v>7734799</v>
      </c>
      <c r="AH190" s="392">
        <v>1225000</v>
      </c>
      <c r="AI190" s="392">
        <v>918842</v>
      </c>
      <c r="AJ190" s="392">
        <v>600</v>
      </c>
      <c r="AK190" s="392">
        <v>9879241</v>
      </c>
      <c r="AL190" s="392">
        <v>5302793</v>
      </c>
      <c r="AM190" s="392">
        <v>4637556</v>
      </c>
      <c r="AN190" s="392">
        <v>53584</v>
      </c>
      <c r="AO190" s="392">
        <v>91331</v>
      </c>
      <c r="AP190" s="392">
        <v>211039</v>
      </c>
      <c r="AQ190" s="392">
        <v>328666</v>
      </c>
      <c r="AR190" s="392">
        <v>126749</v>
      </c>
      <c r="AS190" s="392">
        <v>506878</v>
      </c>
      <c r="AT190" s="392">
        <v>296650</v>
      </c>
      <c r="AU190" s="392">
        <v>288217</v>
      </c>
      <c r="AV190" s="392">
        <v>4298981</v>
      </c>
      <c r="AW190" s="392">
        <v>1028623</v>
      </c>
      <c r="AX190" s="392">
        <v>229320</v>
      </c>
      <c r="AY190" s="786">
        <v>930873</v>
      </c>
      <c r="AZ190" s="392">
        <v>2153568</v>
      </c>
      <c r="BA190" s="639">
        <f>SUM(SNAMEB[[#This Row],[Instruction Expenditures]:[Transfers Out/OtherFinancing]])+SUM(SNAMEB[[#This Row],[General Fund Balance]:[Other Enterprise FundBalance]])</f>
        <v>15182034</v>
      </c>
      <c r="BB190" s="639">
        <f>SUM(SNAMEB[[#This Row],[Property Tax Revenue]:[IDEA/Other Fed Revenue]])+SNAMEB[General Long-term DebtProceeds]+SNAMEB[TransfersIn/Other Financing]+SNAMEB[Fixed Asset Disposition]+SNAMEB[Beginning Fund Balance]</f>
        <v>15182033</v>
      </c>
    </row>
    <row r="191" spans="1:54" x14ac:dyDescent="0.2">
      <c r="A191" s="390">
        <v>10</v>
      </c>
      <c r="B191" s="391" t="s">
        <v>269</v>
      </c>
      <c r="C191" s="631">
        <v>4446</v>
      </c>
      <c r="D191" t="s">
        <v>1183</v>
      </c>
      <c r="E191" s="392">
        <v>2186514</v>
      </c>
      <c r="F191" s="392">
        <v>144278</v>
      </c>
      <c r="G191" s="392">
        <v>675161</v>
      </c>
      <c r="H191" s="392">
        <v>0</v>
      </c>
      <c r="I191" s="392">
        <v>0</v>
      </c>
      <c r="J191" s="392">
        <v>0</v>
      </c>
      <c r="K191" s="392">
        <v>2089231</v>
      </c>
      <c r="L191" s="392">
        <v>758472</v>
      </c>
      <c r="M191" s="392">
        <v>0</v>
      </c>
      <c r="N191" s="392">
        <v>87993</v>
      </c>
      <c r="O191" s="392">
        <v>-51626</v>
      </c>
      <c r="P191" s="392">
        <v>223007</v>
      </c>
      <c r="Q191" s="392">
        <v>6113031</v>
      </c>
      <c r="R191" s="392">
        <v>4629737</v>
      </c>
      <c r="S191" s="392">
        <v>109259</v>
      </c>
      <c r="T191" s="392">
        <v>289452</v>
      </c>
      <c r="U191" s="392">
        <v>871638</v>
      </c>
      <c r="V191" s="392">
        <v>95151</v>
      </c>
      <c r="W191" s="392">
        <v>304161</v>
      </c>
      <c r="X191" s="392">
        <v>371946</v>
      </c>
      <c r="Y191" s="392">
        <v>406067</v>
      </c>
      <c r="Z191" s="392">
        <v>2846</v>
      </c>
      <c r="AA191" s="392">
        <v>6197923</v>
      </c>
      <c r="AB191" s="392">
        <v>0</v>
      </c>
      <c r="AC191" s="392">
        <v>1379824</v>
      </c>
      <c r="AD191" s="392">
        <v>48405</v>
      </c>
      <c r="AE191" s="392">
        <v>153543</v>
      </c>
      <c r="AF191" s="392">
        <v>523990</v>
      </c>
      <c r="AG191" s="392">
        <v>15383941</v>
      </c>
      <c r="AH191" s="392">
        <v>0</v>
      </c>
      <c r="AI191" s="392">
        <v>682785</v>
      </c>
      <c r="AJ191" s="392">
        <v>166</v>
      </c>
      <c r="AK191" s="392">
        <v>16066893</v>
      </c>
      <c r="AL191" s="392">
        <v>5012982</v>
      </c>
      <c r="AM191" s="392">
        <v>8129779</v>
      </c>
      <c r="AN191" s="392">
        <v>512063</v>
      </c>
      <c r="AO191" s="392">
        <v>567882</v>
      </c>
      <c r="AP191" s="392">
        <v>353648</v>
      </c>
      <c r="AQ191" s="392">
        <v>682920</v>
      </c>
      <c r="AR191" s="392">
        <v>189254</v>
      </c>
      <c r="AS191" s="392">
        <v>1055040</v>
      </c>
      <c r="AT191" s="392">
        <v>444095</v>
      </c>
      <c r="AU191" s="392">
        <v>676402</v>
      </c>
      <c r="AV191" s="392">
        <v>348722</v>
      </c>
      <c r="AW191" s="392">
        <v>685920</v>
      </c>
      <c r="AX191" s="392">
        <v>443230</v>
      </c>
      <c r="AY191" s="786">
        <v>877891</v>
      </c>
      <c r="AZ191" s="392">
        <v>6113031</v>
      </c>
      <c r="BA191" s="639">
        <f>SUM(SNAMEB[[#This Row],[Instruction Expenditures]:[Transfers Out/OtherFinancing]])+SUM(SNAMEB[[#This Row],[General Fund Balance]:[Other Enterprise FundBalance]])</f>
        <v>21079876</v>
      </c>
      <c r="BB191" s="639">
        <f>SUM(SNAMEB[[#This Row],[Property Tax Revenue]:[IDEA/Other Fed Revenue]])+SNAMEB[General Long-term DebtProceeds]+SNAMEB[TransfersIn/Other Financing]+SNAMEB[Fixed Asset Disposition]+SNAMEB[Beginning Fund Balance]</f>
        <v>21079875</v>
      </c>
    </row>
    <row r="192" spans="1:54" x14ac:dyDescent="0.2">
      <c r="A192" s="390">
        <v>15</v>
      </c>
      <c r="B192" s="391" t="s">
        <v>270</v>
      </c>
      <c r="C192" s="631">
        <v>4491</v>
      </c>
      <c r="D192" t="s">
        <v>1184</v>
      </c>
      <c r="E192" s="392">
        <v>1017854</v>
      </c>
      <c r="F192" s="392">
        <v>137707</v>
      </c>
      <c r="G192" s="392">
        <v>69138</v>
      </c>
      <c r="H192" s="392">
        <v>0</v>
      </c>
      <c r="I192" s="392">
        <v>0</v>
      </c>
      <c r="J192" s="392">
        <v>0</v>
      </c>
      <c r="K192" s="392">
        <v>341235</v>
      </c>
      <c r="L192" s="392">
        <v>15021</v>
      </c>
      <c r="M192" s="392">
        <v>0</v>
      </c>
      <c r="N192" s="392">
        <v>2799</v>
      </c>
      <c r="O192" s="392">
        <v>-24140</v>
      </c>
      <c r="P192" s="392">
        <v>0</v>
      </c>
      <c r="Q192" s="392">
        <v>1559616</v>
      </c>
      <c r="R192" s="392">
        <v>1423177</v>
      </c>
      <c r="S192" s="392">
        <v>25074</v>
      </c>
      <c r="T192" s="392">
        <v>149896</v>
      </c>
      <c r="U192" s="392">
        <v>667262</v>
      </c>
      <c r="V192" s="392">
        <v>1081</v>
      </c>
      <c r="W192" s="392">
        <v>84591</v>
      </c>
      <c r="X192" s="392">
        <v>222784</v>
      </c>
      <c r="Y192" s="392">
        <v>68978</v>
      </c>
      <c r="Z192" s="392">
        <v>0</v>
      </c>
      <c r="AA192" s="392">
        <v>2226092</v>
      </c>
      <c r="AB192" s="392">
        <v>0</v>
      </c>
      <c r="AC192" s="392">
        <v>373696</v>
      </c>
      <c r="AD192" s="392">
        <v>15131</v>
      </c>
      <c r="AE192" s="392">
        <v>76654</v>
      </c>
      <c r="AF192" s="392">
        <v>255819</v>
      </c>
      <c r="AG192" s="392">
        <v>5590237</v>
      </c>
      <c r="AH192" s="392">
        <v>0</v>
      </c>
      <c r="AI192" s="392">
        <v>105600</v>
      </c>
      <c r="AJ192" s="392">
        <v>0</v>
      </c>
      <c r="AK192" s="392">
        <v>5695837</v>
      </c>
      <c r="AL192" s="392">
        <v>1802187</v>
      </c>
      <c r="AM192" s="392">
        <v>3200912</v>
      </c>
      <c r="AN192" s="392">
        <v>85449</v>
      </c>
      <c r="AO192" s="392">
        <v>114359</v>
      </c>
      <c r="AP192" s="392">
        <v>174109</v>
      </c>
      <c r="AQ192" s="392">
        <v>271056</v>
      </c>
      <c r="AR192" s="392">
        <v>71918</v>
      </c>
      <c r="AS192" s="392">
        <v>537500</v>
      </c>
      <c r="AT192" s="392">
        <v>173580</v>
      </c>
      <c r="AU192" s="392">
        <v>213639</v>
      </c>
      <c r="AV192" s="392">
        <v>346178</v>
      </c>
      <c r="AW192" s="392">
        <v>271765</v>
      </c>
      <c r="AX192" s="392">
        <v>144582</v>
      </c>
      <c r="AY192" s="786">
        <v>333361</v>
      </c>
      <c r="AZ192" s="392">
        <v>1559616</v>
      </c>
      <c r="BA192" s="639">
        <f>SUM(SNAMEB[[#This Row],[Instruction Expenditures]:[Transfers Out/OtherFinancing]])+SUM(SNAMEB[[#This Row],[General Fund Balance]:[Other Enterprise FundBalance]])</f>
        <v>7498022</v>
      </c>
      <c r="BB192" s="639">
        <f>SUM(SNAMEB[[#This Row],[Property Tax Revenue]:[IDEA/Other Fed Revenue]])+SNAMEB[General Long-term DebtProceeds]+SNAMEB[TransfersIn/Other Financing]+SNAMEB[Fixed Asset Disposition]+SNAMEB[Beginning Fund Balance]</f>
        <v>7498022</v>
      </c>
    </row>
    <row r="193" spans="1:54" x14ac:dyDescent="0.2">
      <c r="A193" s="390">
        <v>13</v>
      </c>
      <c r="B193" s="391" t="s">
        <v>271</v>
      </c>
      <c r="C193" s="631">
        <v>4505</v>
      </c>
      <c r="D193" t="s">
        <v>1185</v>
      </c>
      <c r="E193" s="392">
        <v>403531</v>
      </c>
      <c r="F193" s="392">
        <v>67332</v>
      </c>
      <c r="G193" s="392">
        <v>186962</v>
      </c>
      <c r="H193" s="392">
        <v>0</v>
      </c>
      <c r="I193" s="392">
        <v>0</v>
      </c>
      <c r="J193" s="392">
        <v>0</v>
      </c>
      <c r="K193" s="392">
        <v>762683</v>
      </c>
      <c r="L193" s="392">
        <v>42656</v>
      </c>
      <c r="M193" s="392">
        <v>0</v>
      </c>
      <c r="N193" s="392">
        <v>2208</v>
      </c>
      <c r="O193" s="392">
        <v>80254</v>
      </c>
      <c r="P193" s="392">
        <v>0</v>
      </c>
      <c r="Q193" s="392">
        <v>1545627</v>
      </c>
      <c r="R193" s="392">
        <v>1234707</v>
      </c>
      <c r="S193" s="392">
        <v>39671</v>
      </c>
      <c r="T193" s="392">
        <v>18855</v>
      </c>
      <c r="U193" s="392">
        <v>141380</v>
      </c>
      <c r="V193" s="392">
        <v>4146</v>
      </c>
      <c r="W193" s="392">
        <v>59896</v>
      </c>
      <c r="X193" s="392">
        <v>99638</v>
      </c>
      <c r="Y193" s="392">
        <v>108784</v>
      </c>
      <c r="Z193" s="392">
        <v>12115</v>
      </c>
      <c r="AA193" s="392">
        <v>1549642</v>
      </c>
      <c r="AB193" s="392">
        <v>0</v>
      </c>
      <c r="AC193" s="392">
        <v>256825</v>
      </c>
      <c r="AD193" s="392">
        <v>6226</v>
      </c>
      <c r="AE193" s="392">
        <v>61377</v>
      </c>
      <c r="AF193" s="392">
        <v>183859</v>
      </c>
      <c r="AG193" s="392">
        <v>3777121</v>
      </c>
      <c r="AH193" s="392">
        <v>0</v>
      </c>
      <c r="AI193" s="392">
        <v>221</v>
      </c>
      <c r="AJ193" s="392">
        <v>0</v>
      </c>
      <c r="AK193" s="392">
        <v>3777342</v>
      </c>
      <c r="AL193" s="392">
        <v>1162012</v>
      </c>
      <c r="AM193" s="392">
        <v>2220860</v>
      </c>
      <c r="AN193" s="392">
        <v>36022</v>
      </c>
      <c r="AO193" s="392">
        <v>143239</v>
      </c>
      <c r="AP193" s="392">
        <v>114462</v>
      </c>
      <c r="AQ193" s="392">
        <v>103442</v>
      </c>
      <c r="AR193" s="392">
        <v>64003</v>
      </c>
      <c r="AS193" s="392">
        <v>196756</v>
      </c>
      <c r="AT193" s="392">
        <v>172132</v>
      </c>
      <c r="AU193" s="392">
        <v>166042</v>
      </c>
      <c r="AV193" s="392">
        <v>69597</v>
      </c>
      <c r="AW193" s="392">
        <v>0</v>
      </c>
      <c r="AX193" s="392">
        <v>105672</v>
      </c>
      <c r="AY193" s="786">
        <v>1500</v>
      </c>
      <c r="AZ193" s="392">
        <v>1545627</v>
      </c>
      <c r="BA193" s="639">
        <f>SUM(SNAMEB[[#This Row],[Instruction Expenditures]:[Transfers Out/OtherFinancing]])+SUM(SNAMEB[[#This Row],[General Fund Balance]:[Other Enterprise FundBalance]])</f>
        <v>4939353</v>
      </c>
      <c r="BB193" s="639">
        <f>SUM(SNAMEB[[#This Row],[Property Tax Revenue]:[IDEA/Other Fed Revenue]])+SNAMEB[General Long-term DebtProceeds]+SNAMEB[TransfersIn/Other Financing]+SNAMEB[Fixed Asset Disposition]+SNAMEB[Beginning Fund Balance]</f>
        <v>4939354</v>
      </c>
    </row>
    <row r="194" spans="1:54" x14ac:dyDescent="0.2">
      <c r="A194" s="390">
        <v>15</v>
      </c>
      <c r="B194" s="391" t="s">
        <v>272</v>
      </c>
      <c r="C194" s="631">
        <v>4509</v>
      </c>
      <c r="D194" t="s">
        <v>1186</v>
      </c>
      <c r="E194" s="392">
        <v>401527</v>
      </c>
      <c r="F194" s="392">
        <v>0</v>
      </c>
      <c r="G194" s="392">
        <v>230852</v>
      </c>
      <c r="H194" s="392">
        <v>0</v>
      </c>
      <c r="I194" s="392">
        <v>0</v>
      </c>
      <c r="J194" s="392">
        <v>0</v>
      </c>
      <c r="K194" s="392">
        <v>185104</v>
      </c>
      <c r="L194" s="392">
        <v>49193</v>
      </c>
      <c r="M194" s="392">
        <v>0</v>
      </c>
      <c r="N194" s="392">
        <v>0</v>
      </c>
      <c r="O194" s="392">
        <v>-13567</v>
      </c>
      <c r="P194" s="392">
        <v>0</v>
      </c>
      <c r="Q194" s="392">
        <v>853109</v>
      </c>
      <c r="R194" s="392">
        <v>960205</v>
      </c>
      <c r="S194" s="392">
        <v>20856</v>
      </c>
      <c r="T194" s="392">
        <v>69225</v>
      </c>
      <c r="U194" s="392">
        <v>154841</v>
      </c>
      <c r="V194" s="392">
        <v>777</v>
      </c>
      <c r="W194" s="392">
        <v>31711</v>
      </c>
      <c r="X194" s="392">
        <v>0</v>
      </c>
      <c r="Y194" s="392">
        <v>20366</v>
      </c>
      <c r="Z194" s="392">
        <v>0</v>
      </c>
      <c r="AA194" s="392">
        <v>1395904</v>
      </c>
      <c r="AB194" s="392">
        <v>0</v>
      </c>
      <c r="AC194" s="392">
        <v>208780</v>
      </c>
      <c r="AD194" s="392">
        <v>9932</v>
      </c>
      <c r="AE194" s="392">
        <v>38758</v>
      </c>
      <c r="AF194" s="392">
        <v>128967</v>
      </c>
      <c r="AG194" s="392">
        <v>3040322</v>
      </c>
      <c r="AH194" s="392">
        <v>0</v>
      </c>
      <c r="AI194" s="392">
        <v>0</v>
      </c>
      <c r="AJ194" s="392">
        <v>0</v>
      </c>
      <c r="AK194" s="392">
        <v>3040322</v>
      </c>
      <c r="AL194" s="392">
        <v>750977</v>
      </c>
      <c r="AM194" s="392">
        <v>1891836</v>
      </c>
      <c r="AN194" s="392">
        <v>71121</v>
      </c>
      <c r="AO194" s="392">
        <v>44748</v>
      </c>
      <c r="AP194" s="392">
        <v>51652</v>
      </c>
      <c r="AQ194" s="392">
        <v>102286</v>
      </c>
      <c r="AR194" s="392">
        <v>98207</v>
      </c>
      <c r="AS194" s="392">
        <v>129876</v>
      </c>
      <c r="AT194" s="392">
        <v>41249</v>
      </c>
      <c r="AU194" s="392">
        <v>68057</v>
      </c>
      <c r="AV194" s="392">
        <v>348124</v>
      </c>
      <c r="AW194" s="392">
        <v>0</v>
      </c>
      <c r="AX194" s="392">
        <v>91035</v>
      </c>
      <c r="AY194" s="786">
        <v>0</v>
      </c>
      <c r="AZ194" s="392">
        <v>853109</v>
      </c>
      <c r="BA194" s="639">
        <f>SUM(SNAMEB[[#This Row],[Instruction Expenditures]:[Transfers Out/OtherFinancing]])+SUM(SNAMEB[[#This Row],[General Fund Balance]:[Other Enterprise FundBalance]])</f>
        <v>3791300</v>
      </c>
      <c r="BB194" s="639">
        <f>SUM(SNAMEB[[#This Row],[Property Tax Revenue]:[IDEA/Other Fed Revenue]])+SNAMEB[General Long-term DebtProceeds]+SNAMEB[TransfersIn/Other Financing]+SNAMEB[Fixed Asset Disposition]+SNAMEB[Beginning Fund Balance]</f>
        <v>3791299</v>
      </c>
    </row>
    <row r="195" spans="1:54" x14ac:dyDescent="0.2">
      <c r="A195" s="390">
        <v>15</v>
      </c>
      <c r="B195" s="391" t="s">
        <v>273</v>
      </c>
      <c r="C195" s="631">
        <v>4518</v>
      </c>
      <c r="D195" t="s">
        <v>1187</v>
      </c>
      <c r="E195" s="392">
        <v>1116389</v>
      </c>
      <c r="F195" s="392">
        <v>33510</v>
      </c>
      <c r="G195" s="392">
        <v>95213</v>
      </c>
      <c r="H195" s="392">
        <v>0</v>
      </c>
      <c r="I195" s="392">
        <v>0</v>
      </c>
      <c r="J195" s="392">
        <v>0</v>
      </c>
      <c r="K195" s="392">
        <v>286744</v>
      </c>
      <c r="L195" s="392">
        <v>74516</v>
      </c>
      <c r="M195" s="392">
        <v>0</v>
      </c>
      <c r="N195" s="392">
        <v>0</v>
      </c>
      <c r="O195" s="392">
        <v>38776</v>
      </c>
      <c r="P195" s="392">
        <v>0</v>
      </c>
      <c r="Q195" s="392">
        <v>1645148</v>
      </c>
      <c r="R195" s="392">
        <v>987457</v>
      </c>
      <c r="S195" s="392">
        <v>32701</v>
      </c>
      <c r="T195" s="392">
        <v>83220</v>
      </c>
      <c r="U195" s="392">
        <v>176668</v>
      </c>
      <c r="V195" s="392">
        <v>5143</v>
      </c>
      <c r="W195" s="392">
        <v>37999</v>
      </c>
      <c r="X195" s="392">
        <v>67014</v>
      </c>
      <c r="Y195" s="392">
        <v>36526</v>
      </c>
      <c r="Z195" s="392">
        <v>0</v>
      </c>
      <c r="AA195" s="392">
        <v>1405646</v>
      </c>
      <c r="AB195" s="392">
        <v>0</v>
      </c>
      <c r="AC195" s="392">
        <v>232295</v>
      </c>
      <c r="AD195" s="392">
        <v>2982</v>
      </c>
      <c r="AE195" s="392">
        <v>59141</v>
      </c>
      <c r="AF195" s="392">
        <v>125580</v>
      </c>
      <c r="AG195" s="392">
        <v>3252370</v>
      </c>
      <c r="AH195" s="392">
        <v>0</v>
      </c>
      <c r="AI195" s="392">
        <v>19980</v>
      </c>
      <c r="AJ195" s="392">
        <v>0</v>
      </c>
      <c r="AK195" s="392">
        <v>3272351</v>
      </c>
      <c r="AL195" s="392">
        <v>1628489</v>
      </c>
      <c r="AM195" s="392">
        <v>1783408</v>
      </c>
      <c r="AN195" s="392">
        <v>53656</v>
      </c>
      <c r="AO195" s="392">
        <v>121101</v>
      </c>
      <c r="AP195" s="392">
        <v>44013</v>
      </c>
      <c r="AQ195" s="392">
        <v>115826</v>
      </c>
      <c r="AR195" s="392">
        <v>79651</v>
      </c>
      <c r="AS195" s="392">
        <v>214922</v>
      </c>
      <c r="AT195" s="392">
        <v>282315</v>
      </c>
      <c r="AU195" s="392">
        <v>109676</v>
      </c>
      <c r="AV195" s="392">
        <v>358545</v>
      </c>
      <c r="AW195" s="392">
        <v>0</v>
      </c>
      <c r="AX195" s="392">
        <v>88425</v>
      </c>
      <c r="AY195" s="786">
        <v>4154</v>
      </c>
      <c r="AZ195" s="392">
        <v>1645148</v>
      </c>
      <c r="BA195" s="639">
        <f>SUM(SNAMEB[[#This Row],[Instruction Expenditures]:[Transfers Out/OtherFinancing]])+SUM(SNAMEB[[#This Row],[General Fund Balance]:[Other Enterprise FundBalance]])</f>
        <v>4900840</v>
      </c>
      <c r="BB195" s="639">
        <f>SUM(SNAMEB[[#This Row],[Property Tax Revenue]:[IDEA/Other Fed Revenue]])+SNAMEB[General Long-term DebtProceeds]+SNAMEB[TransfersIn/Other Financing]+SNAMEB[Fixed Asset Disposition]+SNAMEB[Beginning Fund Balance]</f>
        <v>4900841</v>
      </c>
    </row>
    <row r="196" spans="1:54" x14ac:dyDescent="0.2">
      <c r="A196" s="390">
        <v>13</v>
      </c>
      <c r="B196" s="391" t="s">
        <v>274</v>
      </c>
      <c r="C196" s="631">
        <v>4527</v>
      </c>
      <c r="D196" t="s">
        <v>1189</v>
      </c>
      <c r="E196" s="392">
        <v>2017188</v>
      </c>
      <c r="F196" s="392">
        <v>191763</v>
      </c>
      <c r="G196" s="392">
        <v>293039</v>
      </c>
      <c r="H196" s="392">
        <v>0</v>
      </c>
      <c r="I196" s="392">
        <v>0</v>
      </c>
      <c r="J196" s="392">
        <v>0</v>
      </c>
      <c r="K196" s="392">
        <v>821625</v>
      </c>
      <c r="L196" s="392">
        <v>1483811</v>
      </c>
      <c r="M196" s="392">
        <v>160473</v>
      </c>
      <c r="N196" s="392">
        <v>-7083</v>
      </c>
      <c r="O196" s="392">
        <v>24937</v>
      </c>
      <c r="P196" s="392">
        <v>-10418</v>
      </c>
      <c r="Q196" s="392">
        <v>4975335</v>
      </c>
      <c r="R196" s="392">
        <v>3472527</v>
      </c>
      <c r="S196" s="392">
        <v>97907</v>
      </c>
      <c r="T196" s="392">
        <v>200340</v>
      </c>
      <c r="U196" s="392">
        <v>503324</v>
      </c>
      <c r="V196" s="392">
        <v>14840</v>
      </c>
      <c r="W196" s="392">
        <v>166717</v>
      </c>
      <c r="X196" s="392">
        <v>485594</v>
      </c>
      <c r="Y196" s="392">
        <v>692275</v>
      </c>
      <c r="Z196" s="392">
        <v>10834</v>
      </c>
      <c r="AA196" s="392">
        <v>3779412</v>
      </c>
      <c r="AB196" s="392">
        <v>0</v>
      </c>
      <c r="AC196" s="392">
        <v>684594</v>
      </c>
      <c r="AD196" s="392">
        <v>16798</v>
      </c>
      <c r="AE196" s="392">
        <v>166017</v>
      </c>
      <c r="AF196" s="392">
        <v>353966</v>
      </c>
      <c r="AG196" s="392">
        <v>10645144</v>
      </c>
      <c r="AH196" s="392">
        <v>2805000</v>
      </c>
      <c r="AI196" s="392">
        <v>1079457</v>
      </c>
      <c r="AJ196" s="392">
        <v>10839</v>
      </c>
      <c r="AK196" s="392">
        <v>14540440</v>
      </c>
      <c r="AL196" s="392">
        <v>4180432</v>
      </c>
      <c r="AM196" s="392">
        <v>5511785</v>
      </c>
      <c r="AN196" s="392">
        <v>205231</v>
      </c>
      <c r="AO196" s="392">
        <v>437665</v>
      </c>
      <c r="AP196" s="392">
        <v>289015</v>
      </c>
      <c r="AQ196" s="392">
        <v>314101</v>
      </c>
      <c r="AR196" s="392">
        <v>138854</v>
      </c>
      <c r="AS196" s="392">
        <v>744730</v>
      </c>
      <c r="AT196" s="392">
        <v>419188</v>
      </c>
      <c r="AU196" s="392">
        <v>379680</v>
      </c>
      <c r="AV196" s="392">
        <v>3069312</v>
      </c>
      <c r="AW196" s="392">
        <v>887617</v>
      </c>
      <c r="AX196" s="392">
        <v>267562</v>
      </c>
      <c r="AY196" s="786">
        <v>1080797</v>
      </c>
      <c r="AZ196" s="392">
        <v>4975335</v>
      </c>
      <c r="BA196" s="639">
        <f>SUM(SNAMEB[[#This Row],[Instruction Expenditures]:[Transfers Out/OtherFinancing]])+SUM(SNAMEB[[#This Row],[General Fund Balance]:[Other Enterprise FundBalance]])</f>
        <v>18720872</v>
      </c>
      <c r="BB196" s="639">
        <f>SUM(SNAMEB[[#This Row],[Property Tax Revenue]:[IDEA/Other Fed Revenue]])+SNAMEB[General Long-term DebtProceeds]+SNAMEB[TransfersIn/Other Financing]+SNAMEB[Fixed Asset Disposition]+SNAMEB[Beginning Fund Balance]</f>
        <v>18720873</v>
      </c>
    </row>
    <row r="197" spans="1:54" x14ac:dyDescent="0.2">
      <c r="A197" s="390">
        <v>15</v>
      </c>
      <c r="B197" s="391" t="s">
        <v>275</v>
      </c>
      <c r="C197" s="631">
        <v>4536</v>
      </c>
      <c r="D197" t="s">
        <v>1190</v>
      </c>
      <c r="E197" s="392">
        <v>2484332</v>
      </c>
      <c r="F197" s="392">
        <v>147404</v>
      </c>
      <c r="G197" s="392">
        <v>210781</v>
      </c>
      <c r="H197" s="392">
        <v>0</v>
      </c>
      <c r="I197" s="392">
        <v>0</v>
      </c>
      <c r="J197" s="392">
        <v>0</v>
      </c>
      <c r="K197" s="392">
        <v>2741051</v>
      </c>
      <c r="L197" s="392">
        <v>418897</v>
      </c>
      <c r="M197" s="392">
        <v>0</v>
      </c>
      <c r="N197" s="392">
        <v>641432</v>
      </c>
      <c r="O197" s="392">
        <v>207917</v>
      </c>
      <c r="P197" s="392">
        <v>0</v>
      </c>
      <c r="Q197" s="392">
        <v>6851813</v>
      </c>
      <c r="R197" s="392">
        <v>7062895</v>
      </c>
      <c r="S197" s="392">
        <v>72541</v>
      </c>
      <c r="T197" s="392">
        <v>529458</v>
      </c>
      <c r="U197" s="392">
        <v>1120896</v>
      </c>
      <c r="V197" s="392">
        <v>73154</v>
      </c>
      <c r="W197" s="392">
        <v>395430</v>
      </c>
      <c r="X197" s="392">
        <v>329959</v>
      </c>
      <c r="Y197" s="392">
        <v>374646</v>
      </c>
      <c r="Z197" s="392">
        <v>0</v>
      </c>
      <c r="AA197" s="392">
        <v>13263913</v>
      </c>
      <c r="AB197" s="392">
        <v>0</v>
      </c>
      <c r="AC197" s="392">
        <v>1964070</v>
      </c>
      <c r="AD197" s="392">
        <v>119898</v>
      </c>
      <c r="AE197" s="392">
        <v>405384</v>
      </c>
      <c r="AF197" s="392">
        <v>1198711</v>
      </c>
      <c r="AG197" s="392">
        <v>26910955</v>
      </c>
      <c r="AH197" s="392">
        <v>433275</v>
      </c>
      <c r="AI197" s="392">
        <v>904744</v>
      </c>
      <c r="AJ197" s="392">
        <v>2535</v>
      </c>
      <c r="AK197" s="392">
        <v>28251509</v>
      </c>
      <c r="AL197" s="392">
        <v>5885459</v>
      </c>
      <c r="AM197" s="392">
        <v>16823955</v>
      </c>
      <c r="AN197" s="392">
        <v>484764</v>
      </c>
      <c r="AO197" s="392">
        <v>301760</v>
      </c>
      <c r="AP197" s="392">
        <v>389816</v>
      </c>
      <c r="AQ197" s="392">
        <v>1284660</v>
      </c>
      <c r="AR197" s="392">
        <v>874769</v>
      </c>
      <c r="AS197" s="392">
        <v>1613642</v>
      </c>
      <c r="AT197" s="392">
        <v>1249881</v>
      </c>
      <c r="AU197" s="392">
        <v>1075815</v>
      </c>
      <c r="AV197" s="392">
        <v>142095</v>
      </c>
      <c r="AW197" s="392">
        <v>1304432</v>
      </c>
      <c r="AX197" s="392">
        <v>834820</v>
      </c>
      <c r="AY197" s="786">
        <v>904744</v>
      </c>
      <c r="AZ197" s="392">
        <v>6851813</v>
      </c>
      <c r="BA197" s="639">
        <f>SUM(SNAMEB[[#This Row],[Instruction Expenditures]:[Transfers Out/OtherFinancing]])+SUM(SNAMEB[[#This Row],[General Fund Balance]:[Other Enterprise FundBalance]])</f>
        <v>34136967</v>
      </c>
      <c r="BB197" s="639">
        <f>SUM(SNAMEB[[#This Row],[Property Tax Revenue]:[IDEA/Other Fed Revenue]])+SNAMEB[General Long-term DebtProceeds]+SNAMEB[TransfersIn/Other Financing]+SNAMEB[Fixed Asset Disposition]+SNAMEB[Beginning Fund Balance]</f>
        <v>34136968</v>
      </c>
    </row>
    <row r="198" spans="1:54" x14ac:dyDescent="0.2">
      <c r="A198" s="390">
        <v>10</v>
      </c>
      <c r="B198" s="391" t="s">
        <v>276</v>
      </c>
      <c r="C198" s="631">
        <v>4554</v>
      </c>
      <c r="D198" t="s">
        <v>1191</v>
      </c>
      <c r="E198" s="392">
        <v>1778544</v>
      </c>
      <c r="F198" s="392">
        <v>155556</v>
      </c>
      <c r="G198" s="392">
        <v>199255</v>
      </c>
      <c r="H198" s="392">
        <v>74640</v>
      </c>
      <c r="I198" s="392">
        <v>0</v>
      </c>
      <c r="J198" s="392">
        <v>0</v>
      </c>
      <c r="K198" s="392">
        <v>1288516</v>
      </c>
      <c r="L198" s="392">
        <v>233766</v>
      </c>
      <c r="M198" s="392">
        <v>0</v>
      </c>
      <c r="N198" s="392">
        <v>528268</v>
      </c>
      <c r="O198" s="392">
        <v>47609</v>
      </c>
      <c r="P198" s="392">
        <v>-29707</v>
      </c>
      <c r="Q198" s="392">
        <v>4276448</v>
      </c>
      <c r="R198" s="392">
        <v>4981549</v>
      </c>
      <c r="S198" s="392">
        <v>119023</v>
      </c>
      <c r="T198" s="392">
        <v>462666</v>
      </c>
      <c r="U198" s="392">
        <v>1977506</v>
      </c>
      <c r="V198" s="392">
        <v>18697</v>
      </c>
      <c r="W198" s="392">
        <v>461324</v>
      </c>
      <c r="X198" s="392">
        <v>525696</v>
      </c>
      <c r="Y198" s="392">
        <v>427200</v>
      </c>
      <c r="Z198" s="392">
        <v>0</v>
      </c>
      <c r="AA198" s="392">
        <v>6375034</v>
      </c>
      <c r="AB198" s="392">
        <v>0</v>
      </c>
      <c r="AC198" s="392">
        <v>1067645</v>
      </c>
      <c r="AD198" s="392">
        <v>77274</v>
      </c>
      <c r="AE198" s="392">
        <v>55317</v>
      </c>
      <c r="AF198" s="392">
        <v>440101</v>
      </c>
      <c r="AG198" s="392">
        <v>16989031</v>
      </c>
      <c r="AH198" s="392">
        <v>0</v>
      </c>
      <c r="AI198" s="392">
        <v>724102</v>
      </c>
      <c r="AJ198" s="392">
        <v>2392</v>
      </c>
      <c r="AK198" s="392">
        <v>17715525</v>
      </c>
      <c r="AL198" s="392">
        <v>3750358</v>
      </c>
      <c r="AM198" s="392">
        <v>9612800</v>
      </c>
      <c r="AN198" s="392">
        <v>306361</v>
      </c>
      <c r="AO198" s="392">
        <v>598505</v>
      </c>
      <c r="AP198" s="392">
        <v>445262</v>
      </c>
      <c r="AQ198" s="392">
        <v>766795</v>
      </c>
      <c r="AR198" s="392">
        <v>354466</v>
      </c>
      <c r="AS198" s="392">
        <v>892353</v>
      </c>
      <c r="AT198" s="392">
        <v>444242</v>
      </c>
      <c r="AU198" s="392">
        <v>860023</v>
      </c>
      <c r="AV198" s="392">
        <v>202123</v>
      </c>
      <c r="AW198" s="392">
        <v>1318495</v>
      </c>
      <c r="AX198" s="392">
        <v>444119</v>
      </c>
      <c r="AY198" s="786">
        <v>943891</v>
      </c>
      <c r="AZ198" s="392">
        <v>4276448</v>
      </c>
      <c r="BA198" s="639">
        <f>SUM(SNAMEB[[#This Row],[Instruction Expenditures]:[Transfers Out/OtherFinancing]])+SUM(SNAMEB[[#This Row],[General Fund Balance]:[Other Enterprise FundBalance]])</f>
        <v>21465882</v>
      </c>
      <c r="BB198" s="639">
        <f>SUM(SNAMEB[[#This Row],[Property Tax Revenue]:[IDEA/Other Fed Revenue]])+SNAMEB[General Long-term DebtProceeds]+SNAMEB[TransfersIn/Other Financing]+SNAMEB[Fixed Asset Disposition]+SNAMEB[Beginning Fund Balance]</f>
        <v>21465884</v>
      </c>
    </row>
    <row r="199" spans="1:54" x14ac:dyDescent="0.2">
      <c r="A199" s="390">
        <v>13</v>
      </c>
      <c r="B199" s="391" t="s">
        <v>277</v>
      </c>
      <c r="C199" s="631">
        <v>4572</v>
      </c>
      <c r="D199" t="s">
        <v>1192</v>
      </c>
      <c r="E199" s="392">
        <v>2074453</v>
      </c>
      <c r="F199" s="392">
        <v>200034</v>
      </c>
      <c r="G199" s="392">
        <v>161699</v>
      </c>
      <c r="H199" s="392">
        <v>0</v>
      </c>
      <c r="I199" s="392">
        <v>0</v>
      </c>
      <c r="J199" s="392">
        <v>0</v>
      </c>
      <c r="K199" s="392">
        <v>96913</v>
      </c>
      <c r="L199" s="392">
        <v>4980</v>
      </c>
      <c r="M199" s="392">
        <v>0</v>
      </c>
      <c r="N199" s="392">
        <v>75498</v>
      </c>
      <c r="O199" s="392">
        <v>122633</v>
      </c>
      <c r="P199" s="392">
        <v>0</v>
      </c>
      <c r="Q199" s="392">
        <v>2736210</v>
      </c>
      <c r="R199" s="392">
        <v>852535</v>
      </c>
      <c r="S199" s="392">
        <v>35504</v>
      </c>
      <c r="T199" s="392">
        <v>122538</v>
      </c>
      <c r="U199" s="392">
        <v>653472</v>
      </c>
      <c r="V199" s="392">
        <v>4197</v>
      </c>
      <c r="W199" s="392">
        <v>70351</v>
      </c>
      <c r="X199" s="392">
        <v>160664</v>
      </c>
      <c r="Y199" s="392">
        <v>85901</v>
      </c>
      <c r="Z199" s="392">
        <v>0</v>
      </c>
      <c r="AA199" s="392">
        <v>1754786</v>
      </c>
      <c r="AB199" s="392">
        <v>0</v>
      </c>
      <c r="AC199" s="392">
        <v>269509</v>
      </c>
      <c r="AD199" s="392">
        <v>2595</v>
      </c>
      <c r="AE199" s="392">
        <v>74017</v>
      </c>
      <c r="AF199" s="392">
        <v>182940</v>
      </c>
      <c r="AG199" s="392">
        <v>4269009</v>
      </c>
      <c r="AH199" s="392">
        <v>0</v>
      </c>
      <c r="AI199" s="392">
        <v>115338</v>
      </c>
      <c r="AJ199" s="392">
        <v>600</v>
      </c>
      <c r="AK199" s="392">
        <v>4384948</v>
      </c>
      <c r="AL199" s="392">
        <v>2636083</v>
      </c>
      <c r="AM199" s="392">
        <v>2281585</v>
      </c>
      <c r="AN199" s="392">
        <v>89865</v>
      </c>
      <c r="AO199" s="392">
        <v>139904</v>
      </c>
      <c r="AP199" s="392">
        <v>196736</v>
      </c>
      <c r="AQ199" s="392">
        <v>148265</v>
      </c>
      <c r="AR199" s="392">
        <v>86190</v>
      </c>
      <c r="AS199" s="392">
        <v>313553</v>
      </c>
      <c r="AT199" s="392">
        <v>221415</v>
      </c>
      <c r="AU199" s="392">
        <v>188457</v>
      </c>
      <c r="AV199" s="392">
        <v>183104</v>
      </c>
      <c r="AW199" s="392">
        <v>209750</v>
      </c>
      <c r="AX199" s="392">
        <v>110657</v>
      </c>
      <c r="AY199" s="786">
        <v>115338</v>
      </c>
      <c r="AZ199" s="392">
        <v>2736210</v>
      </c>
      <c r="BA199" s="639">
        <f>SUM(SNAMEB[[#This Row],[Instruction Expenditures]:[Transfers Out/OtherFinancing]])+SUM(SNAMEB[[#This Row],[General Fund Balance]:[Other Enterprise FundBalance]])</f>
        <v>7021029</v>
      </c>
      <c r="BB199" s="639">
        <f>SUM(SNAMEB[[#This Row],[Property Tax Revenue]:[IDEA/Other Fed Revenue]])+SNAMEB[General Long-term DebtProceeds]+SNAMEB[TransfersIn/Other Financing]+SNAMEB[Fixed Asset Disposition]+SNAMEB[Beginning Fund Balance]</f>
        <v>7021030</v>
      </c>
    </row>
    <row r="200" spans="1:54" x14ac:dyDescent="0.2">
      <c r="A200" s="390">
        <v>9</v>
      </c>
      <c r="B200" s="391" t="s">
        <v>278</v>
      </c>
      <c r="C200" s="631">
        <v>4581</v>
      </c>
      <c r="D200" t="s">
        <v>1193</v>
      </c>
      <c r="E200" s="392">
        <v>11846158</v>
      </c>
      <c r="F200" s="392">
        <v>408570</v>
      </c>
      <c r="G200" s="392">
        <v>987832</v>
      </c>
      <c r="H200" s="392">
        <v>0</v>
      </c>
      <c r="I200" s="392">
        <v>53495</v>
      </c>
      <c r="J200" s="392">
        <v>0</v>
      </c>
      <c r="K200" s="392">
        <v>3868278</v>
      </c>
      <c r="L200" s="392">
        <v>1714864</v>
      </c>
      <c r="M200" s="392">
        <v>0</v>
      </c>
      <c r="N200" s="392">
        <v>0</v>
      </c>
      <c r="O200" s="392">
        <v>-75855</v>
      </c>
      <c r="P200" s="392">
        <v>0</v>
      </c>
      <c r="Q200" s="392">
        <v>18803343</v>
      </c>
      <c r="R200" s="392">
        <v>18846554</v>
      </c>
      <c r="S200" s="392">
        <v>262561</v>
      </c>
      <c r="T200" s="392">
        <v>302924</v>
      </c>
      <c r="U200" s="392">
        <v>564588</v>
      </c>
      <c r="V200" s="392">
        <v>37564</v>
      </c>
      <c r="W200" s="392">
        <v>920373</v>
      </c>
      <c r="X200" s="392">
        <v>328336</v>
      </c>
      <c r="Y200" s="392">
        <v>863525</v>
      </c>
      <c r="Z200" s="392">
        <v>0</v>
      </c>
      <c r="AA200" s="392">
        <v>36390205</v>
      </c>
      <c r="AB200" s="392">
        <v>0</v>
      </c>
      <c r="AC200" s="392">
        <v>5862306</v>
      </c>
      <c r="AD200" s="392">
        <v>561850</v>
      </c>
      <c r="AE200" s="392">
        <v>983634</v>
      </c>
      <c r="AF200" s="392">
        <v>2853692</v>
      </c>
      <c r="AG200" s="392">
        <v>68778112</v>
      </c>
      <c r="AH200" s="392">
        <v>0</v>
      </c>
      <c r="AI200" s="392">
        <v>0</v>
      </c>
      <c r="AJ200" s="392">
        <v>280652</v>
      </c>
      <c r="AK200" s="392">
        <v>69058764</v>
      </c>
      <c r="AL200" s="392">
        <v>12695260</v>
      </c>
      <c r="AM200" s="392">
        <v>39758469</v>
      </c>
      <c r="AN200" s="392">
        <v>1551907</v>
      </c>
      <c r="AO200" s="392">
        <v>1065752</v>
      </c>
      <c r="AP200" s="392">
        <v>949060</v>
      </c>
      <c r="AQ200" s="392">
        <v>3495854</v>
      </c>
      <c r="AR200" s="392">
        <v>2063573</v>
      </c>
      <c r="AS200" s="392">
        <v>4911377</v>
      </c>
      <c r="AT200" s="392">
        <v>1747209</v>
      </c>
      <c r="AU200" s="392">
        <v>2372473</v>
      </c>
      <c r="AV200" s="392">
        <v>2196969</v>
      </c>
      <c r="AW200" s="392">
        <v>0</v>
      </c>
      <c r="AX200" s="392">
        <v>2227592</v>
      </c>
      <c r="AY200" s="786">
        <v>610446</v>
      </c>
      <c r="AZ200" s="392">
        <v>18803343</v>
      </c>
      <c r="BA200" s="639">
        <f>SUM(SNAMEB[[#This Row],[Instruction Expenditures]:[Transfers Out/OtherFinancing]])+SUM(SNAMEB[[#This Row],[General Fund Balance]:[Other Enterprise FundBalance]])</f>
        <v>81754023</v>
      </c>
      <c r="BB200" s="639">
        <f>SUM(SNAMEB[[#This Row],[Property Tax Revenue]:[IDEA/Other Fed Revenue]])+SNAMEB[General Long-term DebtProceeds]+SNAMEB[TransfersIn/Other Financing]+SNAMEB[Fixed Asset Disposition]+SNAMEB[Beginning Fund Balance]</f>
        <v>81754024</v>
      </c>
    </row>
    <row r="201" spans="1:54" x14ac:dyDescent="0.2">
      <c r="A201" s="390">
        <v>7</v>
      </c>
      <c r="B201" s="391" t="s">
        <v>279</v>
      </c>
      <c r="C201" s="631">
        <v>4599</v>
      </c>
      <c r="D201" t="s">
        <v>644</v>
      </c>
      <c r="E201" s="392">
        <v>1452193</v>
      </c>
      <c r="F201" s="392">
        <v>94629</v>
      </c>
      <c r="G201" s="392">
        <v>388404</v>
      </c>
      <c r="H201" s="392">
        <v>0</v>
      </c>
      <c r="I201" s="392">
        <v>0</v>
      </c>
      <c r="J201" s="392">
        <v>0</v>
      </c>
      <c r="K201" s="392">
        <v>1235329</v>
      </c>
      <c r="L201" s="392">
        <v>277792</v>
      </c>
      <c r="M201" s="392">
        <v>5881</v>
      </c>
      <c r="N201" s="392">
        <v>0</v>
      </c>
      <c r="O201" s="392">
        <v>-57391</v>
      </c>
      <c r="P201" s="392">
        <v>38086</v>
      </c>
      <c r="Q201" s="392">
        <v>3434923</v>
      </c>
      <c r="R201" s="392">
        <v>2504891</v>
      </c>
      <c r="S201" s="392">
        <v>105732</v>
      </c>
      <c r="T201" s="392">
        <v>287687</v>
      </c>
      <c r="U201" s="392">
        <v>153773</v>
      </c>
      <c r="V201" s="392">
        <v>14562</v>
      </c>
      <c r="W201" s="392">
        <v>161134</v>
      </c>
      <c r="X201" s="392">
        <v>259496</v>
      </c>
      <c r="Y201" s="392">
        <v>286479</v>
      </c>
      <c r="Z201" s="392">
        <v>1700</v>
      </c>
      <c r="AA201" s="392">
        <v>3522721</v>
      </c>
      <c r="AB201" s="392">
        <v>0</v>
      </c>
      <c r="AC201" s="392">
        <v>633653</v>
      </c>
      <c r="AD201" s="392">
        <v>18052</v>
      </c>
      <c r="AE201" s="392">
        <v>65074</v>
      </c>
      <c r="AF201" s="392">
        <v>325886</v>
      </c>
      <c r="AG201" s="392">
        <v>8340841</v>
      </c>
      <c r="AH201" s="392">
        <v>0</v>
      </c>
      <c r="AI201" s="392">
        <v>470450</v>
      </c>
      <c r="AJ201" s="392">
        <v>0</v>
      </c>
      <c r="AK201" s="392">
        <v>8811291</v>
      </c>
      <c r="AL201" s="392">
        <v>3375931</v>
      </c>
      <c r="AM201" s="392">
        <v>4951044</v>
      </c>
      <c r="AN201" s="392">
        <v>209631</v>
      </c>
      <c r="AO201" s="392">
        <v>210594</v>
      </c>
      <c r="AP201" s="392">
        <v>261825</v>
      </c>
      <c r="AQ201" s="392">
        <v>336006</v>
      </c>
      <c r="AR201" s="392">
        <v>165807</v>
      </c>
      <c r="AS201" s="392">
        <v>470162</v>
      </c>
      <c r="AT201" s="392">
        <v>364251</v>
      </c>
      <c r="AU201" s="392">
        <v>402481</v>
      </c>
      <c r="AV201" s="392">
        <v>179423</v>
      </c>
      <c r="AW201" s="392">
        <v>469279</v>
      </c>
      <c r="AX201" s="392">
        <v>262857</v>
      </c>
      <c r="AY201" s="786">
        <v>468939</v>
      </c>
      <c r="AZ201" s="392">
        <v>3434923</v>
      </c>
      <c r="BA201" s="639">
        <f>SUM(SNAMEB[[#This Row],[Instruction Expenditures]:[Transfers Out/OtherFinancing]])+SUM(SNAMEB[[#This Row],[General Fund Balance]:[Other Enterprise FundBalance]])</f>
        <v>12187222</v>
      </c>
      <c r="BB201" s="639">
        <f>SUM(SNAMEB[[#This Row],[Property Tax Revenue]:[IDEA/Other Fed Revenue]])+SNAMEB[General Long-term DebtProceeds]+SNAMEB[TransfersIn/Other Financing]+SNAMEB[Fixed Asset Disposition]+SNAMEB[Beginning Fund Balance]</f>
        <v>12187221</v>
      </c>
    </row>
    <row r="202" spans="1:54" x14ac:dyDescent="0.2">
      <c r="A202" s="390">
        <v>11</v>
      </c>
      <c r="B202" s="391" t="s">
        <v>280</v>
      </c>
      <c r="C202" s="631">
        <v>4617</v>
      </c>
      <c r="D202" t="s">
        <v>1194</v>
      </c>
      <c r="E202" s="392">
        <v>2130354</v>
      </c>
      <c r="F202" s="392">
        <v>165221</v>
      </c>
      <c r="G202" s="392">
        <v>164884</v>
      </c>
      <c r="H202" s="392">
        <v>0</v>
      </c>
      <c r="I202" s="392">
        <v>9916</v>
      </c>
      <c r="J202" s="392">
        <v>0</v>
      </c>
      <c r="K202" s="392">
        <v>3224808</v>
      </c>
      <c r="L202" s="392">
        <v>401464</v>
      </c>
      <c r="M202" s="392">
        <v>-43478</v>
      </c>
      <c r="N202" s="392">
        <v>1207674</v>
      </c>
      <c r="O202" s="392">
        <v>12222</v>
      </c>
      <c r="P202" s="392">
        <v>0</v>
      </c>
      <c r="Q202" s="392">
        <v>7273066</v>
      </c>
      <c r="R202" s="392">
        <v>6308276</v>
      </c>
      <c r="S202" s="392">
        <v>121890</v>
      </c>
      <c r="T202" s="392">
        <v>444940</v>
      </c>
      <c r="U202" s="392">
        <v>1126672</v>
      </c>
      <c r="V202" s="392">
        <v>32317</v>
      </c>
      <c r="W202" s="392">
        <v>476305</v>
      </c>
      <c r="X202" s="392">
        <v>511185</v>
      </c>
      <c r="Y202" s="392">
        <v>365864</v>
      </c>
      <c r="Z202" s="392">
        <v>0</v>
      </c>
      <c r="AA202" s="392">
        <v>9676329</v>
      </c>
      <c r="AB202" s="392">
        <v>0</v>
      </c>
      <c r="AC202" s="392">
        <v>2051826</v>
      </c>
      <c r="AD202" s="392">
        <v>176866</v>
      </c>
      <c r="AE202" s="392">
        <v>186761</v>
      </c>
      <c r="AF202" s="392">
        <v>731309</v>
      </c>
      <c r="AG202" s="392">
        <v>22210541</v>
      </c>
      <c r="AH202" s="392">
        <v>13125000</v>
      </c>
      <c r="AI202" s="392">
        <v>1135741</v>
      </c>
      <c r="AJ202" s="392">
        <v>100</v>
      </c>
      <c r="AK202" s="392">
        <v>36471382</v>
      </c>
      <c r="AL202" s="392">
        <v>7235148</v>
      </c>
      <c r="AM202" s="392">
        <v>12113845</v>
      </c>
      <c r="AN202" s="392">
        <v>1071059</v>
      </c>
      <c r="AO202" s="392">
        <v>1438892</v>
      </c>
      <c r="AP202" s="392">
        <v>368655</v>
      </c>
      <c r="AQ202" s="392">
        <v>1214173</v>
      </c>
      <c r="AR202" s="392">
        <v>230905</v>
      </c>
      <c r="AS202" s="392">
        <v>1434002</v>
      </c>
      <c r="AT202" s="392">
        <v>577414</v>
      </c>
      <c r="AU202" s="392">
        <v>970155</v>
      </c>
      <c r="AV202" s="392">
        <v>4064859</v>
      </c>
      <c r="AW202" s="392">
        <v>10995067</v>
      </c>
      <c r="AX202" s="392">
        <v>623500</v>
      </c>
      <c r="AY202" s="786">
        <v>1330940</v>
      </c>
      <c r="AZ202" s="392">
        <v>7273066</v>
      </c>
      <c r="BA202" s="639">
        <f>SUM(SNAMEB[[#This Row],[Instruction Expenditures]:[Transfers Out/OtherFinancing]])+SUM(SNAMEB[[#This Row],[General Fund Balance]:[Other Enterprise FundBalance]])</f>
        <v>43706531</v>
      </c>
      <c r="BB202" s="639">
        <f>SUM(SNAMEB[[#This Row],[Property Tax Revenue]:[IDEA/Other Fed Revenue]])+SNAMEB[General Long-term DebtProceeds]+SNAMEB[TransfersIn/Other Financing]+SNAMEB[Fixed Asset Disposition]+SNAMEB[Beginning Fund Balance]</f>
        <v>43706529</v>
      </c>
    </row>
    <row r="203" spans="1:54" x14ac:dyDescent="0.2">
      <c r="A203" s="390">
        <v>1</v>
      </c>
      <c r="B203" s="391" t="s">
        <v>282</v>
      </c>
      <c r="C203" s="631">
        <v>4662</v>
      </c>
      <c r="D203" t="s">
        <v>1195</v>
      </c>
      <c r="E203" s="392">
        <v>1015006</v>
      </c>
      <c r="F203" s="392">
        <v>89786</v>
      </c>
      <c r="G203" s="392">
        <v>366403</v>
      </c>
      <c r="H203" s="392">
        <v>0</v>
      </c>
      <c r="I203" s="392">
        <v>0</v>
      </c>
      <c r="J203" s="392">
        <v>0</v>
      </c>
      <c r="K203" s="392">
        <v>1234538</v>
      </c>
      <c r="L203" s="392">
        <v>193590</v>
      </c>
      <c r="M203" s="392">
        <v>0</v>
      </c>
      <c r="N203" s="392">
        <v>0</v>
      </c>
      <c r="O203" s="392">
        <v>-9244</v>
      </c>
      <c r="P203" s="392">
        <v>0</v>
      </c>
      <c r="Q203" s="392">
        <v>2890081</v>
      </c>
      <c r="R203" s="392">
        <v>4458065</v>
      </c>
      <c r="S203" s="392">
        <v>182225</v>
      </c>
      <c r="T203" s="392">
        <v>561031</v>
      </c>
      <c r="U203" s="392">
        <v>402189</v>
      </c>
      <c r="V203" s="392">
        <v>7574</v>
      </c>
      <c r="W203" s="392">
        <v>305316</v>
      </c>
      <c r="X203" s="392">
        <v>556209</v>
      </c>
      <c r="Y203" s="392">
        <v>272327</v>
      </c>
      <c r="Z203" s="392">
        <v>122</v>
      </c>
      <c r="AA203" s="392">
        <v>5014196</v>
      </c>
      <c r="AB203" s="392">
        <v>0</v>
      </c>
      <c r="AC203" s="392">
        <v>1026824</v>
      </c>
      <c r="AD203" s="392">
        <v>85532</v>
      </c>
      <c r="AE203" s="392">
        <v>163779</v>
      </c>
      <c r="AF203" s="392">
        <v>438716</v>
      </c>
      <c r="AG203" s="392">
        <v>13474105</v>
      </c>
      <c r="AH203" s="392">
        <v>0</v>
      </c>
      <c r="AI203" s="392">
        <v>279801</v>
      </c>
      <c r="AJ203" s="392">
        <v>3198</v>
      </c>
      <c r="AK203" s="392">
        <v>13757104</v>
      </c>
      <c r="AL203" s="392">
        <v>2922506</v>
      </c>
      <c r="AM203" s="392">
        <v>8029393</v>
      </c>
      <c r="AN203" s="392">
        <v>210792</v>
      </c>
      <c r="AO203" s="392">
        <v>347110</v>
      </c>
      <c r="AP203" s="392">
        <v>600715</v>
      </c>
      <c r="AQ203" s="392">
        <v>582801</v>
      </c>
      <c r="AR203" s="392">
        <v>97321</v>
      </c>
      <c r="AS203" s="392">
        <v>1305482</v>
      </c>
      <c r="AT203" s="392">
        <v>710715</v>
      </c>
      <c r="AU203" s="392">
        <v>546722</v>
      </c>
      <c r="AV203" s="392">
        <v>332184</v>
      </c>
      <c r="AW203" s="392">
        <v>232245</v>
      </c>
      <c r="AX203" s="392">
        <v>425138</v>
      </c>
      <c r="AY203" s="786">
        <v>368910</v>
      </c>
      <c r="AZ203" s="392">
        <v>2890081</v>
      </c>
      <c r="BA203" s="639">
        <f>SUM(SNAMEB[[#This Row],[Instruction Expenditures]:[Transfers Out/OtherFinancing]])+SUM(SNAMEB[[#This Row],[General Fund Balance]:[Other Enterprise FundBalance]])</f>
        <v>16679607</v>
      </c>
      <c r="BB203" s="639">
        <f>SUM(SNAMEB[[#This Row],[Property Tax Revenue]:[IDEA/Other Fed Revenue]])+SNAMEB[General Long-term DebtProceeds]+SNAMEB[TransfersIn/Other Financing]+SNAMEB[Fixed Asset Disposition]+SNAMEB[Beginning Fund Balance]</f>
        <v>16679610</v>
      </c>
    </row>
    <row r="204" spans="1:54" x14ac:dyDescent="0.2">
      <c r="A204" s="390">
        <v>15</v>
      </c>
      <c r="B204" s="391" t="s">
        <v>283</v>
      </c>
      <c r="C204" s="631">
        <v>4689</v>
      </c>
      <c r="D204" t="s">
        <v>1196</v>
      </c>
      <c r="E204" s="392">
        <v>762434</v>
      </c>
      <c r="F204" s="392">
        <v>87936</v>
      </c>
      <c r="G204" s="392">
        <v>1415</v>
      </c>
      <c r="H204" s="392">
        <v>255920</v>
      </c>
      <c r="I204" s="392">
        <v>0</v>
      </c>
      <c r="J204" s="392">
        <v>0</v>
      </c>
      <c r="K204" s="392">
        <v>504917</v>
      </c>
      <c r="L204" s="392">
        <v>183196</v>
      </c>
      <c r="M204" s="392">
        <v>-43503</v>
      </c>
      <c r="N204" s="392">
        <v>281758</v>
      </c>
      <c r="O204" s="392">
        <v>118622</v>
      </c>
      <c r="P204" s="392">
        <v>0</v>
      </c>
      <c r="Q204" s="392">
        <v>2152696</v>
      </c>
      <c r="R204" s="392">
        <v>1824093</v>
      </c>
      <c r="S204" s="392">
        <v>4197</v>
      </c>
      <c r="T204" s="392">
        <v>217610</v>
      </c>
      <c r="U204" s="392">
        <v>540693</v>
      </c>
      <c r="V204" s="392">
        <v>6718</v>
      </c>
      <c r="W204" s="392">
        <v>91998</v>
      </c>
      <c r="X204" s="392">
        <v>164755</v>
      </c>
      <c r="Y204" s="392">
        <v>123477</v>
      </c>
      <c r="Z204" s="392">
        <v>0</v>
      </c>
      <c r="AA204" s="392">
        <v>3262949</v>
      </c>
      <c r="AB204" s="392">
        <v>0</v>
      </c>
      <c r="AC204" s="392">
        <v>650449</v>
      </c>
      <c r="AD204" s="392">
        <v>47131</v>
      </c>
      <c r="AE204" s="392">
        <v>73797</v>
      </c>
      <c r="AF204" s="392">
        <v>322651</v>
      </c>
      <c r="AG204" s="392">
        <v>7330517</v>
      </c>
      <c r="AH204" s="392">
        <v>0</v>
      </c>
      <c r="AI204" s="392">
        <v>431888</v>
      </c>
      <c r="AJ204" s="392">
        <v>620</v>
      </c>
      <c r="AK204" s="392">
        <v>7763025</v>
      </c>
      <c r="AL204" s="392">
        <v>2211179</v>
      </c>
      <c r="AM204" s="392">
        <v>4332014</v>
      </c>
      <c r="AN204" s="392">
        <v>102711</v>
      </c>
      <c r="AO204" s="392">
        <v>320126</v>
      </c>
      <c r="AP204" s="392">
        <v>211522</v>
      </c>
      <c r="AQ204" s="392">
        <v>309468</v>
      </c>
      <c r="AR204" s="392">
        <v>223215</v>
      </c>
      <c r="AS204" s="392">
        <v>447294</v>
      </c>
      <c r="AT204" s="392">
        <v>191168</v>
      </c>
      <c r="AU204" s="392">
        <v>236075</v>
      </c>
      <c r="AV204" s="392">
        <v>69106</v>
      </c>
      <c r="AW204" s="392">
        <v>676775</v>
      </c>
      <c r="AX204" s="392">
        <v>216098</v>
      </c>
      <c r="AY204" s="786">
        <v>485937</v>
      </c>
      <c r="AZ204" s="392">
        <v>2152696</v>
      </c>
      <c r="BA204" s="639">
        <f>SUM(SNAMEB[[#This Row],[Instruction Expenditures]:[Transfers Out/OtherFinancing]])+SUM(SNAMEB[[#This Row],[General Fund Balance]:[Other Enterprise FundBalance]])</f>
        <v>9974204</v>
      </c>
      <c r="BB204" s="639">
        <f>SUM(SNAMEB[[#This Row],[Property Tax Revenue]:[IDEA/Other Fed Revenue]])+SNAMEB[General Long-term DebtProceeds]+SNAMEB[TransfersIn/Other Financing]+SNAMEB[Fixed Asset Disposition]+SNAMEB[Beginning Fund Balance]</f>
        <v>9974205</v>
      </c>
    </row>
    <row r="205" spans="1:54" x14ac:dyDescent="0.2">
      <c r="A205" s="390">
        <v>5</v>
      </c>
      <c r="B205" s="391" t="s">
        <v>281</v>
      </c>
      <c r="C205" s="631">
        <v>4644</v>
      </c>
      <c r="D205" t="s">
        <v>645</v>
      </c>
      <c r="E205" s="392">
        <v>1237357</v>
      </c>
      <c r="F205" s="392">
        <v>98814</v>
      </c>
      <c r="G205" s="392">
        <v>245628</v>
      </c>
      <c r="H205" s="392">
        <v>0</v>
      </c>
      <c r="I205" s="392">
        <v>0</v>
      </c>
      <c r="J205" s="392">
        <v>0</v>
      </c>
      <c r="K205" s="392">
        <v>447696</v>
      </c>
      <c r="L205" s="392">
        <v>-75597</v>
      </c>
      <c r="M205" s="392">
        <v>0</v>
      </c>
      <c r="N205" s="392">
        <v>24162</v>
      </c>
      <c r="O205" s="392">
        <v>25391</v>
      </c>
      <c r="P205" s="392">
        <v>10988</v>
      </c>
      <c r="Q205" s="392">
        <v>2014439</v>
      </c>
      <c r="R205" s="392">
        <v>2855914</v>
      </c>
      <c r="S205" s="392">
        <v>66915</v>
      </c>
      <c r="T205" s="392">
        <v>158379</v>
      </c>
      <c r="U205" s="392">
        <v>252555</v>
      </c>
      <c r="V205" s="392">
        <v>6737</v>
      </c>
      <c r="W205" s="392">
        <v>111375</v>
      </c>
      <c r="X205" s="392">
        <v>244118</v>
      </c>
      <c r="Y205" s="392">
        <v>208824</v>
      </c>
      <c r="Z205" s="392">
        <v>0</v>
      </c>
      <c r="AA205" s="392">
        <v>2348317</v>
      </c>
      <c r="AB205" s="392">
        <v>0</v>
      </c>
      <c r="AC205" s="392">
        <v>483127</v>
      </c>
      <c r="AD205" s="392">
        <v>83380</v>
      </c>
      <c r="AE205" s="392">
        <v>93432</v>
      </c>
      <c r="AF205" s="392">
        <v>330935</v>
      </c>
      <c r="AG205" s="392">
        <v>7244006</v>
      </c>
      <c r="AH205" s="392">
        <v>190837</v>
      </c>
      <c r="AI205" s="392">
        <v>142989</v>
      </c>
      <c r="AJ205" s="392">
        <v>0</v>
      </c>
      <c r="AK205" s="392">
        <v>7577832</v>
      </c>
      <c r="AL205" s="392">
        <v>2106099</v>
      </c>
      <c r="AM205" s="392">
        <v>3941947</v>
      </c>
      <c r="AN205" s="392">
        <v>179121</v>
      </c>
      <c r="AO205" s="392">
        <v>234351</v>
      </c>
      <c r="AP205" s="392">
        <v>367155</v>
      </c>
      <c r="AQ205" s="392">
        <v>291948</v>
      </c>
      <c r="AR205" s="392">
        <v>157432</v>
      </c>
      <c r="AS205" s="392">
        <v>501387</v>
      </c>
      <c r="AT205" s="392">
        <v>280851</v>
      </c>
      <c r="AU205" s="392">
        <v>307706</v>
      </c>
      <c r="AV205" s="392">
        <v>425667</v>
      </c>
      <c r="AW205" s="392">
        <v>640504</v>
      </c>
      <c r="AX205" s="392">
        <v>200469</v>
      </c>
      <c r="AY205" s="786">
        <v>140954</v>
      </c>
      <c r="AZ205" s="392">
        <v>2014439</v>
      </c>
      <c r="BA205" s="639">
        <f>SUM(SNAMEB[[#This Row],[Instruction Expenditures]:[Transfers Out/OtherFinancing]])+SUM(SNAMEB[[#This Row],[General Fund Balance]:[Other Enterprise FundBalance]])</f>
        <v>9683931</v>
      </c>
      <c r="BB205" s="639">
        <f>SUM(SNAMEB[[#This Row],[Property Tax Revenue]:[IDEA/Other Fed Revenue]])+SNAMEB[General Long-term DebtProceeds]+SNAMEB[TransfersIn/Other Financing]+SNAMEB[Fixed Asset Disposition]+SNAMEB[Beginning Fund Balance]</f>
        <v>9683933</v>
      </c>
    </row>
    <row r="206" spans="1:54" x14ac:dyDescent="0.2">
      <c r="A206" s="390">
        <v>11</v>
      </c>
      <c r="B206" s="391" t="s">
        <v>284</v>
      </c>
      <c r="C206" s="631">
        <v>4725</v>
      </c>
      <c r="D206" t="s">
        <v>1197</v>
      </c>
      <c r="E206" s="392">
        <v>1835789</v>
      </c>
      <c r="F206" s="392">
        <v>412716</v>
      </c>
      <c r="G206" s="392">
        <v>922662</v>
      </c>
      <c r="H206" s="392">
        <v>0</v>
      </c>
      <c r="I206" s="392">
        <v>0</v>
      </c>
      <c r="J206" s="392">
        <v>0</v>
      </c>
      <c r="K206" s="392">
        <v>2863187</v>
      </c>
      <c r="L206" s="392">
        <v>1248426</v>
      </c>
      <c r="M206" s="392">
        <v>0</v>
      </c>
      <c r="N206" s="392">
        <v>14350</v>
      </c>
      <c r="O206" s="392">
        <v>291266</v>
      </c>
      <c r="P206" s="392">
        <v>0</v>
      </c>
      <c r="Q206" s="392">
        <v>7588396</v>
      </c>
      <c r="R206" s="392">
        <v>10838014</v>
      </c>
      <c r="S206" s="392">
        <v>151977</v>
      </c>
      <c r="T206" s="392">
        <v>483041</v>
      </c>
      <c r="U206" s="392">
        <v>204436</v>
      </c>
      <c r="V206" s="392">
        <v>7953</v>
      </c>
      <c r="W206" s="392">
        <v>557031</v>
      </c>
      <c r="X206" s="392">
        <v>526078</v>
      </c>
      <c r="Y206" s="392">
        <v>367555</v>
      </c>
      <c r="Z206" s="392">
        <v>565</v>
      </c>
      <c r="AA206" s="392">
        <v>18519516</v>
      </c>
      <c r="AB206" s="392">
        <v>0</v>
      </c>
      <c r="AC206" s="392">
        <v>2932382</v>
      </c>
      <c r="AD206" s="392">
        <v>296004</v>
      </c>
      <c r="AE206" s="392">
        <v>552735</v>
      </c>
      <c r="AF206" s="392">
        <v>1439014</v>
      </c>
      <c r="AG206" s="392">
        <v>36876299</v>
      </c>
      <c r="AH206" s="392">
        <v>0</v>
      </c>
      <c r="AI206" s="392">
        <v>0</v>
      </c>
      <c r="AJ206" s="392">
        <v>0</v>
      </c>
      <c r="AK206" s="392">
        <v>36876299</v>
      </c>
      <c r="AL206" s="392">
        <v>9123136</v>
      </c>
      <c r="AM206" s="392">
        <v>20980271</v>
      </c>
      <c r="AN206" s="392">
        <v>1205896</v>
      </c>
      <c r="AO206" s="392">
        <v>1656785</v>
      </c>
      <c r="AP206" s="392">
        <v>627276</v>
      </c>
      <c r="AQ206" s="392">
        <v>2310931</v>
      </c>
      <c r="AR206" s="392">
        <v>332180</v>
      </c>
      <c r="AS206" s="392">
        <v>3037422</v>
      </c>
      <c r="AT206" s="392">
        <v>1061958</v>
      </c>
      <c r="AU206" s="392">
        <v>1574329</v>
      </c>
      <c r="AV206" s="392">
        <v>3073811</v>
      </c>
      <c r="AW206" s="392">
        <v>1360711</v>
      </c>
      <c r="AX206" s="392">
        <v>1189469</v>
      </c>
      <c r="AY206" s="786">
        <v>0</v>
      </c>
      <c r="AZ206" s="392">
        <v>7588396</v>
      </c>
      <c r="BA206" s="639">
        <f>SUM(SNAMEB[[#This Row],[Instruction Expenditures]:[Transfers Out/OtherFinancing]])+SUM(SNAMEB[[#This Row],[General Fund Balance]:[Other Enterprise FundBalance]])</f>
        <v>45999435</v>
      </c>
      <c r="BB206" s="639">
        <f>SUM(SNAMEB[[#This Row],[Property Tax Revenue]:[IDEA/Other Fed Revenue]])+SNAMEB[General Long-term DebtProceeds]+SNAMEB[TransfersIn/Other Financing]+SNAMEB[Fixed Asset Disposition]+SNAMEB[Beginning Fund Balance]</f>
        <v>45999437</v>
      </c>
    </row>
    <row r="207" spans="1:54" x14ac:dyDescent="0.2">
      <c r="A207" s="390">
        <v>13</v>
      </c>
      <c r="B207" s="391" t="s">
        <v>200</v>
      </c>
      <c r="C207" s="631">
        <v>2673</v>
      </c>
      <c r="D207" t="s">
        <v>657</v>
      </c>
      <c r="E207" s="392">
        <v>2650409</v>
      </c>
      <c r="F207" s="392">
        <v>79603</v>
      </c>
      <c r="G207" s="392">
        <v>180445</v>
      </c>
      <c r="H207" s="392">
        <v>0</v>
      </c>
      <c r="I207" s="392">
        <v>0</v>
      </c>
      <c r="J207" s="392">
        <v>0</v>
      </c>
      <c r="K207" s="392">
        <v>778653</v>
      </c>
      <c r="L207" s="392">
        <v>88308</v>
      </c>
      <c r="M207" s="392">
        <v>8709773</v>
      </c>
      <c r="N207" s="392">
        <v>13422</v>
      </c>
      <c r="O207" s="392">
        <v>-16242</v>
      </c>
      <c r="P207" s="392">
        <v>0</v>
      </c>
      <c r="Q207" s="392">
        <v>12484372</v>
      </c>
      <c r="R207" s="392">
        <v>3284741</v>
      </c>
      <c r="S207" s="392">
        <v>72625</v>
      </c>
      <c r="T207" s="392">
        <v>265607</v>
      </c>
      <c r="U207" s="392">
        <v>209442</v>
      </c>
      <c r="V207" s="392">
        <v>7891</v>
      </c>
      <c r="W207" s="392">
        <v>182939</v>
      </c>
      <c r="X207" s="392">
        <v>200007</v>
      </c>
      <c r="Y207" s="392">
        <v>293672</v>
      </c>
      <c r="Z207" s="392">
        <v>0</v>
      </c>
      <c r="AA207" s="392">
        <v>3766073</v>
      </c>
      <c r="AB207" s="392">
        <v>0</v>
      </c>
      <c r="AC207" s="392">
        <v>973095</v>
      </c>
      <c r="AD207" s="392">
        <v>54591</v>
      </c>
      <c r="AE207" s="392">
        <v>102258</v>
      </c>
      <c r="AF207" s="392">
        <v>308707</v>
      </c>
      <c r="AG207" s="392">
        <v>9721648</v>
      </c>
      <c r="AH207" s="392">
        <v>9654426</v>
      </c>
      <c r="AI207" s="392">
        <v>432420</v>
      </c>
      <c r="AJ207" s="392">
        <v>1200</v>
      </c>
      <c r="AK207" s="392">
        <v>19809694</v>
      </c>
      <c r="AL207" s="392">
        <v>3316401</v>
      </c>
      <c r="AM207" s="392">
        <v>5298723</v>
      </c>
      <c r="AN207" s="392">
        <v>129885</v>
      </c>
      <c r="AO207" s="392">
        <v>254324</v>
      </c>
      <c r="AP207" s="392">
        <v>290283</v>
      </c>
      <c r="AQ207" s="392">
        <v>391968</v>
      </c>
      <c r="AR207" s="392">
        <v>80094</v>
      </c>
      <c r="AS207" s="392">
        <v>767437</v>
      </c>
      <c r="AT207" s="392">
        <v>426700</v>
      </c>
      <c r="AU207" s="392">
        <v>407212</v>
      </c>
      <c r="AV207" s="392">
        <v>998488</v>
      </c>
      <c r="AW207" s="392">
        <v>892881</v>
      </c>
      <c r="AX207" s="392">
        <v>271308</v>
      </c>
      <c r="AY207" s="786">
        <v>432420</v>
      </c>
      <c r="AZ207" s="392">
        <v>12484372</v>
      </c>
      <c r="BA207" s="639">
        <f>SUM(SNAMEB[[#This Row],[Instruction Expenditures]:[Transfers Out/OtherFinancing]])+SUM(SNAMEB[[#This Row],[General Fund Balance]:[Other Enterprise FundBalance]])</f>
        <v>23126094</v>
      </c>
      <c r="BB207" s="639">
        <f>SUM(SNAMEB[[#This Row],[Property Tax Revenue]:[IDEA/Other Fed Revenue]])+SNAMEB[General Long-term DebtProceeds]+SNAMEB[TransfersIn/Other Financing]+SNAMEB[Fixed Asset Disposition]+SNAMEB[Beginning Fund Balance]</f>
        <v>23126095</v>
      </c>
    </row>
    <row r="208" spans="1:54" x14ac:dyDescent="0.2">
      <c r="A208" s="390">
        <v>7</v>
      </c>
      <c r="B208" s="409" t="s">
        <v>86</v>
      </c>
      <c r="C208" s="631">
        <v>153</v>
      </c>
      <c r="D208" t="s">
        <v>1482</v>
      </c>
      <c r="E208" s="392">
        <v>1035231</v>
      </c>
      <c r="F208" s="392">
        <v>145264</v>
      </c>
      <c r="G208" s="392">
        <v>182290</v>
      </c>
      <c r="H208" s="392">
        <v>0</v>
      </c>
      <c r="I208" s="392">
        <v>0</v>
      </c>
      <c r="J208" s="392">
        <v>0</v>
      </c>
      <c r="K208" s="392">
        <v>342307</v>
      </c>
      <c r="L208" s="392">
        <v>474922</v>
      </c>
      <c r="M208" s="392">
        <v>0</v>
      </c>
      <c r="N208" s="392">
        <v>4791</v>
      </c>
      <c r="O208" s="392">
        <v>21487</v>
      </c>
      <c r="P208" s="392">
        <v>-6430</v>
      </c>
      <c r="Q208" s="392">
        <v>2199862</v>
      </c>
      <c r="R208" s="392">
        <v>2988613</v>
      </c>
      <c r="S208" s="392">
        <v>62966</v>
      </c>
      <c r="T208" s="392">
        <v>165149</v>
      </c>
      <c r="U208" s="392">
        <v>576104</v>
      </c>
      <c r="V208" s="392">
        <v>7925</v>
      </c>
      <c r="W208" s="392">
        <v>206751</v>
      </c>
      <c r="X208" s="392">
        <v>137979</v>
      </c>
      <c r="Y208" s="392">
        <v>375796</v>
      </c>
      <c r="Z208" s="392">
        <v>0</v>
      </c>
      <c r="AA208" s="392">
        <v>3760492</v>
      </c>
      <c r="AB208" s="392">
        <v>0</v>
      </c>
      <c r="AC208" s="392">
        <v>599727</v>
      </c>
      <c r="AD208" s="392">
        <v>31233</v>
      </c>
      <c r="AE208" s="392">
        <v>51957</v>
      </c>
      <c r="AF208" s="392">
        <v>370382</v>
      </c>
      <c r="AG208" s="392">
        <v>9335073</v>
      </c>
      <c r="AH208" s="392">
        <v>0</v>
      </c>
      <c r="AI208" s="392">
        <v>472829</v>
      </c>
      <c r="AJ208" s="392">
        <v>0</v>
      </c>
      <c r="AK208" s="392">
        <v>9807902</v>
      </c>
      <c r="AL208" s="392">
        <v>2324419</v>
      </c>
      <c r="AM208" s="392">
        <v>5022557</v>
      </c>
      <c r="AN208" s="392">
        <v>106138</v>
      </c>
      <c r="AO208" s="392">
        <v>304781</v>
      </c>
      <c r="AP208" s="392">
        <v>233327</v>
      </c>
      <c r="AQ208" s="392">
        <v>419512</v>
      </c>
      <c r="AR208" s="392">
        <v>108316</v>
      </c>
      <c r="AS208" s="392">
        <v>609518</v>
      </c>
      <c r="AT208" s="392">
        <v>464410</v>
      </c>
      <c r="AU208" s="392">
        <v>356082</v>
      </c>
      <c r="AV208" s="392">
        <v>1033643</v>
      </c>
      <c r="AW208" s="392">
        <v>536920</v>
      </c>
      <c r="AX208" s="392">
        <v>276596</v>
      </c>
      <c r="AY208" s="786">
        <v>460660</v>
      </c>
      <c r="AZ208" s="392">
        <v>2199862</v>
      </c>
      <c r="BA208" s="639">
        <f>SUM(SNAMEB[[#This Row],[Instruction Expenditures]:[Transfers Out/OtherFinancing]])+SUM(SNAMEB[[#This Row],[General Fund Balance]:[Other Enterprise FundBalance]])</f>
        <v>12132322</v>
      </c>
      <c r="BB208" s="639">
        <f>SUM(SNAMEB[[#This Row],[Property Tax Revenue]:[IDEA/Other Fed Revenue]])+SNAMEB[General Long-term DebtProceeds]+SNAMEB[TransfersIn/Other Financing]+SNAMEB[Fixed Asset Disposition]+SNAMEB[Beginning Fund Balance]</f>
        <v>12132322</v>
      </c>
    </row>
    <row r="209" spans="1:54" x14ac:dyDescent="0.2">
      <c r="A209" s="390">
        <v>10</v>
      </c>
      <c r="B209" s="391" t="s">
        <v>242</v>
      </c>
      <c r="C209" s="631">
        <v>3691</v>
      </c>
      <c r="D209" t="s">
        <v>1161</v>
      </c>
      <c r="E209" s="392">
        <v>877889</v>
      </c>
      <c r="F209" s="392">
        <v>81949</v>
      </c>
      <c r="G209" s="392">
        <v>238047</v>
      </c>
      <c r="H209" s="392">
        <v>0</v>
      </c>
      <c r="I209" s="392">
        <v>0</v>
      </c>
      <c r="J209" s="392">
        <v>0</v>
      </c>
      <c r="K209" s="392">
        <v>1509263</v>
      </c>
      <c r="L209" s="392">
        <v>499006</v>
      </c>
      <c r="M209" s="392">
        <v>0</v>
      </c>
      <c r="N209" s="392">
        <v>11234</v>
      </c>
      <c r="O209" s="392">
        <v>-66599</v>
      </c>
      <c r="P209" s="392">
        <v>16264</v>
      </c>
      <c r="Q209" s="392">
        <v>3167053</v>
      </c>
      <c r="R209" s="392">
        <v>4317769</v>
      </c>
      <c r="S209" s="392">
        <v>62670</v>
      </c>
      <c r="T209" s="392">
        <v>460293</v>
      </c>
      <c r="U209" s="392">
        <v>305614</v>
      </c>
      <c r="V209" s="392">
        <v>11151</v>
      </c>
      <c r="W209" s="392">
        <v>251193</v>
      </c>
      <c r="X209" s="392">
        <v>167314</v>
      </c>
      <c r="Y209" s="392">
        <v>88154</v>
      </c>
      <c r="Z209" s="392">
        <v>0</v>
      </c>
      <c r="AA209" s="392">
        <v>4981872</v>
      </c>
      <c r="AB209" s="392">
        <v>0</v>
      </c>
      <c r="AC209" s="392">
        <v>1063359</v>
      </c>
      <c r="AD209" s="392">
        <v>36341</v>
      </c>
      <c r="AE209" s="392">
        <v>87762</v>
      </c>
      <c r="AF209" s="392">
        <v>357230</v>
      </c>
      <c r="AG209" s="392">
        <v>12190719</v>
      </c>
      <c r="AH209" s="392">
        <v>0</v>
      </c>
      <c r="AI209" s="392">
        <v>593754</v>
      </c>
      <c r="AJ209" s="392">
        <v>0</v>
      </c>
      <c r="AK209" s="392">
        <v>12784474</v>
      </c>
      <c r="AL209" s="392">
        <v>4535792</v>
      </c>
      <c r="AM209" s="392">
        <v>6585657</v>
      </c>
      <c r="AN209" s="392">
        <v>239631</v>
      </c>
      <c r="AO209" s="392">
        <v>195536</v>
      </c>
      <c r="AP209" s="392">
        <v>291049</v>
      </c>
      <c r="AQ209" s="392">
        <v>341059</v>
      </c>
      <c r="AR209" s="392">
        <v>532305</v>
      </c>
      <c r="AS209" s="392">
        <v>955250</v>
      </c>
      <c r="AT209" s="392">
        <v>565851</v>
      </c>
      <c r="AU209" s="392">
        <v>472303</v>
      </c>
      <c r="AV209" s="392">
        <v>1407728</v>
      </c>
      <c r="AW209" s="392">
        <v>1265536</v>
      </c>
      <c r="AX209" s="392">
        <v>361756</v>
      </c>
      <c r="AY209" s="786">
        <v>939552</v>
      </c>
      <c r="AZ209" s="392">
        <v>3167053</v>
      </c>
      <c r="BA209" s="639">
        <f>SUM(SNAMEB[[#This Row],[Instruction Expenditures]:[Transfers Out/OtherFinancing]])+SUM(SNAMEB[[#This Row],[General Fund Balance]:[Other Enterprise FundBalance]])</f>
        <v>17320266</v>
      </c>
      <c r="BB209" s="639">
        <f>SUM(SNAMEB[[#This Row],[Property Tax Revenue]:[IDEA/Other Fed Revenue]])+SNAMEB[General Long-term DebtProceeds]+SNAMEB[TransfersIn/Other Financing]+SNAMEB[Fixed Asset Disposition]+SNAMEB[Beginning Fund Balance]</f>
        <v>17320268</v>
      </c>
    </row>
    <row r="210" spans="1:54" x14ac:dyDescent="0.2">
      <c r="A210" s="390">
        <v>1</v>
      </c>
      <c r="B210" s="391" t="s">
        <v>287</v>
      </c>
      <c r="C210" s="631">
        <v>4774</v>
      </c>
      <c r="D210" t="s">
        <v>1199</v>
      </c>
      <c r="E210" s="392">
        <v>1884432</v>
      </c>
      <c r="F210" s="392">
        <v>180950</v>
      </c>
      <c r="G210" s="392">
        <v>541933</v>
      </c>
      <c r="H210" s="392">
        <v>0</v>
      </c>
      <c r="I210" s="392">
        <v>0</v>
      </c>
      <c r="J210" s="392">
        <v>0</v>
      </c>
      <c r="K210" s="392">
        <v>788743</v>
      </c>
      <c r="L210" s="392">
        <v>312831</v>
      </c>
      <c r="M210" s="392">
        <v>0</v>
      </c>
      <c r="N210" s="392">
        <v>0</v>
      </c>
      <c r="O210" s="392">
        <v>81460</v>
      </c>
      <c r="P210" s="392">
        <v>0</v>
      </c>
      <c r="Q210" s="392">
        <v>3790348</v>
      </c>
      <c r="R210" s="392">
        <v>3666470</v>
      </c>
      <c r="S210" s="392">
        <v>76056</v>
      </c>
      <c r="T210" s="392">
        <v>350147</v>
      </c>
      <c r="U210" s="392">
        <v>1469964</v>
      </c>
      <c r="V210" s="392">
        <v>3530</v>
      </c>
      <c r="W210" s="392">
        <v>230995</v>
      </c>
      <c r="X210" s="392">
        <v>428739</v>
      </c>
      <c r="Y210" s="392">
        <v>276122</v>
      </c>
      <c r="Z210" s="392">
        <v>32147</v>
      </c>
      <c r="AA210" s="392">
        <v>5082531</v>
      </c>
      <c r="AB210" s="392">
        <v>0</v>
      </c>
      <c r="AC210" s="392">
        <v>1009866</v>
      </c>
      <c r="AD210" s="392">
        <v>65644</v>
      </c>
      <c r="AE210" s="392">
        <v>119988</v>
      </c>
      <c r="AF210" s="392">
        <v>395303</v>
      </c>
      <c r="AG210" s="392">
        <v>13207502</v>
      </c>
      <c r="AH210" s="392">
        <v>255543</v>
      </c>
      <c r="AI210" s="392">
        <v>259167</v>
      </c>
      <c r="AJ210" s="392">
        <v>8915</v>
      </c>
      <c r="AK210" s="392">
        <v>13731127</v>
      </c>
      <c r="AL210" s="392">
        <v>3682862</v>
      </c>
      <c r="AM210" s="392">
        <v>8266849</v>
      </c>
      <c r="AN210" s="392">
        <v>300313</v>
      </c>
      <c r="AO210" s="392">
        <v>386297</v>
      </c>
      <c r="AP210" s="392">
        <v>343910</v>
      </c>
      <c r="AQ210" s="392">
        <v>446803</v>
      </c>
      <c r="AR210" s="392">
        <v>96807</v>
      </c>
      <c r="AS210" s="392">
        <v>733589</v>
      </c>
      <c r="AT210" s="392">
        <v>751016</v>
      </c>
      <c r="AU210" s="392">
        <v>550639</v>
      </c>
      <c r="AV210" s="392">
        <v>875121</v>
      </c>
      <c r="AW210" s="392">
        <v>259167</v>
      </c>
      <c r="AX210" s="392">
        <v>353965</v>
      </c>
      <c r="AY210" s="786">
        <v>259167</v>
      </c>
      <c r="AZ210" s="392">
        <v>3790348</v>
      </c>
      <c r="BA210" s="639">
        <f>SUM(SNAMEB[[#This Row],[Instruction Expenditures]:[Transfers Out/OtherFinancing]])+SUM(SNAMEB[[#This Row],[General Fund Balance]:[Other Enterprise FundBalance]])</f>
        <v>17413992</v>
      </c>
      <c r="BB210" s="639">
        <f>SUM(SNAMEB[[#This Row],[Property Tax Revenue]:[IDEA/Other Fed Revenue]])+SNAMEB[General Long-term DebtProceeds]+SNAMEB[TransfersIn/Other Financing]+SNAMEB[Fixed Asset Disposition]+SNAMEB[Beginning Fund Balance]</f>
        <v>17413989</v>
      </c>
    </row>
    <row r="211" spans="1:54" x14ac:dyDescent="0.2">
      <c r="A211" s="390">
        <v>7</v>
      </c>
      <c r="B211" s="391" t="s">
        <v>115</v>
      </c>
      <c r="C211" s="631">
        <v>873</v>
      </c>
      <c r="D211" t="s">
        <v>1040</v>
      </c>
      <c r="E211" s="392">
        <v>201765</v>
      </c>
      <c r="F211" s="392">
        <v>93116</v>
      </c>
      <c r="G211" s="392">
        <v>225896</v>
      </c>
      <c r="H211" s="392">
        <v>348</v>
      </c>
      <c r="I211" s="392">
        <v>0</v>
      </c>
      <c r="J211" s="392">
        <v>0</v>
      </c>
      <c r="K211" s="392">
        <v>411485</v>
      </c>
      <c r="L211" s="392">
        <v>27151</v>
      </c>
      <c r="M211" s="392">
        <v>0</v>
      </c>
      <c r="N211" s="392">
        <v>724397</v>
      </c>
      <c r="O211" s="392">
        <v>42682</v>
      </c>
      <c r="P211" s="392">
        <v>59806</v>
      </c>
      <c r="Q211" s="392">
        <v>1786646</v>
      </c>
      <c r="R211" s="392">
        <v>3033127</v>
      </c>
      <c r="S211" s="392">
        <v>33569</v>
      </c>
      <c r="T211" s="392">
        <v>184718</v>
      </c>
      <c r="U211" s="392">
        <v>305847</v>
      </c>
      <c r="V211" s="392">
        <v>6714</v>
      </c>
      <c r="W211" s="392">
        <v>128873</v>
      </c>
      <c r="X211" s="392">
        <v>250344</v>
      </c>
      <c r="Y211" s="392">
        <v>174276</v>
      </c>
      <c r="Z211" s="392">
        <v>0</v>
      </c>
      <c r="AA211" s="392">
        <v>2081750</v>
      </c>
      <c r="AB211" s="392">
        <v>0</v>
      </c>
      <c r="AC211" s="392">
        <v>479574</v>
      </c>
      <c r="AD211" s="392">
        <v>36296</v>
      </c>
      <c r="AE211" s="392">
        <v>104099</v>
      </c>
      <c r="AF211" s="392">
        <v>347979</v>
      </c>
      <c r="AG211" s="392">
        <v>7167166</v>
      </c>
      <c r="AH211" s="392">
        <v>0</v>
      </c>
      <c r="AI211" s="392">
        <v>162498</v>
      </c>
      <c r="AJ211" s="392">
        <v>0</v>
      </c>
      <c r="AK211" s="392">
        <v>7329664</v>
      </c>
      <c r="AL211" s="392">
        <v>2067894</v>
      </c>
      <c r="AM211" s="392">
        <v>4220826</v>
      </c>
      <c r="AN211" s="392">
        <v>291798</v>
      </c>
      <c r="AO211" s="392">
        <v>295815</v>
      </c>
      <c r="AP211" s="392">
        <v>197087</v>
      </c>
      <c r="AQ211" s="392">
        <v>379880</v>
      </c>
      <c r="AR211" s="392">
        <v>131495</v>
      </c>
      <c r="AS211" s="392">
        <v>497392</v>
      </c>
      <c r="AT211" s="392">
        <v>220272</v>
      </c>
      <c r="AU211" s="392">
        <v>297671</v>
      </c>
      <c r="AV211" s="392">
        <v>271197</v>
      </c>
      <c r="AW211" s="392">
        <v>441673</v>
      </c>
      <c r="AX211" s="392">
        <v>201942</v>
      </c>
      <c r="AY211" s="786">
        <v>163865</v>
      </c>
      <c r="AZ211" s="392">
        <v>1786646</v>
      </c>
      <c r="BA211" s="639">
        <f>SUM(SNAMEB[[#This Row],[Instruction Expenditures]:[Transfers Out/OtherFinancing]])+SUM(SNAMEB[[#This Row],[General Fund Balance]:[Other Enterprise FundBalance]])</f>
        <v>9397559</v>
      </c>
      <c r="BB211" s="639">
        <f>SUM(SNAMEB[[#This Row],[Property Tax Revenue]:[IDEA/Other Fed Revenue]])+SNAMEB[General Long-term DebtProceeds]+SNAMEB[TransfersIn/Other Financing]+SNAMEB[Fixed Asset Disposition]+SNAMEB[Beginning Fund Balance]</f>
        <v>9397558</v>
      </c>
    </row>
    <row r="212" spans="1:54" x14ac:dyDescent="0.2">
      <c r="A212" s="390">
        <v>5</v>
      </c>
      <c r="B212" s="391" t="s">
        <v>291</v>
      </c>
      <c r="C212" s="631">
        <v>4778</v>
      </c>
      <c r="D212" t="s">
        <v>1238</v>
      </c>
      <c r="E212" s="392">
        <v>1001833</v>
      </c>
      <c r="F212" s="392">
        <v>30835</v>
      </c>
      <c r="G212" s="392">
        <v>92223</v>
      </c>
      <c r="H212" s="392">
        <v>0</v>
      </c>
      <c r="I212" s="392">
        <v>0</v>
      </c>
      <c r="J212" s="392">
        <v>0</v>
      </c>
      <c r="K212" s="392">
        <v>169555</v>
      </c>
      <c r="L212" s="392">
        <v>10597</v>
      </c>
      <c r="M212" s="392">
        <v>0</v>
      </c>
      <c r="N212" s="392">
        <v>0</v>
      </c>
      <c r="O212" s="392">
        <v>-11932</v>
      </c>
      <c r="P212" s="392">
        <v>0</v>
      </c>
      <c r="Q212" s="392">
        <v>1293110</v>
      </c>
      <c r="R212" s="392">
        <v>1971018</v>
      </c>
      <c r="S212" s="392">
        <v>87851</v>
      </c>
      <c r="T212" s="392">
        <v>135520</v>
      </c>
      <c r="U212" s="392">
        <v>990498</v>
      </c>
      <c r="V212" s="392">
        <v>1707</v>
      </c>
      <c r="W212" s="392">
        <v>68916</v>
      </c>
      <c r="X212" s="392">
        <v>20222</v>
      </c>
      <c r="Y212" s="392">
        <v>223218</v>
      </c>
      <c r="Z212" s="392">
        <v>0</v>
      </c>
      <c r="AA212" s="392">
        <v>1112542</v>
      </c>
      <c r="AB212" s="392">
        <v>0</v>
      </c>
      <c r="AC212" s="392">
        <v>302313</v>
      </c>
      <c r="AD212" s="392">
        <v>25299</v>
      </c>
      <c r="AE212" s="392">
        <v>69057</v>
      </c>
      <c r="AF212" s="392">
        <v>194175</v>
      </c>
      <c r="AG212" s="392">
        <v>5202337</v>
      </c>
      <c r="AH212" s="392">
        <v>0</v>
      </c>
      <c r="AI212" s="392">
        <v>3821</v>
      </c>
      <c r="AJ212" s="392">
        <v>0</v>
      </c>
      <c r="AK212" s="392">
        <v>5206159</v>
      </c>
      <c r="AL212" s="392">
        <v>1486466</v>
      </c>
      <c r="AM212" s="392">
        <v>3465973</v>
      </c>
      <c r="AN212" s="392">
        <v>84394</v>
      </c>
      <c r="AO212" s="392">
        <v>111979</v>
      </c>
      <c r="AP212" s="392">
        <v>180890</v>
      </c>
      <c r="AQ212" s="392">
        <v>111436</v>
      </c>
      <c r="AR212" s="392">
        <v>209448</v>
      </c>
      <c r="AS212" s="392">
        <v>370542</v>
      </c>
      <c r="AT212" s="392">
        <v>304286</v>
      </c>
      <c r="AU212" s="392">
        <v>195554</v>
      </c>
      <c r="AV212" s="392">
        <v>227848</v>
      </c>
      <c r="AW212" s="392">
        <v>0</v>
      </c>
      <c r="AX212" s="392">
        <v>135458</v>
      </c>
      <c r="AY212" s="786">
        <v>1706</v>
      </c>
      <c r="AZ212" s="392">
        <v>1293110</v>
      </c>
      <c r="BA212" s="639">
        <f>SUM(SNAMEB[[#This Row],[Instruction Expenditures]:[Transfers Out/OtherFinancing]])+SUM(SNAMEB[[#This Row],[General Fund Balance]:[Other Enterprise FundBalance]])</f>
        <v>6692625</v>
      </c>
      <c r="BB212" s="639">
        <f>SUM(SNAMEB[[#This Row],[Property Tax Revenue]:[IDEA/Other Fed Revenue]])+SNAMEB[General Long-term DebtProceeds]+SNAMEB[TransfersIn/Other Financing]+SNAMEB[Fixed Asset Disposition]+SNAMEB[Beginning Fund Balance]</f>
        <v>6692623</v>
      </c>
    </row>
    <row r="213" spans="1:54" x14ac:dyDescent="0.2">
      <c r="A213" s="390">
        <v>10</v>
      </c>
      <c r="B213" s="391" t="s">
        <v>290</v>
      </c>
      <c r="C213" s="631">
        <v>4777</v>
      </c>
      <c r="D213" t="s">
        <v>1237</v>
      </c>
      <c r="E213" s="392">
        <v>2423597</v>
      </c>
      <c r="F213" s="392">
        <v>138437</v>
      </c>
      <c r="G213" s="392">
        <v>365695</v>
      </c>
      <c r="H213" s="392">
        <v>0</v>
      </c>
      <c r="I213" s="392">
        <v>0</v>
      </c>
      <c r="J213" s="392">
        <v>0</v>
      </c>
      <c r="K213" s="392">
        <v>179328</v>
      </c>
      <c r="L213" s="392">
        <v>213757</v>
      </c>
      <c r="M213" s="392">
        <v>0</v>
      </c>
      <c r="N213" s="392">
        <v>427781</v>
      </c>
      <c r="O213" s="392">
        <v>146222</v>
      </c>
      <c r="P213" s="392">
        <v>0</v>
      </c>
      <c r="Q213" s="392">
        <v>3894817</v>
      </c>
      <c r="R213" s="392">
        <v>3196764</v>
      </c>
      <c r="S213" s="392">
        <v>112466</v>
      </c>
      <c r="T213" s="392">
        <v>161816</v>
      </c>
      <c r="U213" s="392">
        <v>281910</v>
      </c>
      <c r="V213" s="392">
        <v>6319</v>
      </c>
      <c r="W213" s="392">
        <v>221742</v>
      </c>
      <c r="X213" s="392">
        <v>275130</v>
      </c>
      <c r="Y213" s="392">
        <v>150234</v>
      </c>
      <c r="Z213" s="392">
        <v>0</v>
      </c>
      <c r="AA213" s="392">
        <v>3926811</v>
      </c>
      <c r="AB213" s="392">
        <v>0</v>
      </c>
      <c r="AC213" s="392">
        <v>906839</v>
      </c>
      <c r="AD213" s="392">
        <v>75812</v>
      </c>
      <c r="AE213" s="392">
        <v>55908</v>
      </c>
      <c r="AF213" s="392">
        <v>214379</v>
      </c>
      <c r="AG213" s="392">
        <v>9586129</v>
      </c>
      <c r="AH213" s="392">
        <v>5499638</v>
      </c>
      <c r="AI213" s="392">
        <v>643117</v>
      </c>
      <c r="AJ213" s="392">
        <v>10082</v>
      </c>
      <c r="AK213" s="392">
        <v>15738966</v>
      </c>
      <c r="AL213" s="392">
        <v>3878544</v>
      </c>
      <c r="AM213" s="392">
        <v>4812747</v>
      </c>
      <c r="AN213" s="392">
        <v>170342</v>
      </c>
      <c r="AO213" s="392">
        <v>217594</v>
      </c>
      <c r="AP213" s="392">
        <v>182770</v>
      </c>
      <c r="AQ213" s="392">
        <v>324678</v>
      </c>
      <c r="AR213" s="392">
        <v>135044</v>
      </c>
      <c r="AS213" s="392">
        <v>628366</v>
      </c>
      <c r="AT213" s="392">
        <v>534272</v>
      </c>
      <c r="AU213" s="392">
        <v>349160</v>
      </c>
      <c r="AV213" s="392">
        <v>543892</v>
      </c>
      <c r="AW213" s="392">
        <v>6902458</v>
      </c>
      <c r="AX213" s="392">
        <v>278254</v>
      </c>
      <c r="AY213" s="786">
        <v>643117</v>
      </c>
      <c r="AZ213" s="392">
        <v>3894817</v>
      </c>
      <c r="BA213" s="639">
        <f>SUM(SNAMEB[[#This Row],[Instruction Expenditures]:[Transfers Out/OtherFinancing]])+SUM(SNAMEB[[#This Row],[General Fund Balance]:[Other Enterprise FundBalance]])</f>
        <v>19617511</v>
      </c>
      <c r="BB213" s="639">
        <f>SUM(SNAMEB[[#This Row],[Property Tax Revenue]:[IDEA/Other Fed Revenue]])+SNAMEB[General Long-term DebtProceeds]+SNAMEB[TransfersIn/Other Financing]+SNAMEB[Fixed Asset Disposition]+SNAMEB[Beginning Fund Balance]</f>
        <v>19617511</v>
      </c>
    </row>
    <row r="214" spans="1:54" x14ac:dyDescent="0.2">
      <c r="A214" s="390">
        <v>15</v>
      </c>
      <c r="B214" s="391" t="s">
        <v>289</v>
      </c>
      <c r="C214" s="631">
        <v>4776</v>
      </c>
      <c r="D214" t="s">
        <v>1201</v>
      </c>
      <c r="E214" s="392">
        <v>1090839</v>
      </c>
      <c r="F214" s="392">
        <v>223449</v>
      </c>
      <c r="G214" s="392">
        <v>175467</v>
      </c>
      <c r="H214" s="392">
        <v>0</v>
      </c>
      <c r="I214" s="392">
        <v>0</v>
      </c>
      <c r="J214" s="392">
        <v>0</v>
      </c>
      <c r="K214" s="392">
        <v>1096727</v>
      </c>
      <c r="L214" s="392">
        <v>151054</v>
      </c>
      <c r="M214" s="392">
        <v>3370831</v>
      </c>
      <c r="N214" s="392">
        <v>0</v>
      </c>
      <c r="O214" s="392">
        <v>-4382</v>
      </c>
      <c r="P214" s="392">
        <v>0</v>
      </c>
      <c r="Q214" s="392">
        <v>6103986</v>
      </c>
      <c r="R214" s="392">
        <v>2324124</v>
      </c>
      <c r="S214" s="392">
        <v>253510</v>
      </c>
      <c r="T214" s="392">
        <v>0</v>
      </c>
      <c r="U214" s="392">
        <v>468351</v>
      </c>
      <c r="V214" s="392">
        <v>3370</v>
      </c>
      <c r="W214" s="392">
        <v>130549</v>
      </c>
      <c r="X214" s="392">
        <v>335708</v>
      </c>
      <c r="Y214" s="392">
        <v>142283</v>
      </c>
      <c r="Z214" s="392">
        <v>11809</v>
      </c>
      <c r="AA214" s="392">
        <v>2572914</v>
      </c>
      <c r="AB214" s="392">
        <v>0</v>
      </c>
      <c r="AC214" s="392">
        <v>683104</v>
      </c>
      <c r="AD214" s="392">
        <v>16765</v>
      </c>
      <c r="AE214" s="392">
        <v>60205</v>
      </c>
      <c r="AF214" s="392">
        <v>287147</v>
      </c>
      <c r="AG214" s="392">
        <v>7289838</v>
      </c>
      <c r="AH214" s="392">
        <v>3865161</v>
      </c>
      <c r="AI214" s="392">
        <v>3735959</v>
      </c>
      <c r="AJ214" s="392">
        <v>14683</v>
      </c>
      <c r="AK214" s="392">
        <v>14905641</v>
      </c>
      <c r="AL214" s="392">
        <v>2505907</v>
      </c>
      <c r="AM214" s="392">
        <v>4854625</v>
      </c>
      <c r="AN214" s="392">
        <v>124060</v>
      </c>
      <c r="AO214" s="392">
        <v>160962</v>
      </c>
      <c r="AP214" s="392">
        <v>172446</v>
      </c>
      <c r="AQ214" s="392">
        <v>297099</v>
      </c>
      <c r="AR214" s="392">
        <v>101186</v>
      </c>
      <c r="AS214" s="392">
        <v>521321</v>
      </c>
      <c r="AT214" s="392">
        <v>272790</v>
      </c>
      <c r="AU214" s="392">
        <v>278690</v>
      </c>
      <c r="AV214" s="392">
        <v>293441</v>
      </c>
      <c r="AW214" s="392">
        <v>282382</v>
      </c>
      <c r="AX214" s="392">
        <v>210606</v>
      </c>
      <c r="AY214" s="786">
        <v>3737953</v>
      </c>
      <c r="AZ214" s="392">
        <v>6103986</v>
      </c>
      <c r="BA214" s="639">
        <f>SUM(SNAMEB[[#This Row],[Instruction Expenditures]:[Transfers Out/OtherFinancing]])+SUM(SNAMEB[[#This Row],[General Fund Balance]:[Other Enterprise FundBalance]])</f>
        <v>17411546</v>
      </c>
      <c r="BB214" s="639">
        <f>SUM(SNAMEB[[#This Row],[Property Tax Revenue]:[IDEA/Other Fed Revenue]])+SNAMEB[General Long-term DebtProceeds]+SNAMEB[TransfersIn/Other Financing]+SNAMEB[Fixed Asset Disposition]+SNAMEB[Beginning Fund Balance]</f>
        <v>17411549</v>
      </c>
    </row>
    <row r="215" spans="1:54" x14ac:dyDescent="0.2">
      <c r="A215" s="390">
        <v>11</v>
      </c>
      <c r="B215" s="391" t="s">
        <v>292</v>
      </c>
      <c r="C215" s="631">
        <v>4779</v>
      </c>
      <c r="D215" t="s">
        <v>1239</v>
      </c>
      <c r="E215" s="392">
        <v>4675894</v>
      </c>
      <c r="F215" s="392">
        <v>189141</v>
      </c>
      <c r="G215" s="392">
        <v>390439</v>
      </c>
      <c r="H215" s="392">
        <v>0</v>
      </c>
      <c r="I215" s="392">
        <v>0</v>
      </c>
      <c r="J215" s="392">
        <v>0</v>
      </c>
      <c r="K215" s="392">
        <v>3313146</v>
      </c>
      <c r="L215" s="392">
        <v>208503</v>
      </c>
      <c r="M215" s="392">
        <v>0</v>
      </c>
      <c r="N215" s="392">
        <v>364447</v>
      </c>
      <c r="O215" s="392">
        <v>410273</v>
      </c>
      <c r="P215" s="392">
        <v>0</v>
      </c>
      <c r="Q215" s="392">
        <v>9551843</v>
      </c>
      <c r="R215" s="392">
        <v>6405489</v>
      </c>
      <c r="S215" s="392">
        <v>228326</v>
      </c>
      <c r="T215" s="392">
        <v>494005</v>
      </c>
      <c r="U215" s="392">
        <v>698016</v>
      </c>
      <c r="V215" s="392">
        <v>118851</v>
      </c>
      <c r="W215" s="392">
        <v>607369</v>
      </c>
      <c r="X215" s="392">
        <v>295986</v>
      </c>
      <c r="Y215" s="392">
        <v>372011</v>
      </c>
      <c r="Z215" s="392">
        <v>6441</v>
      </c>
      <c r="AA215" s="392">
        <v>9223073</v>
      </c>
      <c r="AB215" s="392">
        <v>0</v>
      </c>
      <c r="AC215" s="392">
        <v>1487668</v>
      </c>
      <c r="AD215" s="392">
        <v>64484</v>
      </c>
      <c r="AE215" s="392">
        <v>51395</v>
      </c>
      <c r="AF215" s="392">
        <v>397361</v>
      </c>
      <c r="AG215" s="392">
        <v>20450474</v>
      </c>
      <c r="AH215" s="392">
        <v>0</v>
      </c>
      <c r="AI215" s="392">
        <v>759104</v>
      </c>
      <c r="AJ215" s="392">
        <v>13901</v>
      </c>
      <c r="AK215" s="392">
        <v>21223479</v>
      </c>
      <c r="AL215" s="392">
        <v>9246751</v>
      </c>
      <c r="AM215" s="392">
        <v>9980948</v>
      </c>
      <c r="AN215" s="392">
        <v>493077</v>
      </c>
      <c r="AO215" s="392">
        <v>624354</v>
      </c>
      <c r="AP215" s="392">
        <v>273902</v>
      </c>
      <c r="AQ215" s="392">
        <v>836012</v>
      </c>
      <c r="AR215" s="392">
        <v>323175</v>
      </c>
      <c r="AS215" s="392">
        <v>1903815</v>
      </c>
      <c r="AT215" s="392">
        <v>791051</v>
      </c>
      <c r="AU215" s="392">
        <v>750303</v>
      </c>
      <c r="AV215" s="392">
        <v>1817797</v>
      </c>
      <c r="AW215" s="392">
        <v>1808423</v>
      </c>
      <c r="AX215" s="392">
        <v>593908</v>
      </c>
      <c r="AY215" s="786">
        <v>721621</v>
      </c>
      <c r="AZ215" s="392">
        <v>9551843</v>
      </c>
      <c r="BA215" s="639">
        <f>SUM(SNAMEB[[#This Row],[Instruction Expenditures]:[Transfers Out/OtherFinancing]])+SUM(SNAMEB[[#This Row],[General Fund Balance]:[Other Enterprise FundBalance]])</f>
        <v>30470229</v>
      </c>
      <c r="BB215" s="639">
        <f>SUM(SNAMEB[[#This Row],[Property Tax Revenue]:[IDEA/Other Fed Revenue]])+SNAMEB[General Long-term DebtProceeds]+SNAMEB[TransfersIn/Other Financing]+SNAMEB[Fixed Asset Disposition]+SNAMEB[Beginning Fund Balance]</f>
        <v>30470231</v>
      </c>
    </row>
    <row r="216" spans="1:54" x14ac:dyDescent="0.2">
      <c r="A216" s="390">
        <v>9</v>
      </c>
      <c r="B216" s="391" t="s">
        <v>293</v>
      </c>
      <c r="C216" s="631">
        <v>4784</v>
      </c>
      <c r="D216" t="s">
        <v>1243</v>
      </c>
      <c r="E216" s="392">
        <v>5504350</v>
      </c>
      <c r="F216" s="392">
        <v>326497</v>
      </c>
      <c r="G216" s="392">
        <v>1249385</v>
      </c>
      <c r="H216" s="392">
        <v>0</v>
      </c>
      <c r="I216" s="392">
        <v>0</v>
      </c>
      <c r="J216" s="392">
        <v>0</v>
      </c>
      <c r="K216" s="392">
        <v>10179846</v>
      </c>
      <c r="L216" s="392">
        <v>2239401</v>
      </c>
      <c r="M216" s="392">
        <v>0</v>
      </c>
      <c r="N216" s="392">
        <v>121833</v>
      </c>
      <c r="O216" s="392">
        <v>622680</v>
      </c>
      <c r="P216" s="392">
        <v>186566</v>
      </c>
      <c r="Q216" s="392">
        <v>20430558</v>
      </c>
      <c r="R216" s="392">
        <v>12564140</v>
      </c>
      <c r="S216" s="392">
        <v>210098</v>
      </c>
      <c r="T216" s="392">
        <v>203230</v>
      </c>
      <c r="U216" s="392">
        <v>997777</v>
      </c>
      <c r="V216" s="392">
        <v>76503</v>
      </c>
      <c r="W216" s="392">
        <v>916142</v>
      </c>
      <c r="X216" s="392">
        <v>575753</v>
      </c>
      <c r="Y216" s="392">
        <v>991973</v>
      </c>
      <c r="Z216" s="392">
        <v>0</v>
      </c>
      <c r="AA216" s="392">
        <v>17341203</v>
      </c>
      <c r="AB216" s="392">
        <v>0</v>
      </c>
      <c r="AC216" s="392">
        <v>4052083</v>
      </c>
      <c r="AD216" s="392">
        <v>429214</v>
      </c>
      <c r="AE216" s="392">
        <v>230374</v>
      </c>
      <c r="AF216" s="392">
        <v>1951163</v>
      </c>
      <c r="AG216" s="392">
        <v>40539653</v>
      </c>
      <c r="AH216" s="392">
        <v>0</v>
      </c>
      <c r="AI216" s="392">
        <v>1355663</v>
      </c>
      <c r="AJ216" s="392">
        <v>76444</v>
      </c>
      <c r="AK216" s="392">
        <v>41971760</v>
      </c>
      <c r="AL216" s="392">
        <v>19930115</v>
      </c>
      <c r="AM216" s="392">
        <v>22566997</v>
      </c>
      <c r="AN216" s="392">
        <v>1514942</v>
      </c>
      <c r="AO216" s="392">
        <v>1562753</v>
      </c>
      <c r="AP216" s="392">
        <v>418474</v>
      </c>
      <c r="AQ216" s="392">
        <v>1921263</v>
      </c>
      <c r="AR216" s="392">
        <v>1385400</v>
      </c>
      <c r="AS216" s="392">
        <v>2916305</v>
      </c>
      <c r="AT216" s="392">
        <v>1221126</v>
      </c>
      <c r="AU216" s="392">
        <v>1615775</v>
      </c>
      <c r="AV216" s="392">
        <v>2356208</v>
      </c>
      <c r="AW216" s="392">
        <v>1357005</v>
      </c>
      <c r="AX216" s="392">
        <v>1247226</v>
      </c>
      <c r="AY216" s="786">
        <v>1387842</v>
      </c>
      <c r="AZ216" s="392">
        <v>20430558</v>
      </c>
      <c r="BA216" s="639">
        <f>SUM(SNAMEB[[#This Row],[Instruction Expenditures]:[Transfers Out/OtherFinancing]])+SUM(SNAMEB[[#This Row],[General Fund Balance]:[Other Enterprise FundBalance]])</f>
        <v>61901874</v>
      </c>
      <c r="BB216" s="639">
        <f>SUM(SNAMEB[[#This Row],[Property Tax Revenue]:[IDEA/Other Fed Revenue]])+SNAMEB[General Long-term DebtProceeds]+SNAMEB[TransfersIn/Other Financing]+SNAMEB[Fixed Asset Disposition]+SNAMEB[Beginning Fund Balance]</f>
        <v>61901875</v>
      </c>
    </row>
    <row r="217" spans="1:54" x14ac:dyDescent="0.2">
      <c r="A217" s="390">
        <v>7</v>
      </c>
      <c r="B217" s="391" t="s">
        <v>294</v>
      </c>
      <c r="C217" s="631">
        <v>4785</v>
      </c>
      <c r="D217" t="s">
        <v>1244</v>
      </c>
      <c r="E217" s="392">
        <v>1216331</v>
      </c>
      <c r="F217" s="392">
        <v>114205</v>
      </c>
      <c r="G217" s="392">
        <v>605684</v>
      </c>
      <c r="H217" s="392">
        <v>0</v>
      </c>
      <c r="I217" s="392">
        <v>0</v>
      </c>
      <c r="J217" s="392">
        <v>0</v>
      </c>
      <c r="K217" s="392">
        <v>608631</v>
      </c>
      <c r="L217" s="392">
        <v>117379</v>
      </c>
      <c r="M217" s="392">
        <v>0</v>
      </c>
      <c r="N217" s="392">
        <v>289776</v>
      </c>
      <c r="O217" s="392">
        <v>-5788</v>
      </c>
      <c r="P217" s="392">
        <v>26816</v>
      </c>
      <c r="Q217" s="392">
        <v>2973034</v>
      </c>
      <c r="R217" s="392">
        <v>1705201</v>
      </c>
      <c r="S217" s="392">
        <v>27218</v>
      </c>
      <c r="T217" s="392">
        <v>243896</v>
      </c>
      <c r="U217" s="392">
        <v>305262</v>
      </c>
      <c r="V217" s="392">
        <v>4359</v>
      </c>
      <c r="W217" s="392">
        <v>124842</v>
      </c>
      <c r="X217" s="392">
        <v>204910</v>
      </c>
      <c r="Y217" s="392">
        <v>252342</v>
      </c>
      <c r="Z217" s="392">
        <v>0</v>
      </c>
      <c r="AA217" s="392">
        <v>2585542</v>
      </c>
      <c r="AB217" s="392">
        <v>0</v>
      </c>
      <c r="AC217" s="392">
        <v>486603</v>
      </c>
      <c r="AD217" s="392">
        <v>21391</v>
      </c>
      <c r="AE217" s="392">
        <v>61938</v>
      </c>
      <c r="AF217" s="392">
        <v>186756</v>
      </c>
      <c r="AG217" s="392">
        <v>6210259</v>
      </c>
      <c r="AH217" s="392">
        <v>0</v>
      </c>
      <c r="AI217" s="392">
        <v>294990</v>
      </c>
      <c r="AJ217" s="392">
        <v>3402</v>
      </c>
      <c r="AK217" s="392">
        <v>6508651</v>
      </c>
      <c r="AL217" s="392">
        <v>3107870</v>
      </c>
      <c r="AM217" s="392">
        <v>3679967</v>
      </c>
      <c r="AN217" s="392">
        <v>206759</v>
      </c>
      <c r="AO217" s="392">
        <v>92543</v>
      </c>
      <c r="AP217" s="392">
        <v>266886</v>
      </c>
      <c r="AQ217" s="392">
        <v>332247</v>
      </c>
      <c r="AR217" s="392">
        <v>126040</v>
      </c>
      <c r="AS217" s="392">
        <v>343802</v>
      </c>
      <c r="AT217" s="392">
        <v>262197</v>
      </c>
      <c r="AU217" s="392">
        <v>245934</v>
      </c>
      <c r="AV217" s="392">
        <v>244692</v>
      </c>
      <c r="AW217" s="392">
        <v>290965</v>
      </c>
      <c r="AX217" s="392">
        <v>212424</v>
      </c>
      <c r="AY217" s="786">
        <v>339030</v>
      </c>
      <c r="AZ217" s="392">
        <v>2973034</v>
      </c>
      <c r="BA217" s="639">
        <f>SUM(SNAMEB[[#This Row],[Instruction Expenditures]:[Transfers Out/OtherFinancing]])+SUM(SNAMEB[[#This Row],[General Fund Balance]:[Other Enterprise FundBalance]])</f>
        <v>9616520</v>
      </c>
      <c r="BB217" s="639">
        <f>SUM(SNAMEB[[#This Row],[Property Tax Revenue]:[IDEA/Other Fed Revenue]])+SNAMEB[General Long-term DebtProceeds]+SNAMEB[TransfersIn/Other Financing]+SNAMEB[Fixed Asset Disposition]+SNAMEB[Beginning Fund Balance]</f>
        <v>9616522</v>
      </c>
    </row>
    <row r="218" spans="1:54" x14ac:dyDescent="0.2">
      <c r="A218" s="390">
        <v>5</v>
      </c>
      <c r="B218" s="391" t="s">
        <v>93</v>
      </c>
      <c r="C218" s="631">
        <v>333</v>
      </c>
      <c r="D218" t="s">
        <v>1635</v>
      </c>
      <c r="E218" s="392">
        <v>1584760</v>
      </c>
      <c r="F218" s="392">
        <v>118641</v>
      </c>
      <c r="G218" s="392">
        <v>361749</v>
      </c>
      <c r="H218" s="392">
        <v>0</v>
      </c>
      <c r="I218" s="392">
        <v>0</v>
      </c>
      <c r="J218" s="392">
        <v>0</v>
      </c>
      <c r="K218" s="392">
        <v>1416179</v>
      </c>
      <c r="L218" s="392">
        <v>766425</v>
      </c>
      <c r="M218" s="392">
        <v>0</v>
      </c>
      <c r="N218" s="392">
        <v>33919</v>
      </c>
      <c r="O218" s="392">
        <v>-59422</v>
      </c>
      <c r="P218" s="392">
        <v>0</v>
      </c>
      <c r="Q218" s="392">
        <v>4222250</v>
      </c>
      <c r="R218" s="392">
        <v>3069369</v>
      </c>
      <c r="S218" s="392">
        <v>64952</v>
      </c>
      <c r="T218" s="392">
        <v>335225</v>
      </c>
      <c r="U218" s="392">
        <v>849463</v>
      </c>
      <c r="V218" s="392">
        <v>35258</v>
      </c>
      <c r="W218" s="392">
        <v>102191</v>
      </c>
      <c r="X218" s="392">
        <v>221813</v>
      </c>
      <c r="Y218" s="392">
        <v>109904</v>
      </c>
      <c r="Z218" s="392">
        <v>0</v>
      </c>
      <c r="AA218" s="392">
        <v>2048439</v>
      </c>
      <c r="AB218" s="392">
        <v>0</v>
      </c>
      <c r="AC218" s="392">
        <v>429911</v>
      </c>
      <c r="AD218" s="392">
        <v>21176</v>
      </c>
      <c r="AE218" s="392">
        <v>67317</v>
      </c>
      <c r="AF218" s="392">
        <v>245520</v>
      </c>
      <c r="AG218" s="392">
        <v>7600538</v>
      </c>
      <c r="AH218" s="392">
        <v>3782</v>
      </c>
      <c r="AI218" s="392">
        <v>80869</v>
      </c>
      <c r="AJ218" s="392">
        <v>23725</v>
      </c>
      <c r="AK218" s="392">
        <v>7708914</v>
      </c>
      <c r="AL218" s="392">
        <v>4350099</v>
      </c>
      <c r="AM218" s="392">
        <v>4329977</v>
      </c>
      <c r="AN218" s="392">
        <v>89553</v>
      </c>
      <c r="AO218" s="392">
        <v>8506</v>
      </c>
      <c r="AP218" s="392">
        <v>309019</v>
      </c>
      <c r="AQ218" s="392">
        <v>221471</v>
      </c>
      <c r="AR218" s="392">
        <v>119297</v>
      </c>
      <c r="AS218" s="392">
        <v>783672</v>
      </c>
      <c r="AT218" s="392">
        <v>268590</v>
      </c>
      <c r="AU218" s="392">
        <v>201220</v>
      </c>
      <c r="AV218" s="392">
        <v>268634</v>
      </c>
      <c r="AW218" s="392">
        <v>978399</v>
      </c>
      <c r="AX218" s="392">
        <v>204850</v>
      </c>
      <c r="AY218" s="786">
        <v>53574</v>
      </c>
      <c r="AZ218" s="392">
        <v>4222250</v>
      </c>
      <c r="BA218" s="639">
        <f>SUM(SNAMEB[[#This Row],[Instruction Expenditures]:[Transfers Out/OtherFinancing]])+SUM(SNAMEB[[#This Row],[General Fund Balance]:[Other Enterprise FundBalance]])</f>
        <v>12059013</v>
      </c>
      <c r="BB218" s="639">
        <f>SUM(SNAMEB[[#This Row],[Property Tax Revenue]:[IDEA/Other Fed Revenue]])+SNAMEB[General Long-term DebtProceeds]+SNAMEB[TransfersIn/Other Financing]+SNAMEB[Fixed Asset Disposition]+SNAMEB[Beginning Fund Balance]</f>
        <v>12059013</v>
      </c>
    </row>
    <row r="219" spans="1:54" x14ac:dyDescent="0.2">
      <c r="A219" s="390">
        <v>1</v>
      </c>
      <c r="B219" s="391" t="s">
        <v>295</v>
      </c>
      <c r="C219" s="631">
        <v>4787</v>
      </c>
      <c r="D219" t="s">
        <v>1245</v>
      </c>
      <c r="E219" s="392">
        <v>641340</v>
      </c>
      <c r="F219" s="392">
        <v>10376</v>
      </c>
      <c r="G219" s="392">
        <v>48968</v>
      </c>
      <c r="H219" s="392">
        <v>0</v>
      </c>
      <c r="I219" s="392">
        <v>0</v>
      </c>
      <c r="J219" s="392">
        <v>0</v>
      </c>
      <c r="K219" s="392">
        <v>4517</v>
      </c>
      <c r="L219" s="392">
        <v>32827</v>
      </c>
      <c r="M219" s="392">
        <v>0</v>
      </c>
      <c r="N219" s="392">
        <v>0</v>
      </c>
      <c r="O219" s="392">
        <v>-61065</v>
      </c>
      <c r="P219" s="392">
        <v>0</v>
      </c>
      <c r="Q219" s="392">
        <v>676961</v>
      </c>
      <c r="R219" s="392">
        <v>2001433</v>
      </c>
      <c r="S219" s="392">
        <v>12713</v>
      </c>
      <c r="T219" s="392">
        <v>124422</v>
      </c>
      <c r="U219" s="392">
        <v>180974</v>
      </c>
      <c r="V219" s="392">
        <v>532</v>
      </c>
      <c r="W219" s="392">
        <v>33203</v>
      </c>
      <c r="X219" s="392">
        <v>8289</v>
      </c>
      <c r="Y219" s="392">
        <v>86447</v>
      </c>
      <c r="Z219" s="392">
        <v>0</v>
      </c>
      <c r="AA219" s="392">
        <v>1371753</v>
      </c>
      <c r="AB219" s="392">
        <v>0</v>
      </c>
      <c r="AC219" s="392">
        <v>291325</v>
      </c>
      <c r="AD219" s="392">
        <v>5664</v>
      </c>
      <c r="AE219" s="392">
        <v>38606</v>
      </c>
      <c r="AF219" s="392">
        <v>91278</v>
      </c>
      <c r="AG219" s="392">
        <v>4246639</v>
      </c>
      <c r="AH219" s="392">
        <v>0</v>
      </c>
      <c r="AI219" s="392">
        <v>0</v>
      </c>
      <c r="AJ219" s="392">
        <v>0</v>
      </c>
      <c r="AK219" s="392">
        <v>4246639</v>
      </c>
      <c r="AL219" s="392">
        <v>519529</v>
      </c>
      <c r="AM219" s="392">
        <v>2693207</v>
      </c>
      <c r="AN219" s="392">
        <v>42842</v>
      </c>
      <c r="AO219" s="392">
        <v>95623</v>
      </c>
      <c r="AP219" s="392">
        <v>148389</v>
      </c>
      <c r="AQ219" s="392">
        <v>73437</v>
      </c>
      <c r="AR219" s="392">
        <v>98800</v>
      </c>
      <c r="AS219" s="392">
        <v>189566</v>
      </c>
      <c r="AT219" s="392">
        <v>233114</v>
      </c>
      <c r="AU219" s="392">
        <v>83768</v>
      </c>
      <c r="AV219" s="392">
        <v>307490</v>
      </c>
      <c r="AW219" s="392">
        <v>0</v>
      </c>
      <c r="AX219" s="392">
        <v>122969</v>
      </c>
      <c r="AY219" s="786">
        <v>0</v>
      </c>
      <c r="AZ219" s="392">
        <v>676961</v>
      </c>
      <c r="BA219" s="639">
        <f>SUM(SNAMEB[[#This Row],[Instruction Expenditures]:[Transfers Out/OtherFinancing]])+SUM(SNAMEB[[#This Row],[General Fund Balance]:[Other Enterprise FundBalance]])</f>
        <v>4766168</v>
      </c>
      <c r="BB219" s="639">
        <f>SUM(SNAMEB[[#This Row],[Property Tax Revenue]:[IDEA/Other Fed Revenue]])+SNAMEB[General Long-term DebtProceeds]+SNAMEB[TransfersIn/Other Financing]+SNAMEB[Fixed Asset Disposition]+SNAMEB[Beginning Fund Balance]</f>
        <v>4766168</v>
      </c>
    </row>
    <row r="220" spans="1:54" x14ac:dyDescent="0.2">
      <c r="A220" s="390">
        <v>9</v>
      </c>
      <c r="B220" s="391" t="s">
        <v>286</v>
      </c>
      <c r="C220" s="631">
        <v>4773</v>
      </c>
      <c r="D220" t="s">
        <v>1198</v>
      </c>
      <c r="E220" s="392">
        <v>1023069</v>
      </c>
      <c r="F220" s="392">
        <v>58579</v>
      </c>
      <c r="G220" s="392">
        <v>47236</v>
      </c>
      <c r="H220" s="392">
        <v>0</v>
      </c>
      <c r="I220" s="392">
        <v>0</v>
      </c>
      <c r="J220" s="392">
        <v>0</v>
      </c>
      <c r="K220" s="392">
        <v>726635</v>
      </c>
      <c r="L220" s="392">
        <v>228707</v>
      </c>
      <c r="M220" s="392">
        <v>0</v>
      </c>
      <c r="N220" s="392">
        <v>1222327</v>
      </c>
      <c r="O220" s="392">
        <v>85003</v>
      </c>
      <c r="P220" s="392">
        <v>0</v>
      </c>
      <c r="Q220" s="392">
        <v>3391555</v>
      </c>
      <c r="R220" s="392">
        <v>2825744</v>
      </c>
      <c r="S220" s="392">
        <v>41377</v>
      </c>
      <c r="T220" s="392">
        <v>256025</v>
      </c>
      <c r="U220" s="392">
        <v>2809891</v>
      </c>
      <c r="V220" s="392">
        <v>48723</v>
      </c>
      <c r="W220" s="392">
        <v>248343</v>
      </c>
      <c r="X220" s="392">
        <v>314786</v>
      </c>
      <c r="Y220" s="392">
        <v>640028</v>
      </c>
      <c r="Z220" s="392">
        <v>24179</v>
      </c>
      <c r="AA220" s="392">
        <v>3175472</v>
      </c>
      <c r="AB220" s="392">
        <v>0</v>
      </c>
      <c r="AC220" s="392">
        <v>804933</v>
      </c>
      <c r="AD220" s="392">
        <v>8980</v>
      </c>
      <c r="AE220" s="392">
        <v>75490</v>
      </c>
      <c r="AF220" s="392">
        <v>364826</v>
      </c>
      <c r="AG220" s="392">
        <v>11638797</v>
      </c>
      <c r="AH220" s="392">
        <v>0</v>
      </c>
      <c r="AI220" s="392">
        <v>334103</v>
      </c>
      <c r="AJ220" s="392">
        <v>0</v>
      </c>
      <c r="AK220" s="392">
        <v>11972901</v>
      </c>
      <c r="AL220" s="392">
        <v>2593775</v>
      </c>
      <c r="AM220" s="392">
        <v>6405275</v>
      </c>
      <c r="AN220" s="392">
        <v>389009</v>
      </c>
      <c r="AO220" s="392">
        <v>243770</v>
      </c>
      <c r="AP220" s="392">
        <v>321962</v>
      </c>
      <c r="AQ220" s="392">
        <v>528106</v>
      </c>
      <c r="AR220" s="392">
        <v>136871</v>
      </c>
      <c r="AS220" s="392">
        <v>872983</v>
      </c>
      <c r="AT220" s="392">
        <v>416531</v>
      </c>
      <c r="AU220" s="392">
        <v>452479</v>
      </c>
      <c r="AV220" s="392">
        <v>164738</v>
      </c>
      <c r="AW220" s="392">
        <v>625052</v>
      </c>
      <c r="AX220" s="392">
        <v>222662</v>
      </c>
      <c r="AY220" s="786">
        <v>395683</v>
      </c>
      <c r="AZ220" s="392">
        <v>3391555</v>
      </c>
      <c r="BA220" s="639">
        <f>SUM(SNAMEB[[#This Row],[Instruction Expenditures]:[Transfers Out/OtherFinancing]])+SUM(SNAMEB[[#This Row],[General Fund Balance]:[Other Enterprise FundBalance]])</f>
        <v>14566677</v>
      </c>
      <c r="BB220" s="639">
        <f>SUM(SNAMEB[[#This Row],[Property Tax Revenue]:[IDEA/Other Fed Revenue]])+SNAMEB[General Long-term DebtProceeds]+SNAMEB[TransfersIn/Other Financing]+SNAMEB[Fixed Asset Disposition]+SNAMEB[Beginning Fund Balance]</f>
        <v>14566675</v>
      </c>
    </row>
    <row r="221" spans="1:54" x14ac:dyDescent="0.2">
      <c r="A221" s="390">
        <v>5</v>
      </c>
      <c r="B221" s="391" t="s">
        <v>288</v>
      </c>
      <c r="C221" s="631">
        <v>4775</v>
      </c>
      <c r="D221" t="s">
        <v>1200</v>
      </c>
      <c r="E221" s="392">
        <v>1164793</v>
      </c>
      <c r="F221" s="392">
        <v>12904</v>
      </c>
      <c r="G221" s="392">
        <v>282131</v>
      </c>
      <c r="H221" s="392">
        <v>0</v>
      </c>
      <c r="I221" s="392">
        <v>0</v>
      </c>
      <c r="J221" s="392">
        <v>0</v>
      </c>
      <c r="K221" s="392">
        <v>725546</v>
      </c>
      <c r="L221" s="392">
        <v>294695</v>
      </c>
      <c r="M221" s="392">
        <v>0</v>
      </c>
      <c r="N221" s="392">
        <v>999063</v>
      </c>
      <c r="O221" s="392">
        <v>-29069</v>
      </c>
      <c r="P221" s="392">
        <v>0</v>
      </c>
      <c r="Q221" s="392">
        <v>3450065</v>
      </c>
      <c r="R221" s="392">
        <v>2012318</v>
      </c>
      <c r="S221" s="392">
        <v>28700</v>
      </c>
      <c r="T221" s="392">
        <v>107662</v>
      </c>
      <c r="U221" s="392">
        <v>71852</v>
      </c>
      <c r="V221" s="392">
        <v>3133</v>
      </c>
      <c r="W221" s="392">
        <v>37267</v>
      </c>
      <c r="X221" s="392">
        <v>9097</v>
      </c>
      <c r="Y221" s="392">
        <v>119500</v>
      </c>
      <c r="Z221" s="392">
        <v>0</v>
      </c>
      <c r="AA221" s="392">
        <v>653900</v>
      </c>
      <c r="AB221" s="392">
        <v>0</v>
      </c>
      <c r="AC221" s="392">
        <v>220855</v>
      </c>
      <c r="AD221" s="392">
        <v>84250</v>
      </c>
      <c r="AE221" s="392">
        <v>32675</v>
      </c>
      <c r="AF221" s="392">
        <v>79784</v>
      </c>
      <c r="AG221" s="392">
        <v>3460993</v>
      </c>
      <c r="AH221" s="392">
        <v>0</v>
      </c>
      <c r="AI221" s="392">
        <v>6342</v>
      </c>
      <c r="AJ221" s="392">
        <v>18581</v>
      </c>
      <c r="AK221" s="392">
        <v>3485916</v>
      </c>
      <c r="AL221" s="392">
        <v>3038755</v>
      </c>
      <c r="AM221" s="392">
        <v>1573981</v>
      </c>
      <c r="AN221" s="392">
        <v>39421</v>
      </c>
      <c r="AO221" s="392">
        <v>92805</v>
      </c>
      <c r="AP221" s="392">
        <v>192775</v>
      </c>
      <c r="AQ221" s="392">
        <v>131976</v>
      </c>
      <c r="AR221" s="392">
        <v>44014</v>
      </c>
      <c r="AS221" s="392">
        <v>240219</v>
      </c>
      <c r="AT221" s="392">
        <v>191941</v>
      </c>
      <c r="AU221" s="392">
        <v>74630</v>
      </c>
      <c r="AV221" s="392">
        <v>172135</v>
      </c>
      <c r="AW221" s="392">
        <v>193395</v>
      </c>
      <c r="AX221" s="392">
        <v>100792</v>
      </c>
      <c r="AY221" s="786">
        <v>26522</v>
      </c>
      <c r="AZ221" s="392">
        <v>3450065</v>
      </c>
      <c r="BA221" s="639">
        <f>SUM(SNAMEB[[#This Row],[Instruction Expenditures]:[Transfers Out/OtherFinancing]])+SUM(SNAMEB[[#This Row],[General Fund Balance]:[Other Enterprise FundBalance]])</f>
        <v>6524669</v>
      </c>
      <c r="BB221" s="639">
        <f>SUM(SNAMEB[[#This Row],[Property Tax Revenue]:[IDEA/Other Fed Revenue]])+SNAMEB[General Long-term DebtProceeds]+SNAMEB[TransfersIn/Other Financing]+SNAMEB[Fixed Asset Disposition]+SNAMEB[Beginning Fund Balance]</f>
        <v>6524671</v>
      </c>
    </row>
    <row r="222" spans="1:54" x14ac:dyDescent="0.2">
      <c r="A222" s="390">
        <v>7</v>
      </c>
      <c r="B222" s="391" t="s">
        <v>296</v>
      </c>
      <c r="C222" s="631">
        <v>4788</v>
      </c>
      <c r="D222" t="s">
        <v>1246</v>
      </c>
      <c r="E222" s="392">
        <v>792427</v>
      </c>
      <c r="F222" s="392">
        <v>93375</v>
      </c>
      <c r="G222" s="392">
        <v>274415</v>
      </c>
      <c r="H222" s="392">
        <v>0</v>
      </c>
      <c r="I222" s="392">
        <v>173</v>
      </c>
      <c r="J222" s="392">
        <v>0</v>
      </c>
      <c r="K222" s="392">
        <v>443469</v>
      </c>
      <c r="L222" s="392">
        <v>409806</v>
      </c>
      <c r="M222" s="392">
        <v>0</v>
      </c>
      <c r="N222" s="392">
        <v>95987</v>
      </c>
      <c r="O222" s="392">
        <v>-44750</v>
      </c>
      <c r="P222" s="392">
        <v>4721</v>
      </c>
      <c r="Q222" s="392">
        <v>2069623</v>
      </c>
      <c r="R222" s="392">
        <v>2761397</v>
      </c>
      <c r="S222" s="392">
        <v>68949</v>
      </c>
      <c r="T222" s="392">
        <v>147514</v>
      </c>
      <c r="U222" s="392">
        <v>329231</v>
      </c>
      <c r="V222" s="392">
        <v>10739</v>
      </c>
      <c r="W222" s="392">
        <v>157760</v>
      </c>
      <c r="X222" s="392">
        <v>233261</v>
      </c>
      <c r="Y222" s="392">
        <v>738184</v>
      </c>
      <c r="Z222" s="392">
        <v>0</v>
      </c>
      <c r="AA222" s="392">
        <v>2573642</v>
      </c>
      <c r="AB222" s="392">
        <v>0</v>
      </c>
      <c r="AC222" s="392">
        <v>527449</v>
      </c>
      <c r="AD222" s="392">
        <v>92814</v>
      </c>
      <c r="AE222" s="392">
        <v>91561</v>
      </c>
      <c r="AF222" s="392">
        <v>255502</v>
      </c>
      <c r="AG222" s="392">
        <v>7988004</v>
      </c>
      <c r="AH222" s="392">
        <v>0</v>
      </c>
      <c r="AI222" s="392">
        <v>108272</v>
      </c>
      <c r="AJ222" s="392">
        <v>0</v>
      </c>
      <c r="AK222" s="392">
        <v>8096276</v>
      </c>
      <c r="AL222" s="392">
        <v>2106013</v>
      </c>
      <c r="AM222" s="392">
        <v>4267291</v>
      </c>
      <c r="AN222" s="392">
        <v>161180</v>
      </c>
      <c r="AO222" s="392">
        <v>154197</v>
      </c>
      <c r="AP222" s="392">
        <v>213348</v>
      </c>
      <c r="AQ222" s="392">
        <v>361247</v>
      </c>
      <c r="AR222" s="392">
        <v>80601</v>
      </c>
      <c r="AS222" s="392">
        <v>447171</v>
      </c>
      <c r="AT222" s="392">
        <v>320217</v>
      </c>
      <c r="AU222" s="392">
        <v>337724</v>
      </c>
      <c r="AV222" s="392">
        <v>1072476</v>
      </c>
      <c r="AW222" s="392">
        <v>392306</v>
      </c>
      <c r="AX222" s="392">
        <v>219437</v>
      </c>
      <c r="AY222" s="786">
        <v>105472</v>
      </c>
      <c r="AZ222" s="392">
        <v>2069623</v>
      </c>
      <c r="BA222" s="639">
        <f>SUM(SNAMEB[[#This Row],[Instruction Expenditures]:[Transfers Out/OtherFinancing]])+SUM(SNAMEB[[#This Row],[General Fund Balance]:[Other Enterprise FundBalance]])</f>
        <v>10202290</v>
      </c>
      <c r="BB222" s="639">
        <f>SUM(SNAMEB[[#This Row],[Property Tax Revenue]:[IDEA/Other Fed Revenue]])+SNAMEB[General Long-term DebtProceeds]+SNAMEB[TransfersIn/Other Financing]+SNAMEB[Fixed Asset Disposition]+SNAMEB[Beginning Fund Balance]</f>
        <v>10202288</v>
      </c>
    </row>
    <row r="223" spans="1:54" x14ac:dyDescent="0.2">
      <c r="A223" s="390">
        <v>11</v>
      </c>
      <c r="B223" s="391" t="s">
        <v>297</v>
      </c>
      <c r="C223" s="631">
        <v>4797</v>
      </c>
      <c r="D223" t="s">
        <v>1247</v>
      </c>
      <c r="E223" s="392">
        <v>6793636</v>
      </c>
      <c r="F223" s="392">
        <v>351684</v>
      </c>
      <c r="G223" s="392">
        <v>2176990</v>
      </c>
      <c r="H223" s="392">
        <v>0</v>
      </c>
      <c r="I223" s="392">
        <v>0</v>
      </c>
      <c r="J223" s="392">
        <v>0</v>
      </c>
      <c r="K223" s="392">
        <v>1266415</v>
      </c>
      <c r="L223" s="392">
        <v>347168</v>
      </c>
      <c r="M223" s="392">
        <v>0</v>
      </c>
      <c r="N223" s="392">
        <v>4045575</v>
      </c>
      <c r="O223" s="392">
        <v>922454</v>
      </c>
      <c r="P223" s="392">
        <v>0</v>
      </c>
      <c r="Q223" s="392">
        <v>15903922</v>
      </c>
      <c r="R223" s="392">
        <v>9696294</v>
      </c>
      <c r="S223" s="392">
        <v>529516</v>
      </c>
      <c r="T223" s="392">
        <v>0</v>
      </c>
      <c r="U223" s="392">
        <v>1024621</v>
      </c>
      <c r="V223" s="392">
        <v>83519</v>
      </c>
      <c r="W223" s="392">
        <v>798445</v>
      </c>
      <c r="X223" s="392">
        <v>721180</v>
      </c>
      <c r="Y223" s="392">
        <v>505264</v>
      </c>
      <c r="Z223" s="392">
        <v>3199</v>
      </c>
      <c r="AA223" s="392">
        <v>17777504</v>
      </c>
      <c r="AB223" s="392">
        <v>0</v>
      </c>
      <c r="AC223" s="392">
        <v>2550501</v>
      </c>
      <c r="AD223" s="392">
        <v>103366</v>
      </c>
      <c r="AE223" s="392">
        <v>298794</v>
      </c>
      <c r="AF223" s="392">
        <v>854252</v>
      </c>
      <c r="AG223" s="392">
        <v>34946455</v>
      </c>
      <c r="AH223" s="392">
        <v>0</v>
      </c>
      <c r="AI223" s="392">
        <v>1512439</v>
      </c>
      <c r="AJ223" s="392">
        <v>28447</v>
      </c>
      <c r="AK223" s="392">
        <v>36487340</v>
      </c>
      <c r="AL223" s="392">
        <v>13797539</v>
      </c>
      <c r="AM223" s="392">
        <v>17868816</v>
      </c>
      <c r="AN223" s="392">
        <v>1130716</v>
      </c>
      <c r="AO223" s="392">
        <v>1719594</v>
      </c>
      <c r="AP223" s="392">
        <v>744778</v>
      </c>
      <c r="AQ223" s="392">
        <v>1665242</v>
      </c>
      <c r="AR223" s="392">
        <v>631361</v>
      </c>
      <c r="AS223" s="392">
        <v>2327267</v>
      </c>
      <c r="AT223" s="392">
        <v>656950</v>
      </c>
      <c r="AU223" s="392">
        <v>1095953</v>
      </c>
      <c r="AV223" s="392">
        <v>614435</v>
      </c>
      <c r="AW223" s="392">
        <v>3120945</v>
      </c>
      <c r="AX223" s="392">
        <v>1051752</v>
      </c>
      <c r="AY223" s="786">
        <v>1753149</v>
      </c>
      <c r="AZ223" s="392">
        <v>15903922</v>
      </c>
      <c r="BA223" s="639">
        <f>SUM(SNAMEB[[#This Row],[Instruction Expenditures]:[Transfers Out/OtherFinancing]])+SUM(SNAMEB[[#This Row],[General Fund Balance]:[Other Enterprise FundBalance]])</f>
        <v>50284880</v>
      </c>
      <c r="BB223" s="639">
        <f>SUM(SNAMEB[[#This Row],[Property Tax Revenue]:[IDEA/Other Fed Revenue]])+SNAMEB[General Long-term DebtProceeds]+SNAMEB[TransfersIn/Other Financing]+SNAMEB[Fixed Asset Disposition]+SNAMEB[Beginning Fund Balance]</f>
        <v>50284880</v>
      </c>
    </row>
    <row r="224" spans="1:54" x14ac:dyDescent="0.2">
      <c r="A224" s="390">
        <v>5</v>
      </c>
      <c r="B224" s="391" t="s">
        <v>299</v>
      </c>
      <c r="C224" s="631">
        <v>4860</v>
      </c>
      <c r="D224" t="s">
        <v>1249</v>
      </c>
      <c r="E224" s="392">
        <v>1120105</v>
      </c>
      <c r="F224" s="392">
        <v>59360</v>
      </c>
      <c r="G224" s="392">
        <v>712584</v>
      </c>
      <c r="H224" s="392">
        <v>0</v>
      </c>
      <c r="I224" s="392">
        <v>0</v>
      </c>
      <c r="J224" s="392">
        <v>0</v>
      </c>
      <c r="K224" s="392">
        <v>190199</v>
      </c>
      <c r="L224" s="392">
        <v>82232</v>
      </c>
      <c r="M224" s="392">
        <v>0</v>
      </c>
      <c r="N224" s="392">
        <v>0</v>
      </c>
      <c r="O224" s="392">
        <v>139421</v>
      </c>
      <c r="P224" s="392">
        <v>0</v>
      </c>
      <c r="Q224" s="392">
        <v>2303900</v>
      </c>
      <c r="R224" s="392">
        <v>1796938</v>
      </c>
      <c r="S224" s="392">
        <v>62579</v>
      </c>
      <c r="T224" s="392">
        <v>37265</v>
      </c>
      <c r="U224" s="392">
        <v>1114598</v>
      </c>
      <c r="V224" s="392">
        <v>6219</v>
      </c>
      <c r="W224" s="392">
        <v>82865</v>
      </c>
      <c r="X224" s="392">
        <v>13949</v>
      </c>
      <c r="Y224" s="392">
        <v>220929</v>
      </c>
      <c r="Z224" s="392">
        <v>0</v>
      </c>
      <c r="AA224" s="392">
        <v>1702339</v>
      </c>
      <c r="AB224" s="392">
        <v>0</v>
      </c>
      <c r="AC224" s="392">
        <v>343298</v>
      </c>
      <c r="AD224" s="392">
        <v>11757</v>
      </c>
      <c r="AE224" s="392">
        <v>37496</v>
      </c>
      <c r="AF224" s="392">
        <v>173063</v>
      </c>
      <c r="AG224" s="392">
        <v>5603295</v>
      </c>
      <c r="AH224" s="392">
        <v>0</v>
      </c>
      <c r="AI224" s="392">
        <v>8093</v>
      </c>
      <c r="AJ224" s="392">
        <v>8255</v>
      </c>
      <c r="AK224" s="392">
        <v>5619643</v>
      </c>
      <c r="AL224" s="392">
        <v>2073405</v>
      </c>
      <c r="AM224" s="392">
        <v>3356209</v>
      </c>
      <c r="AN224" s="392">
        <v>165141</v>
      </c>
      <c r="AO224" s="392">
        <v>346720</v>
      </c>
      <c r="AP224" s="392">
        <v>132732</v>
      </c>
      <c r="AQ224" s="392">
        <v>163592</v>
      </c>
      <c r="AR224" s="392">
        <v>40762</v>
      </c>
      <c r="AS224" s="392">
        <v>377488</v>
      </c>
      <c r="AT224" s="392">
        <v>168792</v>
      </c>
      <c r="AU224" s="392">
        <v>173163</v>
      </c>
      <c r="AV224" s="392">
        <v>330721</v>
      </c>
      <c r="AW224" s="392">
        <v>0</v>
      </c>
      <c r="AX224" s="392">
        <v>133643</v>
      </c>
      <c r="AY224" s="786">
        <v>185</v>
      </c>
      <c r="AZ224" s="392">
        <v>2303900</v>
      </c>
      <c r="BA224" s="639">
        <f>SUM(SNAMEB[[#This Row],[Instruction Expenditures]:[Transfers Out/OtherFinancing]])+SUM(SNAMEB[[#This Row],[General Fund Balance]:[Other Enterprise FundBalance]])</f>
        <v>7693049</v>
      </c>
      <c r="BB224" s="639">
        <f>SUM(SNAMEB[[#This Row],[Property Tax Revenue]:[IDEA/Other Fed Revenue]])+SNAMEB[General Long-term DebtProceeds]+SNAMEB[TransfersIn/Other Financing]+SNAMEB[Fixed Asset Disposition]+SNAMEB[Beginning Fund Balance]</f>
        <v>7693048</v>
      </c>
    </row>
    <row r="225" spans="1:54" x14ac:dyDescent="0.2">
      <c r="A225" s="390">
        <v>1</v>
      </c>
      <c r="B225" s="391" t="s">
        <v>300</v>
      </c>
      <c r="C225" s="631">
        <v>4869</v>
      </c>
      <c r="D225" t="s">
        <v>1250</v>
      </c>
      <c r="E225" s="392">
        <v>4835897</v>
      </c>
      <c r="F225" s="392">
        <v>440318</v>
      </c>
      <c r="G225" s="392">
        <v>667997</v>
      </c>
      <c r="H225" s="392">
        <v>0</v>
      </c>
      <c r="I225" s="392">
        <v>0</v>
      </c>
      <c r="J225" s="392">
        <v>0</v>
      </c>
      <c r="K225" s="392">
        <v>1655334</v>
      </c>
      <c r="L225" s="392">
        <v>340195</v>
      </c>
      <c r="M225" s="392">
        <v>0</v>
      </c>
      <c r="N225" s="392">
        <v>0</v>
      </c>
      <c r="O225" s="392">
        <v>-117836</v>
      </c>
      <c r="P225" s="392">
        <v>0</v>
      </c>
      <c r="Q225" s="392">
        <v>7821906</v>
      </c>
      <c r="R225" s="392">
        <v>3679615</v>
      </c>
      <c r="S225" s="392">
        <v>154187</v>
      </c>
      <c r="T225" s="392">
        <v>481561</v>
      </c>
      <c r="U225" s="392">
        <v>144788</v>
      </c>
      <c r="V225" s="392">
        <v>95611</v>
      </c>
      <c r="W225" s="392">
        <v>250986</v>
      </c>
      <c r="X225" s="392">
        <v>392048</v>
      </c>
      <c r="Y225" s="392">
        <v>758452</v>
      </c>
      <c r="Z225" s="392">
        <v>0</v>
      </c>
      <c r="AA225" s="392">
        <v>9392068</v>
      </c>
      <c r="AB225" s="392">
        <v>0</v>
      </c>
      <c r="AC225" s="392">
        <v>1216025</v>
      </c>
      <c r="AD225" s="392">
        <v>79478</v>
      </c>
      <c r="AE225" s="392">
        <v>370277</v>
      </c>
      <c r="AF225" s="392">
        <v>1153653</v>
      </c>
      <c r="AG225" s="392">
        <v>18168749</v>
      </c>
      <c r="AH225" s="392">
        <v>0</v>
      </c>
      <c r="AI225" s="392">
        <v>13863</v>
      </c>
      <c r="AJ225" s="392">
        <v>0</v>
      </c>
      <c r="AK225" s="392">
        <v>18182612</v>
      </c>
      <c r="AL225" s="392">
        <v>7384446</v>
      </c>
      <c r="AM225" s="392">
        <v>10910557</v>
      </c>
      <c r="AN225" s="392">
        <v>480280</v>
      </c>
      <c r="AO225" s="392">
        <v>770137</v>
      </c>
      <c r="AP225" s="392">
        <v>450660</v>
      </c>
      <c r="AQ225" s="392">
        <v>789218</v>
      </c>
      <c r="AR225" s="392">
        <v>441216</v>
      </c>
      <c r="AS225" s="392">
        <v>1203787</v>
      </c>
      <c r="AT225" s="392">
        <v>573538</v>
      </c>
      <c r="AU225" s="392">
        <v>849488</v>
      </c>
      <c r="AV225" s="392">
        <v>552161</v>
      </c>
      <c r="AW225" s="392">
        <v>0</v>
      </c>
      <c r="AX225" s="392">
        <v>583403</v>
      </c>
      <c r="AY225" s="786">
        <v>140706</v>
      </c>
      <c r="AZ225" s="392">
        <v>7821906</v>
      </c>
      <c r="BA225" s="639">
        <f>SUM(SNAMEB[[#This Row],[Instruction Expenditures]:[Transfers Out/OtherFinancing]])+SUM(SNAMEB[[#This Row],[General Fund Balance]:[Other Enterprise FundBalance]])</f>
        <v>25567056</v>
      </c>
      <c r="BB225" s="639">
        <f>SUM(SNAMEB[[#This Row],[Property Tax Revenue]:[IDEA/Other Fed Revenue]])+SNAMEB[General Long-term DebtProceeds]+SNAMEB[TransfersIn/Other Financing]+SNAMEB[Fixed Asset Disposition]+SNAMEB[Beginning Fund Balance]</f>
        <v>25567058</v>
      </c>
    </row>
    <row r="226" spans="1:54" x14ac:dyDescent="0.2">
      <c r="A226" s="390">
        <v>11</v>
      </c>
      <c r="B226" s="391" t="s">
        <v>301</v>
      </c>
      <c r="C226" s="631">
        <v>4878</v>
      </c>
      <c r="D226" t="s">
        <v>1251</v>
      </c>
      <c r="E226" s="392">
        <v>2057193</v>
      </c>
      <c r="F226" s="392">
        <v>74715</v>
      </c>
      <c r="G226" s="392">
        <v>790198</v>
      </c>
      <c r="H226" s="392">
        <v>525</v>
      </c>
      <c r="I226" s="392">
        <v>0</v>
      </c>
      <c r="J226" s="392">
        <v>0</v>
      </c>
      <c r="K226" s="392">
        <v>829210</v>
      </c>
      <c r="L226" s="392">
        <v>112049</v>
      </c>
      <c r="M226" s="392">
        <v>0</v>
      </c>
      <c r="N226" s="392">
        <v>208827</v>
      </c>
      <c r="O226" s="392">
        <v>157982</v>
      </c>
      <c r="P226" s="392">
        <v>0</v>
      </c>
      <c r="Q226" s="392">
        <v>4230699</v>
      </c>
      <c r="R226" s="392">
        <v>3251559</v>
      </c>
      <c r="S226" s="392">
        <v>48277</v>
      </c>
      <c r="T226" s="392">
        <v>253800</v>
      </c>
      <c r="U226" s="392">
        <v>924532</v>
      </c>
      <c r="V226" s="392">
        <v>1958</v>
      </c>
      <c r="W226" s="392">
        <v>197081</v>
      </c>
      <c r="X226" s="392">
        <v>305473</v>
      </c>
      <c r="Y226" s="392">
        <v>178999</v>
      </c>
      <c r="Z226" s="392">
        <v>0</v>
      </c>
      <c r="AA226" s="392">
        <v>3458543</v>
      </c>
      <c r="AB226" s="392">
        <v>0</v>
      </c>
      <c r="AC226" s="392">
        <v>644810</v>
      </c>
      <c r="AD226" s="392">
        <v>23393</v>
      </c>
      <c r="AE226" s="392">
        <v>50266</v>
      </c>
      <c r="AF226" s="392">
        <v>270356</v>
      </c>
      <c r="AG226" s="392">
        <v>9609049</v>
      </c>
      <c r="AH226" s="392">
        <v>0</v>
      </c>
      <c r="AI226" s="392">
        <v>580090</v>
      </c>
      <c r="AJ226" s="392">
        <v>5892</v>
      </c>
      <c r="AK226" s="392">
        <v>10195030</v>
      </c>
      <c r="AL226" s="392">
        <v>4423467</v>
      </c>
      <c r="AM226" s="392">
        <v>5847285</v>
      </c>
      <c r="AN226" s="392">
        <v>210500</v>
      </c>
      <c r="AO226" s="392">
        <v>176432</v>
      </c>
      <c r="AP226" s="392">
        <v>130652</v>
      </c>
      <c r="AQ226" s="392">
        <v>404842</v>
      </c>
      <c r="AR226" s="392">
        <v>82384</v>
      </c>
      <c r="AS226" s="392">
        <v>824485</v>
      </c>
      <c r="AT226" s="392">
        <v>328295</v>
      </c>
      <c r="AU226" s="392">
        <v>369418</v>
      </c>
      <c r="AV226" s="392">
        <v>268507</v>
      </c>
      <c r="AW226" s="392">
        <v>910446</v>
      </c>
      <c r="AX226" s="392">
        <v>250901</v>
      </c>
      <c r="AY226" s="786">
        <v>583653</v>
      </c>
      <c r="AZ226" s="392">
        <v>4230699</v>
      </c>
      <c r="BA226" s="639">
        <f>SUM(SNAMEB[[#This Row],[Instruction Expenditures]:[Transfers Out/OtherFinancing]])+SUM(SNAMEB[[#This Row],[General Fund Balance]:[Other Enterprise FundBalance]])</f>
        <v>14618499</v>
      </c>
      <c r="BB226" s="639">
        <f>SUM(SNAMEB[[#This Row],[Property Tax Revenue]:[IDEA/Other Fed Revenue]])+SNAMEB[General Long-term DebtProceeds]+SNAMEB[TransfersIn/Other Financing]+SNAMEB[Fixed Asset Disposition]+SNAMEB[Beginning Fund Balance]</f>
        <v>14618496</v>
      </c>
    </row>
    <row r="227" spans="1:54" x14ac:dyDescent="0.2">
      <c r="A227" s="390">
        <v>5</v>
      </c>
      <c r="B227" s="391" t="s">
        <v>302</v>
      </c>
      <c r="C227" s="631">
        <v>4890</v>
      </c>
      <c r="D227" t="s">
        <v>1252</v>
      </c>
      <c r="E227" s="392">
        <v>1215925</v>
      </c>
      <c r="F227" s="392">
        <v>136871</v>
      </c>
      <c r="G227" s="392">
        <v>350276</v>
      </c>
      <c r="H227" s="392">
        <v>0</v>
      </c>
      <c r="I227" s="392">
        <v>0</v>
      </c>
      <c r="J227" s="392">
        <v>0</v>
      </c>
      <c r="K227" s="392">
        <v>1020476</v>
      </c>
      <c r="L227" s="392">
        <v>34777</v>
      </c>
      <c r="M227" s="392">
        <v>0</v>
      </c>
      <c r="N227" s="392">
        <v>270579</v>
      </c>
      <c r="O227" s="392">
        <v>148930</v>
      </c>
      <c r="P227" s="392">
        <v>5152</v>
      </c>
      <c r="Q227" s="392">
        <v>3182984</v>
      </c>
      <c r="R227" s="392">
        <v>8678638</v>
      </c>
      <c r="S227" s="392">
        <v>75842</v>
      </c>
      <c r="T227" s="392">
        <v>182966</v>
      </c>
      <c r="U227" s="392">
        <v>719031</v>
      </c>
      <c r="V227" s="392">
        <v>47215</v>
      </c>
      <c r="W227" s="392">
        <v>232321</v>
      </c>
      <c r="X227" s="392">
        <v>199397</v>
      </c>
      <c r="Y227" s="392">
        <v>197030</v>
      </c>
      <c r="Z227" s="392">
        <v>1500</v>
      </c>
      <c r="AA227" s="392">
        <v>784276</v>
      </c>
      <c r="AB227" s="392">
        <v>0</v>
      </c>
      <c r="AC227" s="392">
        <v>1216308</v>
      </c>
      <c r="AD227" s="392">
        <v>2675</v>
      </c>
      <c r="AE227" s="392">
        <v>110095</v>
      </c>
      <c r="AF227" s="392">
        <v>410244</v>
      </c>
      <c r="AG227" s="392">
        <v>12857539</v>
      </c>
      <c r="AH227" s="392">
        <v>316310</v>
      </c>
      <c r="AI227" s="392">
        <v>597107</v>
      </c>
      <c r="AJ227" s="392">
        <v>0</v>
      </c>
      <c r="AK227" s="392">
        <v>13770956</v>
      </c>
      <c r="AL227" s="392">
        <v>4300159</v>
      </c>
      <c r="AM227" s="392">
        <v>8836068</v>
      </c>
      <c r="AN227" s="392">
        <v>258787</v>
      </c>
      <c r="AO227" s="392">
        <v>216279</v>
      </c>
      <c r="AP227" s="392">
        <v>382560</v>
      </c>
      <c r="AQ227" s="392">
        <v>538955</v>
      </c>
      <c r="AR227" s="392">
        <v>456743</v>
      </c>
      <c r="AS227" s="392">
        <v>979787</v>
      </c>
      <c r="AT227" s="392">
        <v>488256</v>
      </c>
      <c r="AU227" s="392">
        <v>420251</v>
      </c>
      <c r="AV227" s="392">
        <v>473152</v>
      </c>
      <c r="AW227" s="392">
        <v>544208</v>
      </c>
      <c r="AX227" s="392">
        <v>404295</v>
      </c>
      <c r="AY227" s="786">
        <v>888788</v>
      </c>
      <c r="AZ227" s="392">
        <v>3182984</v>
      </c>
      <c r="BA227" s="639">
        <f>SUM(SNAMEB[[#This Row],[Instruction Expenditures]:[Transfers Out/OtherFinancing]])+SUM(SNAMEB[[#This Row],[General Fund Balance]:[Other Enterprise FundBalance]])</f>
        <v>18071115</v>
      </c>
      <c r="BB227" s="639">
        <f>SUM(SNAMEB[[#This Row],[Property Tax Revenue]:[IDEA/Other Fed Revenue]])+SNAMEB[General Long-term DebtProceeds]+SNAMEB[TransfersIn/Other Financing]+SNAMEB[Fixed Asset Disposition]+SNAMEB[Beginning Fund Balance]</f>
        <v>18071114</v>
      </c>
    </row>
    <row r="228" spans="1:54" x14ac:dyDescent="0.2">
      <c r="A228" s="390">
        <v>10</v>
      </c>
      <c r="B228" s="391" t="s">
        <v>303</v>
      </c>
      <c r="C228" s="631">
        <v>4905</v>
      </c>
      <c r="D228" t="s">
        <v>1253</v>
      </c>
      <c r="E228" s="392">
        <v>116993</v>
      </c>
      <c r="F228" s="392">
        <v>25174</v>
      </c>
      <c r="G228" s="392">
        <v>170315</v>
      </c>
      <c r="H228" s="392">
        <v>30121</v>
      </c>
      <c r="I228" s="392">
        <v>0</v>
      </c>
      <c r="J228" s="392">
        <v>0</v>
      </c>
      <c r="K228" s="392">
        <v>428606</v>
      </c>
      <c r="L228" s="392">
        <v>148628</v>
      </c>
      <c r="M228" s="392">
        <v>0</v>
      </c>
      <c r="N228" s="392">
        <v>0</v>
      </c>
      <c r="O228" s="392">
        <v>5215</v>
      </c>
      <c r="P228" s="392">
        <v>-14457</v>
      </c>
      <c r="Q228" s="392">
        <v>910594</v>
      </c>
      <c r="R228" s="392">
        <v>1450940</v>
      </c>
      <c r="S228" s="392">
        <v>16210</v>
      </c>
      <c r="T228" s="392">
        <v>94107</v>
      </c>
      <c r="U228" s="392">
        <v>2929</v>
      </c>
      <c r="V228" s="392">
        <v>946</v>
      </c>
      <c r="W228" s="392">
        <v>6489</v>
      </c>
      <c r="X228" s="392">
        <v>10885</v>
      </c>
      <c r="Y228" s="392">
        <v>53798</v>
      </c>
      <c r="Z228" s="392">
        <v>0</v>
      </c>
      <c r="AA228" s="392">
        <v>1451711</v>
      </c>
      <c r="AB228" s="392">
        <v>0</v>
      </c>
      <c r="AC228" s="392">
        <v>228053</v>
      </c>
      <c r="AD228" s="392">
        <v>17301</v>
      </c>
      <c r="AE228" s="392">
        <v>42413</v>
      </c>
      <c r="AF228" s="392">
        <v>103821</v>
      </c>
      <c r="AG228" s="392">
        <v>3479605</v>
      </c>
      <c r="AH228" s="392">
        <v>0</v>
      </c>
      <c r="AI228" s="392">
        <v>22694</v>
      </c>
      <c r="AJ228" s="392">
        <v>60793</v>
      </c>
      <c r="AK228" s="392">
        <v>3563092</v>
      </c>
      <c r="AL228" s="392">
        <v>833409</v>
      </c>
      <c r="AM228" s="392">
        <v>2238287</v>
      </c>
      <c r="AN228" s="392">
        <v>61425</v>
      </c>
      <c r="AO228" s="392">
        <v>21688</v>
      </c>
      <c r="AP228" s="392">
        <v>93973</v>
      </c>
      <c r="AQ228" s="392">
        <v>96391</v>
      </c>
      <c r="AR228" s="392">
        <v>149053</v>
      </c>
      <c r="AS228" s="392">
        <v>212093</v>
      </c>
      <c r="AT228" s="392">
        <v>174498</v>
      </c>
      <c r="AU228" s="392">
        <v>85356</v>
      </c>
      <c r="AV228" s="392">
        <v>240448</v>
      </c>
      <c r="AW228" s="392">
        <v>0</v>
      </c>
      <c r="AX228" s="392">
        <v>98413</v>
      </c>
      <c r="AY228" s="786">
        <v>14282</v>
      </c>
      <c r="AZ228" s="392">
        <v>910594</v>
      </c>
      <c r="BA228" s="639">
        <f>SUM(SNAMEB[[#This Row],[Instruction Expenditures]:[Transfers Out/OtherFinancing]])+SUM(SNAMEB[[#This Row],[General Fund Balance]:[Other Enterprise FundBalance]])</f>
        <v>4396502</v>
      </c>
      <c r="BB228" s="639">
        <f>SUM(SNAMEB[[#This Row],[Property Tax Revenue]:[IDEA/Other Fed Revenue]])+SNAMEB[General Long-term DebtProceeds]+SNAMEB[TransfersIn/Other Financing]+SNAMEB[Fixed Asset Disposition]+SNAMEB[Beginning Fund Balance]</f>
        <v>4396499</v>
      </c>
    </row>
    <row r="229" spans="1:54" x14ac:dyDescent="0.2">
      <c r="A229" s="390">
        <v>13</v>
      </c>
      <c r="B229" s="391" t="s">
        <v>304</v>
      </c>
      <c r="C229" s="631">
        <v>4978</v>
      </c>
      <c r="D229" t="s">
        <v>1254</v>
      </c>
      <c r="E229" s="392">
        <v>217527</v>
      </c>
      <c r="F229" s="392">
        <v>26881</v>
      </c>
      <c r="G229" s="392">
        <v>216426</v>
      </c>
      <c r="H229" s="392">
        <v>29068</v>
      </c>
      <c r="I229" s="392">
        <v>0</v>
      </c>
      <c r="J229" s="392">
        <v>0</v>
      </c>
      <c r="K229" s="392">
        <v>384655</v>
      </c>
      <c r="L229" s="392">
        <v>178437</v>
      </c>
      <c r="M229" s="392">
        <v>0</v>
      </c>
      <c r="N229" s="392">
        <v>8232</v>
      </c>
      <c r="O229" s="392">
        <v>32336</v>
      </c>
      <c r="P229" s="392">
        <v>8839</v>
      </c>
      <c r="Q229" s="392">
        <v>1102401</v>
      </c>
      <c r="R229" s="392">
        <v>1336170</v>
      </c>
      <c r="S229" s="392">
        <v>113609</v>
      </c>
      <c r="T229" s="392">
        <v>107710</v>
      </c>
      <c r="U229" s="392">
        <v>299939</v>
      </c>
      <c r="V229" s="392">
        <v>841</v>
      </c>
      <c r="W229" s="392">
        <v>34724</v>
      </c>
      <c r="X229" s="392">
        <v>73117</v>
      </c>
      <c r="Y229" s="392">
        <v>83731</v>
      </c>
      <c r="Z229" s="392">
        <v>0</v>
      </c>
      <c r="AA229" s="392">
        <v>890212</v>
      </c>
      <c r="AB229" s="392">
        <v>0</v>
      </c>
      <c r="AC229" s="392">
        <v>209756</v>
      </c>
      <c r="AD229" s="392">
        <v>3860</v>
      </c>
      <c r="AE229" s="392">
        <v>43932</v>
      </c>
      <c r="AF229" s="392">
        <v>131365</v>
      </c>
      <c r="AG229" s="392">
        <v>3328965</v>
      </c>
      <c r="AH229" s="392">
        <v>0</v>
      </c>
      <c r="AI229" s="392">
        <v>0</v>
      </c>
      <c r="AJ229" s="392">
        <v>0</v>
      </c>
      <c r="AK229" s="392">
        <v>3328965</v>
      </c>
      <c r="AL229" s="392">
        <v>1024895</v>
      </c>
      <c r="AM229" s="392">
        <v>1854242</v>
      </c>
      <c r="AN229" s="392">
        <v>23507</v>
      </c>
      <c r="AO229" s="392">
        <v>157522</v>
      </c>
      <c r="AP229" s="392">
        <v>119210</v>
      </c>
      <c r="AQ229" s="392">
        <v>132558</v>
      </c>
      <c r="AR229" s="392">
        <v>43634</v>
      </c>
      <c r="AS229" s="392">
        <v>331077</v>
      </c>
      <c r="AT229" s="392">
        <v>161827</v>
      </c>
      <c r="AU229" s="392">
        <v>119028</v>
      </c>
      <c r="AV229" s="392">
        <v>139091</v>
      </c>
      <c r="AW229" s="392">
        <v>65180</v>
      </c>
      <c r="AX229" s="392">
        <v>89103</v>
      </c>
      <c r="AY229" s="786">
        <v>15479</v>
      </c>
      <c r="AZ229" s="392">
        <v>1102401</v>
      </c>
      <c r="BA229" s="639">
        <f>SUM(SNAMEB[[#This Row],[Instruction Expenditures]:[Transfers Out/OtherFinancing]])+SUM(SNAMEB[[#This Row],[General Fund Balance]:[Other Enterprise FundBalance]])</f>
        <v>4353859</v>
      </c>
      <c r="BB229" s="639">
        <f>SUM(SNAMEB[[#This Row],[Property Tax Revenue]:[IDEA/Other Fed Revenue]])+SNAMEB[General Long-term DebtProceeds]+SNAMEB[TransfersIn/Other Financing]+SNAMEB[Fixed Asset Disposition]+SNAMEB[Beginning Fund Balance]</f>
        <v>4353861</v>
      </c>
    </row>
    <row r="230" spans="1:54" x14ac:dyDescent="0.2">
      <c r="A230" s="390">
        <v>7</v>
      </c>
      <c r="B230" s="391" t="s">
        <v>305</v>
      </c>
      <c r="C230" s="631">
        <v>4995</v>
      </c>
      <c r="D230" t="s">
        <v>1255</v>
      </c>
      <c r="E230" s="392">
        <v>1981941</v>
      </c>
      <c r="F230" s="392">
        <v>106462</v>
      </c>
      <c r="G230" s="392">
        <v>509788</v>
      </c>
      <c r="H230" s="392">
        <v>0</v>
      </c>
      <c r="I230" s="392">
        <v>63292</v>
      </c>
      <c r="J230" s="392">
        <v>0</v>
      </c>
      <c r="K230" s="392">
        <v>2490681</v>
      </c>
      <c r="L230" s="392">
        <v>798763</v>
      </c>
      <c r="M230" s="392">
        <v>0</v>
      </c>
      <c r="N230" s="392">
        <v>0</v>
      </c>
      <c r="O230" s="392">
        <v>134949</v>
      </c>
      <c r="P230" s="392">
        <v>0</v>
      </c>
      <c r="Q230" s="392">
        <v>6085876</v>
      </c>
      <c r="R230" s="392">
        <v>3921136</v>
      </c>
      <c r="S230" s="392">
        <v>24025</v>
      </c>
      <c r="T230" s="392">
        <v>126478</v>
      </c>
      <c r="U230" s="392">
        <v>312736</v>
      </c>
      <c r="V230" s="392">
        <v>51933</v>
      </c>
      <c r="W230" s="392">
        <v>258673</v>
      </c>
      <c r="X230" s="392">
        <v>494346</v>
      </c>
      <c r="Y230" s="392">
        <v>139467</v>
      </c>
      <c r="Z230" s="392">
        <v>0</v>
      </c>
      <c r="AA230" s="392">
        <v>5240849</v>
      </c>
      <c r="AB230" s="392">
        <v>0</v>
      </c>
      <c r="AC230" s="392">
        <v>934438</v>
      </c>
      <c r="AD230" s="392">
        <v>66651</v>
      </c>
      <c r="AE230" s="392">
        <v>105201</v>
      </c>
      <c r="AF230" s="392">
        <v>387589</v>
      </c>
      <c r="AG230" s="392">
        <v>12063521</v>
      </c>
      <c r="AH230" s="392">
        <v>0</v>
      </c>
      <c r="AI230" s="392">
        <v>114464</v>
      </c>
      <c r="AJ230" s="392">
        <v>0</v>
      </c>
      <c r="AK230" s="392">
        <v>12177985</v>
      </c>
      <c r="AL230" s="392">
        <v>5944542</v>
      </c>
      <c r="AM230" s="392">
        <v>7577229</v>
      </c>
      <c r="AN230" s="392">
        <v>260259</v>
      </c>
      <c r="AO230" s="392">
        <v>384601</v>
      </c>
      <c r="AP230" s="392">
        <v>255510</v>
      </c>
      <c r="AQ230" s="392">
        <v>540281</v>
      </c>
      <c r="AR230" s="392">
        <v>194745</v>
      </c>
      <c r="AS230" s="392">
        <v>690189</v>
      </c>
      <c r="AT230" s="392">
        <v>536606</v>
      </c>
      <c r="AU230" s="392">
        <v>493618</v>
      </c>
      <c r="AV230" s="392">
        <v>481330</v>
      </c>
      <c r="AW230" s="392">
        <v>114464</v>
      </c>
      <c r="AX230" s="392">
        <v>393357</v>
      </c>
      <c r="AY230" s="786">
        <v>114464</v>
      </c>
      <c r="AZ230" s="392">
        <v>6085876</v>
      </c>
      <c r="BA230" s="639">
        <f>SUM(SNAMEB[[#This Row],[Instruction Expenditures]:[Transfers Out/OtherFinancing]])+SUM(SNAMEB[[#This Row],[General Fund Balance]:[Other Enterprise FundBalance]])</f>
        <v>18122529</v>
      </c>
      <c r="BB230" s="639">
        <f>SUM(SNAMEB[[#This Row],[Property Tax Revenue]:[IDEA/Other Fed Revenue]])+SNAMEB[General Long-term DebtProceeds]+SNAMEB[TransfersIn/Other Financing]+SNAMEB[Fixed Asset Disposition]+SNAMEB[Beginning Fund Balance]</f>
        <v>18122528</v>
      </c>
    </row>
    <row r="231" spans="1:54" x14ac:dyDescent="0.2">
      <c r="A231" s="390">
        <v>15</v>
      </c>
      <c r="B231" s="391" t="s">
        <v>306</v>
      </c>
      <c r="C231" s="631">
        <v>5013</v>
      </c>
      <c r="D231" t="s">
        <v>1256</v>
      </c>
      <c r="E231" s="392">
        <v>2695101</v>
      </c>
      <c r="F231" s="392">
        <v>304989</v>
      </c>
      <c r="G231" s="392">
        <v>1070322</v>
      </c>
      <c r="H231" s="392">
        <v>0</v>
      </c>
      <c r="I231" s="392">
        <v>1858</v>
      </c>
      <c r="J231" s="392">
        <v>0</v>
      </c>
      <c r="K231" s="392">
        <v>2086595</v>
      </c>
      <c r="L231" s="392">
        <v>489144</v>
      </c>
      <c r="M231" s="392">
        <v>0</v>
      </c>
      <c r="N231" s="392">
        <v>0</v>
      </c>
      <c r="O231" s="392">
        <v>-353717</v>
      </c>
      <c r="P231" s="392">
        <v>-170149</v>
      </c>
      <c r="Q231" s="392">
        <v>6124142</v>
      </c>
      <c r="R231" s="392">
        <v>8936435</v>
      </c>
      <c r="S231" s="392">
        <v>395138</v>
      </c>
      <c r="T231" s="392">
        <v>130552</v>
      </c>
      <c r="U231" s="392">
        <v>461968</v>
      </c>
      <c r="V231" s="392">
        <v>18333</v>
      </c>
      <c r="W231" s="392">
        <v>393462</v>
      </c>
      <c r="X231" s="392">
        <v>634906</v>
      </c>
      <c r="Y231" s="392">
        <v>569449</v>
      </c>
      <c r="Z231" s="392">
        <v>626271</v>
      </c>
      <c r="AA231" s="392">
        <v>15272184</v>
      </c>
      <c r="AB231" s="392">
        <v>0</v>
      </c>
      <c r="AC231" s="392">
        <v>2010238</v>
      </c>
      <c r="AD231" s="392">
        <v>121635</v>
      </c>
      <c r="AE231" s="392">
        <v>552352</v>
      </c>
      <c r="AF231" s="392">
        <v>1353883</v>
      </c>
      <c r="AG231" s="392">
        <v>31476807</v>
      </c>
      <c r="AH231" s="392">
        <v>0</v>
      </c>
      <c r="AI231" s="392">
        <v>1113300</v>
      </c>
      <c r="AJ231" s="392">
        <v>114311</v>
      </c>
      <c r="AK231" s="392">
        <v>32704417</v>
      </c>
      <c r="AL231" s="392">
        <v>5304751</v>
      </c>
      <c r="AM231" s="392">
        <v>17988644</v>
      </c>
      <c r="AN231" s="392">
        <v>1001215</v>
      </c>
      <c r="AO231" s="392">
        <v>1841175</v>
      </c>
      <c r="AP231" s="392">
        <v>309418</v>
      </c>
      <c r="AQ231" s="392">
        <v>1480715</v>
      </c>
      <c r="AR231" s="392">
        <v>456884</v>
      </c>
      <c r="AS231" s="392">
        <v>2589185</v>
      </c>
      <c r="AT231" s="392">
        <v>1060422</v>
      </c>
      <c r="AU231" s="392">
        <v>1223341</v>
      </c>
      <c r="AV231" s="392">
        <v>671775</v>
      </c>
      <c r="AW231" s="392">
        <v>1113300</v>
      </c>
      <c r="AX231" s="392">
        <v>1035654</v>
      </c>
      <c r="AY231" s="786">
        <v>1113300</v>
      </c>
      <c r="AZ231" s="392">
        <v>6124142</v>
      </c>
      <c r="BA231" s="639">
        <f>SUM(SNAMEB[[#This Row],[Instruction Expenditures]:[Transfers Out/OtherFinancing]])+SUM(SNAMEB[[#This Row],[General Fund Balance]:[Other Enterprise FundBalance]])</f>
        <v>38009171</v>
      </c>
      <c r="BB231" s="639">
        <f>SUM(SNAMEB[[#This Row],[Property Tax Revenue]:[IDEA/Other Fed Revenue]])+SNAMEB[General Long-term DebtProceeds]+SNAMEB[TransfersIn/Other Financing]+SNAMEB[Fixed Asset Disposition]+SNAMEB[Beginning Fund Balance]</f>
        <v>38009168</v>
      </c>
    </row>
    <row r="232" spans="1:54" x14ac:dyDescent="0.2">
      <c r="A232" s="390">
        <v>15</v>
      </c>
      <c r="B232" s="391" t="s">
        <v>307</v>
      </c>
      <c r="C232" s="631">
        <v>5049</v>
      </c>
      <c r="D232" t="s">
        <v>1257</v>
      </c>
      <c r="E232" s="392">
        <v>8268357</v>
      </c>
      <c r="F232" s="392">
        <v>646190</v>
      </c>
      <c r="G232" s="392">
        <v>456309</v>
      </c>
      <c r="H232" s="392">
        <v>0</v>
      </c>
      <c r="I232" s="392">
        <v>0</v>
      </c>
      <c r="J232" s="392">
        <v>0</v>
      </c>
      <c r="K232" s="392">
        <v>5323287</v>
      </c>
      <c r="L232" s="392">
        <v>818150</v>
      </c>
      <c r="M232" s="392">
        <v>0</v>
      </c>
      <c r="N232" s="392">
        <v>2730330</v>
      </c>
      <c r="O232" s="392">
        <v>201560</v>
      </c>
      <c r="P232" s="392">
        <v>220559</v>
      </c>
      <c r="Q232" s="392">
        <v>18664743</v>
      </c>
      <c r="R232" s="392">
        <v>11261956</v>
      </c>
      <c r="S232" s="392">
        <v>298980</v>
      </c>
      <c r="T232" s="392">
        <v>0</v>
      </c>
      <c r="U232" s="392">
        <v>421005</v>
      </c>
      <c r="V232" s="392">
        <v>67000</v>
      </c>
      <c r="W232" s="392">
        <v>357850</v>
      </c>
      <c r="X232" s="392">
        <v>1304944</v>
      </c>
      <c r="Y232" s="392">
        <v>1003691</v>
      </c>
      <c r="Z232" s="392">
        <v>54209</v>
      </c>
      <c r="AA232" s="392">
        <v>32920085</v>
      </c>
      <c r="AB232" s="392">
        <v>0</v>
      </c>
      <c r="AC232" s="392">
        <v>4740358</v>
      </c>
      <c r="AD232" s="392">
        <v>358956</v>
      </c>
      <c r="AE232" s="392">
        <v>1264206</v>
      </c>
      <c r="AF232" s="392">
        <v>3403129</v>
      </c>
      <c r="AG232" s="392">
        <v>57456369</v>
      </c>
      <c r="AH232" s="392">
        <v>0</v>
      </c>
      <c r="AI232" s="392">
        <v>1453463</v>
      </c>
      <c r="AJ232" s="392">
        <v>4715</v>
      </c>
      <c r="AK232" s="392">
        <v>58914547</v>
      </c>
      <c r="AL232" s="392">
        <v>17603787</v>
      </c>
      <c r="AM232" s="392">
        <v>32522742</v>
      </c>
      <c r="AN232" s="392">
        <v>1989114</v>
      </c>
      <c r="AO232" s="392">
        <v>2835671</v>
      </c>
      <c r="AP232" s="392">
        <v>379495</v>
      </c>
      <c r="AQ232" s="392">
        <v>3321311</v>
      </c>
      <c r="AR232" s="392">
        <v>956981</v>
      </c>
      <c r="AS232" s="392">
        <v>3868474</v>
      </c>
      <c r="AT232" s="392">
        <v>1914458</v>
      </c>
      <c r="AU232" s="392">
        <v>2353207</v>
      </c>
      <c r="AV232" s="392">
        <v>2403652</v>
      </c>
      <c r="AW232" s="392">
        <v>1440141</v>
      </c>
      <c r="AX232" s="392">
        <v>1900352</v>
      </c>
      <c r="AY232" s="786">
        <v>1967993</v>
      </c>
      <c r="AZ232" s="392">
        <v>18664743</v>
      </c>
      <c r="BA232" s="639">
        <f>SUM(SNAMEB[[#This Row],[Instruction Expenditures]:[Transfers Out/OtherFinancing]])+SUM(SNAMEB[[#This Row],[General Fund Balance]:[Other Enterprise FundBalance]])</f>
        <v>76518333</v>
      </c>
      <c r="BB232" s="639">
        <f>SUM(SNAMEB[[#This Row],[Property Tax Revenue]:[IDEA/Other Fed Revenue]])+SNAMEB[General Long-term DebtProceeds]+SNAMEB[TransfersIn/Other Financing]+SNAMEB[Fixed Asset Disposition]+SNAMEB[Beginning Fund Balance]</f>
        <v>76518334</v>
      </c>
    </row>
    <row r="233" spans="1:54" x14ac:dyDescent="0.2">
      <c r="A233" s="390">
        <v>11</v>
      </c>
      <c r="B233" s="391" t="s">
        <v>308</v>
      </c>
      <c r="C233" s="631">
        <v>5121</v>
      </c>
      <c r="D233" t="s">
        <v>1258</v>
      </c>
      <c r="E233" s="392">
        <v>1270350</v>
      </c>
      <c r="F233" s="392">
        <v>57188</v>
      </c>
      <c r="G233" s="392">
        <v>207954</v>
      </c>
      <c r="H233" s="392">
        <v>0</v>
      </c>
      <c r="I233" s="392">
        <v>0</v>
      </c>
      <c r="J233" s="392">
        <v>0</v>
      </c>
      <c r="K233" s="392">
        <v>1309472</v>
      </c>
      <c r="L233" s="392">
        <v>258790</v>
      </c>
      <c r="M233" s="392">
        <v>0</v>
      </c>
      <c r="N233" s="392">
        <v>5910673</v>
      </c>
      <c r="O233" s="392">
        <v>12679</v>
      </c>
      <c r="P233" s="392">
        <v>0</v>
      </c>
      <c r="Q233" s="392">
        <v>9027107</v>
      </c>
      <c r="R233" s="392">
        <v>4509665</v>
      </c>
      <c r="S233" s="392">
        <v>147038</v>
      </c>
      <c r="T233" s="392">
        <v>376887</v>
      </c>
      <c r="U233" s="392">
        <v>353199</v>
      </c>
      <c r="V233" s="392">
        <v>77099</v>
      </c>
      <c r="W233" s="392">
        <v>238501</v>
      </c>
      <c r="X233" s="392">
        <v>274625</v>
      </c>
      <c r="Y233" s="392">
        <v>179563</v>
      </c>
      <c r="Z233" s="392">
        <v>0</v>
      </c>
      <c r="AA233" s="392">
        <v>3611198</v>
      </c>
      <c r="AB233" s="392">
        <v>0</v>
      </c>
      <c r="AC233" s="392">
        <v>719608</v>
      </c>
      <c r="AD233" s="392">
        <v>48124</v>
      </c>
      <c r="AE233" s="392">
        <v>96926</v>
      </c>
      <c r="AF233" s="392">
        <v>304056</v>
      </c>
      <c r="AG233" s="392">
        <v>10936489</v>
      </c>
      <c r="AH233" s="392">
        <v>0</v>
      </c>
      <c r="AI233" s="392">
        <v>377642</v>
      </c>
      <c r="AJ233" s="392">
        <v>8500</v>
      </c>
      <c r="AK233" s="392">
        <v>11322630</v>
      </c>
      <c r="AL233" s="392">
        <v>12594736</v>
      </c>
      <c r="AM233" s="392">
        <v>5993415</v>
      </c>
      <c r="AN233" s="392">
        <v>285973</v>
      </c>
      <c r="AO233" s="392">
        <v>489010</v>
      </c>
      <c r="AP233" s="392">
        <v>238306</v>
      </c>
      <c r="AQ233" s="392">
        <v>459551</v>
      </c>
      <c r="AR233" s="392">
        <v>164703</v>
      </c>
      <c r="AS233" s="392">
        <v>711791</v>
      </c>
      <c r="AT233" s="392">
        <v>504090</v>
      </c>
      <c r="AU233" s="392">
        <v>471626</v>
      </c>
      <c r="AV233" s="392">
        <v>3529592</v>
      </c>
      <c r="AW233" s="392">
        <v>1432760</v>
      </c>
      <c r="AX233" s="392">
        <v>285276</v>
      </c>
      <c r="AY233" s="786">
        <v>324166</v>
      </c>
      <c r="AZ233" s="392">
        <v>9027107</v>
      </c>
      <c r="BA233" s="639">
        <f>SUM(SNAMEB[[#This Row],[Instruction Expenditures]:[Transfers Out/OtherFinancing]])+SUM(SNAMEB[[#This Row],[General Fund Balance]:[Other Enterprise FundBalance]])</f>
        <v>23917365</v>
      </c>
      <c r="BB233" s="639">
        <f>SUM(SNAMEB[[#This Row],[Property Tax Revenue]:[IDEA/Other Fed Revenue]])+SNAMEB[General Long-term DebtProceeds]+SNAMEB[TransfersIn/Other Financing]+SNAMEB[Fixed Asset Disposition]+SNAMEB[Beginning Fund Balance]</f>
        <v>23917367</v>
      </c>
    </row>
    <row r="234" spans="1:54" x14ac:dyDescent="0.2">
      <c r="A234" s="390">
        <v>5</v>
      </c>
      <c r="B234" s="391" t="s">
        <v>309</v>
      </c>
      <c r="C234" s="631">
        <v>5139</v>
      </c>
      <c r="D234" t="s">
        <v>1259</v>
      </c>
      <c r="E234" s="392">
        <v>546129</v>
      </c>
      <c r="F234" s="392">
        <v>17950</v>
      </c>
      <c r="G234" s="392">
        <v>421344</v>
      </c>
      <c r="H234" s="392">
        <v>0</v>
      </c>
      <c r="I234" s="392">
        <v>0</v>
      </c>
      <c r="J234" s="392">
        <v>0</v>
      </c>
      <c r="K234" s="392">
        <v>213571</v>
      </c>
      <c r="L234" s="392">
        <v>57234</v>
      </c>
      <c r="M234" s="392">
        <v>0</v>
      </c>
      <c r="N234" s="392">
        <v>0</v>
      </c>
      <c r="O234" s="392">
        <v>24735</v>
      </c>
      <c r="P234" s="392">
        <v>16557</v>
      </c>
      <c r="Q234" s="392">
        <v>1297520</v>
      </c>
      <c r="R234" s="392">
        <v>1145868</v>
      </c>
      <c r="S234" s="392">
        <v>59556</v>
      </c>
      <c r="T234" s="392">
        <v>51273</v>
      </c>
      <c r="U234" s="392">
        <v>391452</v>
      </c>
      <c r="V234" s="392">
        <v>4945</v>
      </c>
      <c r="W234" s="392">
        <v>40920</v>
      </c>
      <c r="X234" s="392">
        <v>55001</v>
      </c>
      <c r="Y234" s="392">
        <v>140973</v>
      </c>
      <c r="Z234" s="392">
        <v>0</v>
      </c>
      <c r="AA234" s="392">
        <v>1129788</v>
      </c>
      <c r="AB234" s="392">
        <v>0</v>
      </c>
      <c r="AC234" s="392">
        <v>212068</v>
      </c>
      <c r="AD234" s="392">
        <v>12820</v>
      </c>
      <c r="AE234" s="392">
        <v>32527</v>
      </c>
      <c r="AF234" s="392">
        <v>91255</v>
      </c>
      <c r="AG234" s="392">
        <v>3368445</v>
      </c>
      <c r="AH234" s="392">
        <v>0</v>
      </c>
      <c r="AI234" s="392">
        <v>113302</v>
      </c>
      <c r="AJ234" s="392">
        <v>35820</v>
      </c>
      <c r="AK234" s="392">
        <v>3517567</v>
      </c>
      <c r="AL234" s="392">
        <v>1006771</v>
      </c>
      <c r="AM234" s="392">
        <v>1787707</v>
      </c>
      <c r="AN234" s="392">
        <v>50690</v>
      </c>
      <c r="AO234" s="392">
        <v>81138</v>
      </c>
      <c r="AP234" s="392">
        <v>90791</v>
      </c>
      <c r="AQ234" s="392">
        <v>168246</v>
      </c>
      <c r="AR234" s="392">
        <v>61717</v>
      </c>
      <c r="AS234" s="392">
        <v>260601</v>
      </c>
      <c r="AT234" s="392">
        <v>209450</v>
      </c>
      <c r="AU234" s="392">
        <v>203641</v>
      </c>
      <c r="AV234" s="392">
        <v>0</v>
      </c>
      <c r="AW234" s="392">
        <v>113302</v>
      </c>
      <c r="AX234" s="392">
        <v>86235</v>
      </c>
      <c r="AY234" s="786">
        <v>113302</v>
      </c>
      <c r="AZ234" s="392">
        <v>1297520</v>
      </c>
      <c r="BA234" s="639">
        <f>SUM(SNAMEB[[#This Row],[Instruction Expenditures]:[Transfers Out/OtherFinancing]])+SUM(SNAMEB[[#This Row],[General Fund Balance]:[Other Enterprise FundBalance]])</f>
        <v>4524340</v>
      </c>
      <c r="BB234" s="639">
        <f>SUM(SNAMEB[[#This Row],[Property Tax Revenue]:[IDEA/Other Fed Revenue]])+SNAMEB[General Long-term DebtProceeds]+SNAMEB[TransfersIn/Other Financing]+SNAMEB[Fixed Asset Disposition]+SNAMEB[Beginning Fund Balance]</f>
        <v>4524339</v>
      </c>
    </row>
    <row r="235" spans="1:54" x14ac:dyDescent="0.2">
      <c r="A235" s="390">
        <v>11</v>
      </c>
      <c r="B235" s="391" t="s">
        <v>318</v>
      </c>
      <c r="C235" s="631">
        <v>5160</v>
      </c>
      <c r="D235" t="s">
        <v>648</v>
      </c>
      <c r="E235" s="392">
        <v>1857832</v>
      </c>
      <c r="F235" s="392">
        <v>159979</v>
      </c>
      <c r="G235" s="392">
        <v>678336</v>
      </c>
      <c r="H235" s="392">
        <v>0</v>
      </c>
      <c r="I235" s="392">
        <v>0</v>
      </c>
      <c r="J235" s="392">
        <v>0</v>
      </c>
      <c r="K235" s="392">
        <v>3584964</v>
      </c>
      <c r="L235" s="392">
        <v>208080</v>
      </c>
      <c r="M235" s="392">
        <v>9698210</v>
      </c>
      <c r="N235" s="392">
        <v>0</v>
      </c>
      <c r="O235" s="392">
        <v>146155</v>
      </c>
      <c r="P235" s="392">
        <v>0</v>
      </c>
      <c r="Q235" s="392">
        <v>16333557</v>
      </c>
      <c r="R235" s="392">
        <v>3461498</v>
      </c>
      <c r="S235" s="392">
        <v>176046</v>
      </c>
      <c r="T235" s="392">
        <v>57213</v>
      </c>
      <c r="U235" s="392">
        <v>490688</v>
      </c>
      <c r="V235" s="392">
        <v>14803</v>
      </c>
      <c r="W235" s="392">
        <v>388707</v>
      </c>
      <c r="X235" s="392">
        <v>216132</v>
      </c>
      <c r="Y235" s="392">
        <v>234286</v>
      </c>
      <c r="Z235" s="392">
        <v>0</v>
      </c>
      <c r="AA235" s="392">
        <v>6346130</v>
      </c>
      <c r="AB235" s="392">
        <v>0</v>
      </c>
      <c r="AC235" s="392">
        <v>1063192</v>
      </c>
      <c r="AD235" s="392">
        <v>40180</v>
      </c>
      <c r="AE235" s="392">
        <v>90395</v>
      </c>
      <c r="AF235" s="392">
        <v>504029</v>
      </c>
      <c r="AG235" s="392">
        <v>13083300</v>
      </c>
      <c r="AH235" s="392">
        <v>9997540</v>
      </c>
      <c r="AI235" s="392">
        <v>212211</v>
      </c>
      <c r="AJ235" s="392">
        <v>15730</v>
      </c>
      <c r="AK235" s="392">
        <v>23308781</v>
      </c>
      <c r="AL235" s="392">
        <v>7040941</v>
      </c>
      <c r="AM235" s="392">
        <v>7735251</v>
      </c>
      <c r="AN235" s="392">
        <v>366519</v>
      </c>
      <c r="AO235" s="392">
        <v>415322</v>
      </c>
      <c r="AP235" s="392">
        <v>338863</v>
      </c>
      <c r="AQ235" s="392">
        <v>683864</v>
      </c>
      <c r="AR235" s="392">
        <v>266312</v>
      </c>
      <c r="AS235" s="392">
        <v>944535</v>
      </c>
      <c r="AT235" s="392">
        <v>617791</v>
      </c>
      <c r="AU235" s="392">
        <v>636820</v>
      </c>
      <c r="AV235" s="392">
        <v>1078725</v>
      </c>
      <c r="AW235" s="392">
        <v>222758</v>
      </c>
      <c r="AX235" s="392">
        <v>425677</v>
      </c>
      <c r="AY235" s="786">
        <v>283728</v>
      </c>
      <c r="AZ235" s="392">
        <v>16333557</v>
      </c>
      <c r="BA235" s="639">
        <f>SUM(SNAMEB[[#This Row],[Instruction Expenditures]:[Transfers Out/OtherFinancing]])+SUM(SNAMEB[[#This Row],[General Fund Balance]:[Other Enterprise FundBalance]])</f>
        <v>30349721</v>
      </c>
      <c r="BB235" s="639">
        <f>SUM(SNAMEB[[#This Row],[Property Tax Revenue]:[IDEA/Other Fed Revenue]])+SNAMEB[General Long-term DebtProceeds]+SNAMEB[TransfersIn/Other Financing]+SNAMEB[Fixed Asset Disposition]+SNAMEB[Beginning Fund Balance]</f>
        <v>30349721</v>
      </c>
    </row>
    <row r="236" spans="1:54" x14ac:dyDescent="0.2">
      <c r="A236" s="390">
        <v>15</v>
      </c>
      <c r="B236" s="391" t="s">
        <v>311</v>
      </c>
      <c r="C236" s="631">
        <v>5163</v>
      </c>
      <c r="D236" t="s">
        <v>1260</v>
      </c>
      <c r="E236" s="392">
        <v>1551859</v>
      </c>
      <c r="F236" s="392">
        <v>127881</v>
      </c>
      <c r="G236" s="392">
        <v>1016129</v>
      </c>
      <c r="H236" s="392">
        <v>0</v>
      </c>
      <c r="I236" s="392">
        <v>0</v>
      </c>
      <c r="J236" s="392">
        <v>0</v>
      </c>
      <c r="K236" s="392">
        <v>791010</v>
      </c>
      <c r="L236" s="392">
        <v>390429</v>
      </c>
      <c r="M236" s="392">
        <v>0</v>
      </c>
      <c r="N236" s="392">
        <v>0</v>
      </c>
      <c r="O236" s="392">
        <v>331987</v>
      </c>
      <c r="P236" s="392">
        <v>329603</v>
      </c>
      <c r="Q236" s="392">
        <v>4538898</v>
      </c>
      <c r="R236" s="392">
        <v>2700292</v>
      </c>
      <c r="S236" s="392">
        <v>32278</v>
      </c>
      <c r="T236" s="392">
        <v>236128</v>
      </c>
      <c r="U236" s="392">
        <v>472733</v>
      </c>
      <c r="V236" s="392">
        <v>34602</v>
      </c>
      <c r="W236" s="392">
        <v>139523</v>
      </c>
      <c r="X236" s="392">
        <v>299918</v>
      </c>
      <c r="Y236" s="392">
        <v>452873</v>
      </c>
      <c r="Z236" s="392">
        <v>0</v>
      </c>
      <c r="AA236" s="392">
        <v>3494016</v>
      </c>
      <c r="AB236" s="392">
        <v>0</v>
      </c>
      <c r="AC236" s="392">
        <v>642724</v>
      </c>
      <c r="AD236" s="392">
        <v>25643</v>
      </c>
      <c r="AE236" s="392">
        <v>93730</v>
      </c>
      <c r="AF236" s="392">
        <v>296120</v>
      </c>
      <c r="AG236" s="392">
        <v>8920580</v>
      </c>
      <c r="AH236" s="392">
        <v>0</v>
      </c>
      <c r="AI236" s="392">
        <v>45894</v>
      </c>
      <c r="AJ236" s="392">
        <v>0</v>
      </c>
      <c r="AK236" s="392">
        <v>8966474</v>
      </c>
      <c r="AL236" s="392">
        <v>3997182</v>
      </c>
      <c r="AM236" s="392">
        <v>5018855</v>
      </c>
      <c r="AN236" s="392">
        <v>106655</v>
      </c>
      <c r="AO236" s="392">
        <v>239761</v>
      </c>
      <c r="AP236" s="392">
        <v>280205</v>
      </c>
      <c r="AQ236" s="392">
        <v>340880</v>
      </c>
      <c r="AR236" s="392">
        <v>76956</v>
      </c>
      <c r="AS236" s="392">
        <v>717231</v>
      </c>
      <c r="AT236" s="392">
        <v>483133</v>
      </c>
      <c r="AU236" s="392">
        <v>576571</v>
      </c>
      <c r="AV236" s="392">
        <v>142562</v>
      </c>
      <c r="AW236" s="392">
        <v>0</v>
      </c>
      <c r="AX236" s="392">
        <v>260149</v>
      </c>
      <c r="AY236" s="786">
        <v>181799</v>
      </c>
      <c r="AZ236" s="392">
        <v>4538898</v>
      </c>
      <c r="BA236" s="639">
        <f>SUM(SNAMEB[[#This Row],[Instruction Expenditures]:[Transfers Out/OtherFinancing]])+SUM(SNAMEB[[#This Row],[General Fund Balance]:[Other Enterprise FundBalance]])</f>
        <v>12963655</v>
      </c>
      <c r="BB236" s="639">
        <f>SUM(SNAMEB[[#This Row],[Property Tax Revenue]:[IDEA/Other Fed Revenue]])+SNAMEB[General Long-term DebtProceeds]+SNAMEB[TransfersIn/Other Financing]+SNAMEB[Fixed Asset Disposition]+SNAMEB[Beginning Fund Balance]</f>
        <v>12963656</v>
      </c>
    </row>
    <row r="237" spans="1:54" x14ac:dyDescent="0.2">
      <c r="A237" s="390">
        <v>11</v>
      </c>
      <c r="B237" s="391" t="s">
        <v>312</v>
      </c>
      <c r="C237" s="631">
        <v>5166</v>
      </c>
      <c r="D237" t="s">
        <v>1261</v>
      </c>
      <c r="E237" s="392">
        <v>2513321</v>
      </c>
      <c r="F237" s="392">
        <v>236563</v>
      </c>
      <c r="G237" s="392">
        <v>630895</v>
      </c>
      <c r="H237" s="392">
        <v>0</v>
      </c>
      <c r="I237" s="392">
        <v>0</v>
      </c>
      <c r="J237" s="392">
        <v>0</v>
      </c>
      <c r="K237" s="392">
        <v>11345293</v>
      </c>
      <c r="L237" s="392">
        <v>239870</v>
      </c>
      <c r="M237" s="392">
        <v>0</v>
      </c>
      <c r="N237" s="392">
        <v>125560</v>
      </c>
      <c r="O237" s="392">
        <v>272376</v>
      </c>
      <c r="P237" s="392">
        <v>0</v>
      </c>
      <c r="Q237" s="392">
        <v>15363878</v>
      </c>
      <c r="R237" s="392">
        <v>10987077</v>
      </c>
      <c r="S237" s="392">
        <v>74567</v>
      </c>
      <c r="T237" s="392">
        <v>732877</v>
      </c>
      <c r="U237" s="392">
        <v>1143510</v>
      </c>
      <c r="V237" s="392">
        <v>52589</v>
      </c>
      <c r="W237" s="392">
        <v>764255</v>
      </c>
      <c r="X237" s="392">
        <v>770243</v>
      </c>
      <c r="Y237" s="392">
        <v>483975</v>
      </c>
      <c r="Z237" s="392">
        <v>0</v>
      </c>
      <c r="AA237" s="392">
        <v>12186508</v>
      </c>
      <c r="AB237" s="392">
        <v>0</v>
      </c>
      <c r="AC237" s="392">
        <v>2393069</v>
      </c>
      <c r="AD237" s="392">
        <v>322212</v>
      </c>
      <c r="AE237" s="392">
        <v>132560</v>
      </c>
      <c r="AF237" s="392">
        <v>866440</v>
      </c>
      <c r="AG237" s="392">
        <v>30909884</v>
      </c>
      <c r="AH237" s="392">
        <v>10000000</v>
      </c>
      <c r="AI237" s="392">
        <v>449416</v>
      </c>
      <c r="AJ237" s="392">
        <v>32069</v>
      </c>
      <c r="AK237" s="392">
        <v>41391369</v>
      </c>
      <c r="AL237" s="392">
        <v>17190169</v>
      </c>
      <c r="AM237" s="392">
        <v>17345047</v>
      </c>
      <c r="AN237" s="392">
        <v>523287</v>
      </c>
      <c r="AO237" s="392">
        <v>1298049</v>
      </c>
      <c r="AP237" s="392">
        <v>347696</v>
      </c>
      <c r="AQ237" s="392">
        <v>1051345</v>
      </c>
      <c r="AR237" s="392">
        <v>599334</v>
      </c>
      <c r="AS237" s="392">
        <v>2434491</v>
      </c>
      <c r="AT237" s="392">
        <v>1248307</v>
      </c>
      <c r="AU237" s="392">
        <v>1034537</v>
      </c>
      <c r="AV237" s="392">
        <v>13412791</v>
      </c>
      <c r="AW237" s="392">
        <v>2782697</v>
      </c>
      <c r="AX237" s="392">
        <v>895760</v>
      </c>
      <c r="AY237" s="786">
        <v>244319</v>
      </c>
      <c r="AZ237" s="392">
        <v>15363878</v>
      </c>
      <c r="BA237" s="639">
        <f>SUM(SNAMEB[[#This Row],[Instruction Expenditures]:[Transfers Out/OtherFinancing]])+SUM(SNAMEB[[#This Row],[General Fund Balance]:[Other Enterprise FundBalance]])</f>
        <v>58581538</v>
      </c>
      <c r="BB237" s="639">
        <f>SUM(SNAMEB[[#This Row],[Property Tax Revenue]:[IDEA/Other Fed Revenue]])+SNAMEB[General Long-term DebtProceeds]+SNAMEB[TransfersIn/Other Financing]+SNAMEB[Fixed Asset Disposition]+SNAMEB[Beginning Fund Balance]</f>
        <v>58581536</v>
      </c>
    </row>
    <row r="238" spans="1:54" x14ac:dyDescent="0.2">
      <c r="A238" s="390">
        <v>11</v>
      </c>
      <c r="B238" s="391" t="s">
        <v>313</v>
      </c>
      <c r="C238" s="631">
        <v>5184</v>
      </c>
      <c r="D238" t="s">
        <v>1262</v>
      </c>
      <c r="E238" s="392">
        <v>2598135</v>
      </c>
      <c r="F238" s="392">
        <v>91708</v>
      </c>
      <c r="G238" s="392">
        <v>529288</v>
      </c>
      <c r="H238" s="392">
        <v>0</v>
      </c>
      <c r="I238" s="392">
        <v>0</v>
      </c>
      <c r="J238" s="392">
        <v>0</v>
      </c>
      <c r="K238" s="392">
        <v>1651177</v>
      </c>
      <c r="L238" s="392">
        <v>544307</v>
      </c>
      <c r="M238" s="392">
        <v>0</v>
      </c>
      <c r="N238" s="392">
        <v>1878177</v>
      </c>
      <c r="O238" s="392">
        <v>489543</v>
      </c>
      <c r="P238" s="392">
        <v>10844</v>
      </c>
      <c r="Q238" s="392">
        <v>7793177</v>
      </c>
      <c r="R238" s="392">
        <v>5503695</v>
      </c>
      <c r="S238" s="392">
        <v>157896</v>
      </c>
      <c r="T238" s="392">
        <v>217936</v>
      </c>
      <c r="U238" s="392">
        <v>435104</v>
      </c>
      <c r="V238" s="392">
        <v>203781</v>
      </c>
      <c r="W238" s="392">
        <v>288544</v>
      </c>
      <c r="X238" s="392">
        <v>93537</v>
      </c>
      <c r="Y238" s="392">
        <v>602198</v>
      </c>
      <c r="Z238" s="392">
        <v>0</v>
      </c>
      <c r="AA238" s="392">
        <v>13329316</v>
      </c>
      <c r="AB238" s="392">
        <v>0</v>
      </c>
      <c r="AC238" s="392">
        <v>1861827</v>
      </c>
      <c r="AD238" s="392">
        <v>123601</v>
      </c>
      <c r="AE238" s="392">
        <v>571515</v>
      </c>
      <c r="AF238" s="392">
        <v>1673437</v>
      </c>
      <c r="AG238" s="392">
        <v>25062388</v>
      </c>
      <c r="AH238" s="392">
        <v>7630000</v>
      </c>
      <c r="AI238" s="392">
        <v>1193382</v>
      </c>
      <c r="AJ238" s="392">
        <v>12803</v>
      </c>
      <c r="AK238" s="392">
        <v>33898574</v>
      </c>
      <c r="AL238" s="392">
        <v>10122103</v>
      </c>
      <c r="AM238" s="392">
        <v>15089235</v>
      </c>
      <c r="AN238" s="392">
        <v>500522</v>
      </c>
      <c r="AO238" s="392">
        <v>1082274</v>
      </c>
      <c r="AP238" s="392">
        <v>327589</v>
      </c>
      <c r="AQ238" s="392">
        <v>1378388</v>
      </c>
      <c r="AR238" s="392">
        <v>530051</v>
      </c>
      <c r="AS238" s="392">
        <v>1674466</v>
      </c>
      <c r="AT238" s="392">
        <v>744134</v>
      </c>
      <c r="AU238" s="392">
        <v>1798061</v>
      </c>
      <c r="AV238" s="392">
        <v>1019482</v>
      </c>
      <c r="AW238" s="392">
        <v>10130593</v>
      </c>
      <c r="AX238" s="392">
        <v>756919</v>
      </c>
      <c r="AY238" s="786">
        <v>1195788</v>
      </c>
      <c r="AZ238" s="392">
        <v>7793177</v>
      </c>
      <c r="BA238" s="639">
        <f>SUM(SNAMEB[[#This Row],[Instruction Expenditures]:[Transfers Out/OtherFinancing]])+SUM(SNAMEB[[#This Row],[General Fund Balance]:[Other Enterprise FundBalance]])</f>
        <v>44020681</v>
      </c>
      <c r="BB238" s="639">
        <f>SUM(SNAMEB[[#This Row],[Property Tax Revenue]:[IDEA/Other Fed Revenue]])+SNAMEB[General Long-term DebtProceeds]+SNAMEB[TransfersIn/Other Financing]+SNAMEB[Fixed Asset Disposition]+SNAMEB[Beginning Fund Balance]</f>
        <v>44020675</v>
      </c>
    </row>
    <row r="239" spans="1:54" x14ac:dyDescent="0.2">
      <c r="A239" s="390">
        <v>9</v>
      </c>
      <c r="B239" s="391" t="s">
        <v>314</v>
      </c>
      <c r="C239" s="631">
        <v>5250</v>
      </c>
      <c r="D239" t="s">
        <v>1263</v>
      </c>
      <c r="E239" s="392">
        <v>5728529</v>
      </c>
      <c r="F239" s="392">
        <v>672303</v>
      </c>
      <c r="G239" s="392">
        <v>1504140</v>
      </c>
      <c r="H239" s="392">
        <v>0</v>
      </c>
      <c r="I239" s="392">
        <v>0</v>
      </c>
      <c r="J239" s="392">
        <v>0</v>
      </c>
      <c r="K239" s="392">
        <v>5283186</v>
      </c>
      <c r="L239" s="392">
        <v>368587</v>
      </c>
      <c r="M239" s="392">
        <v>0</v>
      </c>
      <c r="N239" s="392">
        <v>594338</v>
      </c>
      <c r="O239" s="392">
        <v>962434</v>
      </c>
      <c r="P239" s="392">
        <v>0</v>
      </c>
      <c r="Q239" s="392">
        <v>15113517</v>
      </c>
      <c r="R239" s="392">
        <v>19008201</v>
      </c>
      <c r="S239" s="392">
        <v>757662</v>
      </c>
      <c r="T239" s="392">
        <v>0</v>
      </c>
      <c r="U239" s="392">
        <v>2060848</v>
      </c>
      <c r="V239" s="392">
        <v>92100</v>
      </c>
      <c r="W239" s="392">
        <v>1569481</v>
      </c>
      <c r="X239" s="392">
        <v>761964</v>
      </c>
      <c r="Y239" s="392">
        <v>802195</v>
      </c>
      <c r="Z239" s="392">
        <v>6470</v>
      </c>
      <c r="AA239" s="392">
        <v>23651149</v>
      </c>
      <c r="AB239" s="392">
        <v>0</v>
      </c>
      <c r="AC239" s="392">
        <v>5770851</v>
      </c>
      <c r="AD239" s="392">
        <v>346896</v>
      </c>
      <c r="AE239" s="392">
        <v>170761</v>
      </c>
      <c r="AF239" s="392">
        <v>1301935</v>
      </c>
      <c r="AG239" s="392">
        <v>56300513</v>
      </c>
      <c r="AH239" s="392">
        <v>10000000</v>
      </c>
      <c r="AI239" s="392">
        <v>1821187</v>
      </c>
      <c r="AJ239" s="392">
        <v>2361</v>
      </c>
      <c r="AK239" s="392">
        <v>68124061</v>
      </c>
      <c r="AL239" s="392">
        <v>8831778</v>
      </c>
      <c r="AM239" s="392">
        <v>32013799</v>
      </c>
      <c r="AN239" s="392">
        <v>1805292</v>
      </c>
      <c r="AO239" s="392">
        <v>3217194</v>
      </c>
      <c r="AP239" s="392">
        <v>553902</v>
      </c>
      <c r="AQ239" s="392">
        <v>2772557</v>
      </c>
      <c r="AR239" s="392">
        <v>927310</v>
      </c>
      <c r="AS239" s="392">
        <v>3072449</v>
      </c>
      <c r="AT239" s="392">
        <v>1687983</v>
      </c>
      <c r="AU239" s="392">
        <v>1841332</v>
      </c>
      <c r="AV239" s="392">
        <v>10084681</v>
      </c>
      <c r="AW239" s="392">
        <v>206613</v>
      </c>
      <c r="AX239" s="392">
        <v>1826774</v>
      </c>
      <c r="AY239" s="786">
        <v>1832437</v>
      </c>
      <c r="AZ239" s="392">
        <v>15113517</v>
      </c>
      <c r="BA239" s="639">
        <f>SUM(SNAMEB[[#This Row],[Instruction Expenditures]:[Transfers Out/OtherFinancing]])+SUM(SNAMEB[[#This Row],[General Fund Balance]:[Other Enterprise FundBalance]])</f>
        <v>76955840</v>
      </c>
      <c r="BB239" s="639">
        <f>SUM(SNAMEB[[#This Row],[Property Tax Revenue]:[IDEA/Other Fed Revenue]])+SNAMEB[General Long-term DebtProceeds]+SNAMEB[TransfersIn/Other Financing]+SNAMEB[Fixed Asset Disposition]+SNAMEB[Beginning Fund Balance]</f>
        <v>76955839</v>
      </c>
    </row>
    <row r="240" spans="1:54" x14ac:dyDescent="0.2">
      <c r="A240" s="390">
        <v>11</v>
      </c>
      <c r="B240" s="391" t="s">
        <v>315</v>
      </c>
      <c r="C240" s="631">
        <v>5256</v>
      </c>
      <c r="D240" t="s">
        <v>1264</v>
      </c>
      <c r="E240" s="392">
        <v>281574</v>
      </c>
      <c r="F240" s="392">
        <v>99754</v>
      </c>
      <c r="G240" s="392">
        <v>226483</v>
      </c>
      <c r="H240" s="392">
        <v>0</v>
      </c>
      <c r="I240" s="392">
        <v>0</v>
      </c>
      <c r="J240" s="392">
        <v>0</v>
      </c>
      <c r="K240" s="392">
        <v>971340</v>
      </c>
      <c r="L240" s="392">
        <v>102619</v>
      </c>
      <c r="M240" s="392">
        <v>0</v>
      </c>
      <c r="N240" s="392">
        <v>282014</v>
      </c>
      <c r="O240" s="392">
        <v>64482</v>
      </c>
      <c r="P240" s="392">
        <v>0</v>
      </c>
      <c r="Q240" s="392">
        <v>2028265</v>
      </c>
      <c r="R240" s="392">
        <v>2649511</v>
      </c>
      <c r="S240" s="392">
        <v>91213</v>
      </c>
      <c r="T240" s="392">
        <v>292641</v>
      </c>
      <c r="U240" s="392">
        <v>415330</v>
      </c>
      <c r="V240" s="392">
        <v>14022</v>
      </c>
      <c r="W240" s="392">
        <v>207822</v>
      </c>
      <c r="X240" s="392">
        <v>254151</v>
      </c>
      <c r="Y240" s="392">
        <v>268880</v>
      </c>
      <c r="Z240" s="392">
        <v>0</v>
      </c>
      <c r="AA240" s="392">
        <v>4195649</v>
      </c>
      <c r="AB240" s="392">
        <v>0</v>
      </c>
      <c r="AC240" s="392">
        <v>669610</v>
      </c>
      <c r="AD240" s="392">
        <v>11049</v>
      </c>
      <c r="AE240" s="392">
        <v>87327</v>
      </c>
      <c r="AF240" s="392">
        <v>312679</v>
      </c>
      <c r="AG240" s="392">
        <v>9469883</v>
      </c>
      <c r="AH240" s="392">
        <v>0</v>
      </c>
      <c r="AI240" s="392">
        <v>603850</v>
      </c>
      <c r="AJ240" s="392">
        <v>0</v>
      </c>
      <c r="AK240" s="392">
        <v>10073734</v>
      </c>
      <c r="AL240" s="392">
        <v>2103962</v>
      </c>
      <c r="AM240" s="392">
        <v>5744723</v>
      </c>
      <c r="AN240" s="392">
        <v>109878</v>
      </c>
      <c r="AO240" s="392">
        <v>51113</v>
      </c>
      <c r="AP240" s="392">
        <v>342704</v>
      </c>
      <c r="AQ240" s="392">
        <v>455955</v>
      </c>
      <c r="AR240" s="392">
        <v>171219</v>
      </c>
      <c r="AS240" s="392">
        <v>849586</v>
      </c>
      <c r="AT240" s="392">
        <v>272805</v>
      </c>
      <c r="AU240" s="392">
        <v>342583</v>
      </c>
      <c r="AV240" s="392">
        <v>316666</v>
      </c>
      <c r="AW240" s="392">
        <v>578408</v>
      </c>
      <c r="AX240" s="392">
        <v>268571</v>
      </c>
      <c r="AY240" s="786">
        <v>645219</v>
      </c>
      <c r="AZ240" s="392">
        <v>2028265</v>
      </c>
      <c r="BA240" s="639">
        <f>SUM(SNAMEB[[#This Row],[Instruction Expenditures]:[Transfers Out/OtherFinancing]])+SUM(SNAMEB[[#This Row],[General Fund Balance]:[Other Enterprise FundBalance]])</f>
        <v>12177696</v>
      </c>
      <c r="BB240" s="639">
        <f>SUM(SNAMEB[[#This Row],[Property Tax Revenue]:[IDEA/Other Fed Revenue]])+SNAMEB[General Long-term DebtProceeds]+SNAMEB[TransfersIn/Other Financing]+SNAMEB[Fixed Asset Disposition]+SNAMEB[Beginning Fund Balance]</f>
        <v>12177696</v>
      </c>
    </row>
    <row r="241" spans="1:54" x14ac:dyDescent="0.2">
      <c r="A241" s="390">
        <v>5</v>
      </c>
      <c r="B241" s="391" t="s">
        <v>316</v>
      </c>
      <c r="C241" s="631">
        <v>5283</v>
      </c>
      <c r="D241" t="s">
        <v>647</v>
      </c>
      <c r="E241" s="392">
        <v>2109711</v>
      </c>
      <c r="F241" s="392">
        <v>213182</v>
      </c>
      <c r="G241" s="392">
        <v>858047</v>
      </c>
      <c r="H241" s="392">
        <v>0</v>
      </c>
      <c r="I241" s="392">
        <v>0</v>
      </c>
      <c r="J241" s="392">
        <v>0</v>
      </c>
      <c r="K241" s="392">
        <v>408125</v>
      </c>
      <c r="L241" s="392">
        <v>839676</v>
      </c>
      <c r="M241" s="392">
        <v>8855</v>
      </c>
      <c r="N241" s="392">
        <v>610620</v>
      </c>
      <c r="O241" s="392">
        <v>131270</v>
      </c>
      <c r="P241" s="392">
        <v>31002</v>
      </c>
      <c r="Q241" s="392">
        <v>5210487</v>
      </c>
      <c r="R241" s="392">
        <v>5710397</v>
      </c>
      <c r="S241" s="392">
        <v>112867</v>
      </c>
      <c r="T241" s="392">
        <v>42733</v>
      </c>
      <c r="U241" s="392">
        <v>512245</v>
      </c>
      <c r="V241" s="392">
        <v>16147</v>
      </c>
      <c r="W241" s="392">
        <v>187748</v>
      </c>
      <c r="X241" s="392">
        <v>403654</v>
      </c>
      <c r="Y241" s="392">
        <v>528539</v>
      </c>
      <c r="Z241" s="392">
        <v>0</v>
      </c>
      <c r="AA241" s="392">
        <v>2685362</v>
      </c>
      <c r="AB241" s="392">
        <v>0</v>
      </c>
      <c r="AC241" s="392">
        <v>837318</v>
      </c>
      <c r="AD241" s="392">
        <v>119579</v>
      </c>
      <c r="AE241" s="392">
        <v>148951</v>
      </c>
      <c r="AF241" s="392">
        <v>378676</v>
      </c>
      <c r="AG241" s="392">
        <v>11684216</v>
      </c>
      <c r="AH241" s="392">
        <v>0</v>
      </c>
      <c r="AI241" s="392">
        <v>1222235</v>
      </c>
      <c r="AJ241" s="392">
        <v>0</v>
      </c>
      <c r="AK241" s="392">
        <v>12906451</v>
      </c>
      <c r="AL241" s="392">
        <v>3665244</v>
      </c>
      <c r="AM241" s="392">
        <v>5872921</v>
      </c>
      <c r="AN241" s="392">
        <v>191762</v>
      </c>
      <c r="AO241" s="392">
        <v>369854</v>
      </c>
      <c r="AP241" s="392">
        <v>322652</v>
      </c>
      <c r="AQ241" s="392">
        <v>373812</v>
      </c>
      <c r="AR241" s="392">
        <v>136855</v>
      </c>
      <c r="AS241" s="392">
        <v>804197</v>
      </c>
      <c r="AT241" s="392">
        <v>672768</v>
      </c>
      <c r="AU241" s="392">
        <v>662533</v>
      </c>
      <c r="AV241" s="392">
        <v>533204</v>
      </c>
      <c r="AW241" s="392">
        <v>1077324</v>
      </c>
      <c r="AX241" s="392">
        <v>328208</v>
      </c>
      <c r="AY241" s="786">
        <v>15117</v>
      </c>
      <c r="AZ241" s="392">
        <v>5210487</v>
      </c>
      <c r="BA241" s="639">
        <f>SUM(SNAMEB[[#This Row],[Instruction Expenditures]:[Transfers Out/OtherFinancing]])+SUM(SNAMEB[[#This Row],[General Fund Balance]:[Other Enterprise FundBalance]])</f>
        <v>16571695</v>
      </c>
      <c r="BB241" s="639">
        <f>SUM(SNAMEB[[#This Row],[Property Tax Revenue]:[IDEA/Other Fed Revenue]])+SNAMEB[General Long-term DebtProceeds]+SNAMEB[TransfersIn/Other Financing]+SNAMEB[Fixed Asset Disposition]+SNAMEB[Beginning Fund Balance]</f>
        <v>16571695</v>
      </c>
    </row>
    <row r="242" spans="1:54" x14ac:dyDescent="0.2">
      <c r="A242" s="390">
        <v>1</v>
      </c>
      <c r="B242" s="391" t="s">
        <v>317</v>
      </c>
      <c r="C242" s="631">
        <v>5310</v>
      </c>
      <c r="D242" t="s">
        <v>1265</v>
      </c>
      <c r="E242" s="392">
        <v>2306217</v>
      </c>
      <c r="F242" s="392">
        <v>16438</v>
      </c>
      <c r="G242" s="392">
        <v>445614</v>
      </c>
      <c r="H242" s="392">
        <v>0</v>
      </c>
      <c r="I242" s="392">
        <v>0</v>
      </c>
      <c r="J242" s="392">
        <v>0</v>
      </c>
      <c r="K242" s="392">
        <v>1046166</v>
      </c>
      <c r="L242" s="392">
        <v>261897</v>
      </c>
      <c r="M242" s="392">
        <v>0</v>
      </c>
      <c r="N242" s="392">
        <v>177991</v>
      </c>
      <c r="O242" s="392">
        <v>73789</v>
      </c>
      <c r="P242" s="392">
        <v>318</v>
      </c>
      <c r="Q242" s="392">
        <v>4328429</v>
      </c>
      <c r="R242" s="392">
        <v>2174963</v>
      </c>
      <c r="S242" s="392">
        <v>37436</v>
      </c>
      <c r="T242" s="392">
        <v>303246</v>
      </c>
      <c r="U242" s="392">
        <v>132096</v>
      </c>
      <c r="V242" s="392">
        <v>14807</v>
      </c>
      <c r="W242" s="392">
        <v>61766</v>
      </c>
      <c r="X242" s="392">
        <v>98932</v>
      </c>
      <c r="Y242" s="392">
        <v>91492</v>
      </c>
      <c r="Z242" s="392">
        <v>0</v>
      </c>
      <c r="AA242" s="392">
        <v>4258123</v>
      </c>
      <c r="AB242" s="392">
        <v>0</v>
      </c>
      <c r="AC242" s="392">
        <v>797878</v>
      </c>
      <c r="AD242" s="392">
        <v>37130</v>
      </c>
      <c r="AE242" s="392">
        <v>464010</v>
      </c>
      <c r="AF242" s="392">
        <v>680234</v>
      </c>
      <c r="AG242" s="392">
        <v>9152114</v>
      </c>
      <c r="AH242" s="392">
        <v>458360</v>
      </c>
      <c r="AI242" s="392">
        <v>295487</v>
      </c>
      <c r="AJ242" s="392">
        <v>19493</v>
      </c>
      <c r="AK242" s="392">
        <v>9925454</v>
      </c>
      <c r="AL242" s="392">
        <v>3983246</v>
      </c>
      <c r="AM242" s="392">
        <v>5436171</v>
      </c>
      <c r="AN242" s="392">
        <v>207199</v>
      </c>
      <c r="AO242" s="392">
        <v>808525</v>
      </c>
      <c r="AP242" s="392">
        <v>255078</v>
      </c>
      <c r="AQ242" s="392">
        <v>346591</v>
      </c>
      <c r="AR242" s="392">
        <v>166827</v>
      </c>
      <c r="AS242" s="392">
        <v>665111</v>
      </c>
      <c r="AT242" s="392">
        <v>142759</v>
      </c>
      <c r="AU242" s="392">
        <v>499068</v>
      </c>
      <c r="AV242" s="392">
        <v>171344</v>
      </c>
      <c r="AW242" s="392">
        <v>299408</v>
      </c>
      <c r="AX242" s="392">
        <v>284571</v>
      </c>
      <c r="AY242" s="786">
        <v>297618</v>
      </c>
      <c r="AZ242" s="392">
        <v>4328429</v>
      </c>
      <c r="BA242" s="639">
        <f>SUM(SNAMEB[[#This Row],[Instruction Expenditures]:[Transfers Out/OtherFinancing]])+SUM(SNAMEB[[#This Row],[General Fund Balance]:[Other Enterprise FundBalance]])</f>
        <v>13908700</v>
      </c>
      <c r="BB242" s="639">
        <f>SUM(SNAMEB[[#This Row],[Property Tax Revenue]:[IDEA/Other Fed Revenue]])+SNAMEB[General Long-term DebtProceeds]+SNAMEB[TransfersIn/Other Financing]+SNAMEB[Fixed Asset Disposition]+SNAMEB[Beginning Fund Balance]</f>
        <v>13908699</v>
      </c>
    </row>
    <row r="243" spans="1:54" x14ac:dyDescent="0.2">
      <c r="A243" s="390">
        <v>5</v>
      </c>
      <c r="B243" s="391" t="s">
        <v>319</v>
      </c>
      <c r="C243" s="631">
        <v>5325</v>
      </c>
      <c r="D243" t="s">
        <v>649</v>
      </c>
      <c r="E243" s="392">
        <v>2525970</v>
      </c>
      <c r="F243" s="392">
        <v>50510</v>
      </c>
      <c r="G243" s="392">
        <v>417954</v>
      </c>
      <c r="H243" s="392">
        <v>0</v>
      </c>
      <c r="I243" s="392">
        <v>0</v>
      </c>
      <c r="J243" s="392">
        <v>0</v>
      </c>
      <c r="K243" s="392">
        <v>658430</v>
      </c>
      <c r="L243" s="392">
        <v>-39667</v>
      </c>
      <c r="M243" s="392">
        <v>0</v>
      </c>
      <c r="N243" s="392">
        <v>116514</v>
      </c>
      <c r="O243" s="392">
        <v>-141</v>
      </c>
      <c r="P243" s="392">
        <v>-12270</v>
      </c>
      <c r="Q243" s="392">
        <v>3717302</v>
      </c>
      <c r="R243" s="392">
        <v>2746572</v>
      </c>
      <c r="S243" s="392">
        <v>157568</v>
      </c>
      <c r="T243" s="392">
        <v>240442</v>
      </c>
      <c r="U243" s="392">
        <v>869894</v>
      </c>
      <c r="V243" s="392">
        <v>91139</v>
      </c>
      <c r="W243" s="392">
        <v>168682</v>
      </c>
      <c r="X243" s="392">
        <v>314871</v>
      </c>
      <c r="Y243" s="392">
        <v>292475</v>
      </c>
      <c r="Z243" s="392">
        <v>0</v>
      </c>
      <c r="AA243" s="392">
        <v>2722590</v>
      </c>
      <c r="AB243" s="392">
        <v>0</v>
      </c>
      <c r="AC243" s="392">
        <v>593348</v>
      </c>
      <c r="AD243" s="392">
        <v>38169</v>
      </c>
      <c r="AE243" s="392">
        <v>97096</v>
      </c>
      <c r="AF243" s="392">
        <v>224065</v>
      </c>
      <c r="AG243" s="392">
        <v>8556913</v>
      </c>
      <c r="AH243" s="392">
        <v>0</v>
      </c>
      <c r="AI243" s="392">
        <v>490168</v>
      </c>
      <c r="AJ243" s="392">
        <v>0</v>
      </c>
      <c r="AK243" s="392">
        <v>9047081</v>
      </c>
      <c r="AL243" s="392">
        <v>3621396</v>
      </c>
      <c r="AM243" s="392">
        <v>5258486</v>
      </c>
      <c r="AN243" s="392">
        <v>439436</v>
      </c>
      <c r="AO243" s="392">
        <v>110838</v>
      </c>
      <c r="AP243" s="392">
        <v>177979</v>
      </c>
      <c r="AQ243" s="392">
        <v>324868</v>
      </c>
      <c r="AR243" s="392">
        <v>84713</v>
      </c>
      <c r="AS243" s="392">
        <v>504611</v>
      </c>
      <c r="AT243" s="392">
        <v>419774</v>
      </c>
      <c r="AU243" s="392">
        <v>341248</v>
      </c>
      <c r="AV243" s="392">
        <v>233133</v>
      </c>
      <c r="AW243" s="392">
        <v>376455</v>
      </c>
      <c r="AX243" s="392">
        <v>254430</v>
      </c>
      <c r="AY243" s="786">
        <v>425203</v>
      </c>
      <c r="AZ243" s="392">
        <v>3717302</v>
      </c>
      <c r="BA243" s="639">
        <f>SUM(SNAMEB[[#This Row],[Instruction Expenditures]:[Transfers Out/OtherFinancing]])+SUM(SNAMEB[[#This Row],[General Fund Balance]:[Other Enterprise FundBalance]])</f>
        <v>12668474</v>
      </c>
      <c r="BB243" s="639">
        <f>SUM(SNAMEB[[#This Row],[Property Tax Revenue]:[IDEA/Other Fed Revenue]])+SNAMEB[General Long-term DebtProceeds]+SNAMEB[TransfersIn/Other Financing]+SNAMEB[Fixed Asset Disposition]+SNAMEB[Beginning Fund Balance]</f>
        <v>12668475</v>
      </c>
    </row>
    <row r="244" spans="1:54" x14ac:dyDescent="0.2">
      <c r="A244" s="390">
        <v>13</v>
      </c>
      <c r="B244" s="391" t="s">
        <v>320</v>
      </c>
      <c r="C244" s="631">
        <v>5463</v>
      </c>
      <c r="D244" t="s">
        <v>1266</v>
      </c>
      <c r="E244" s="392">
        <v>2142642</v>
      </c>
      <c r="F244" s="392">
        <v>165518</v>
      </c>
      <c r="G244" s="392">
        <v>2261825</v>
      </c>
      <c r="H244" s="392">
        <v>0</v>
      </c>
      <c r="I244" s="392">
        <v>0</v>
      </c>
      <c r="J244" s="392">
        <v>0</v>
      </c>
      <c r="K244" s="392">
        <v>3656338</v>
      </c>
      <c r="L244" s="392">
        <v>842660</v>
      </c>
      <c r="M244" s="392">
        <v>0</v>
      </c>
      <c r="N244" s="392">
        <v>21225</v>
      </c>
      <c r="O244" s="392">
        <v>-26934</v>
      </c>
      <c r="P244" s="392">
        <v>0</v>
      </c>
      <c r="Q244" s="392">
        <v>9063273</v>
      </c>
      <c r="R244" s="392">
        <v>5217705</v>
      </c>
      <c r="S244" s="392">
        <v>205760</v>
      </c>
      <c r="T244" s="392">
        <v>703417</v>
      </c>
      <c r="U244" s="392">
        <v>482282</v>
      </c>
      <c r="V244" s="392">
        <v>19940</v>
      </c>
      <c r="W244" s="392">
        <v>164745</v>
      </c>
      <c r="X244" s="392">
        <v>232649</v>
      </c>
      <c r="Y244" s="392">
        <v>308731</v>
      </c>
      <c r="Z244" s="392">
        <v>0</v>
      </c>
      <c r="AA244" s="392">
        <v>6612409</v>
      </c>
      <c r="AB244" s="392">
        <v>0</v>
      </c>
      <c r="AC244" s="392">
        <v>1562736</v>
      </c>
      <c r="AD244" s="392">
        <v>126250</v>
      </c>
      <c r="AE244" s="392">
        <v>310835</v>
      </c>
      <c r="AF244" s="392">
        <v>716296</v>
      </c>
      <c r="AG244" s="392">
        <v>16663756</v>
      </c>
      <c r="AH244" s="392">
        <v>0</v>
      </c>
      <c r="AI244" s="392">
        <v>7346</v>
      </c>
      <c r="AJ244" s="392">
        <v>17121</v>
      </c>
      <c r="AK244" s="392">
        <v>16688223</v>
      </c>
      <c r="AL244" s="392">
        <v>8600437</v>
      </c>
      <c r="AM244" s="392">
        <v>9234432</v>
      </c>
      <c r="AN244" s="392">
        <v>251624</v>
      </c>
      <c r="AO244" s="392">
        <v>989704</v>
      </c>
      <c r="AP244" s="392">
        <v>448719</v>
      </c>
      <c r="AQ244" s="392">
        <v>780128</v>
      </c>
      <c r="AR244" s="392">
        <v>246528</v>
      </c>
      <c r="AS244" s="392">
        <v>1208609</v>
      </c>
      <c r="AT244" s="392">
        <v>381963</v>
      </c>
      <c r="AU244" s="392">
        <v>665278</v>
      </c>
      <c r="AV244" s="392">
        <v>775125</v>
      </c>
      <c r="AW244" s="392">
        <v>756965</v>
      </c>
      <c r="AX244" s="392">
        <v>484273</v>
      </c>
      <c r="AY244" s="786">
        <v>2040</v>
      </c>
      <c r="AZ244" s="392">
        <v>9063273</v>
      </c>
      <c r="BA244" s="639">
        <f>SUM(SNAMEB[[#This Row],[Instruction Expenditures]:[Transfers Out/OtherFinancing]])+SUM(SNAMEB[[#This Row],[General Fund Balance]:[Other Enterprise FundBalance]])</f>
        <v>25288662</v>
      </c>
      <c r="BB244" s="639">
        <f>SUM(SNAMEB[[#This Row],[Property Tax Revenue]:[IDEA/Other Fed Revenue]])+SNAMEB[General Long-term DebtProceeds]+SNAMEB[TransfersIn/Other Financing]+SNAMEB[Fixed Asset Disposition]+SNAMEB[Beginning Fund Balance]</f>
        <v>25288659</v>
      </c>
    </row>
    <row r="245" spans="1:54" x14ac:dyDescent="0.2">
      <c r="A245" s="390">
        <v>12</v>
      </c>
      <c r="B245" s="391" t="s">
        <v>321</v>
      </c>
      <c r="C245" s="631">
        <v>5486</v>
      </c>
      <c r="D245" t="s">
        <v>1267</v>
      </c>
      <c r="E245" s="392">
        <v>1631495</v>
      </c>
      <c r="F245" s="392">
        <v>74025</v>
      </c>
      <c r="G245" s="392">
        <v>323110</v>
      </c>
      <c r="H245" s="392">
        <v>0</v>
      </c>
      <c r="I245" s="392">
        <v>0</v>
      </c>
      <c r="J245" s="392">
        <v>0</v>
      </c>
      <c r="K245" s="392">
        <v>778722</v>
      </c>
      <c r="L245" s="392">
        <v>156659</v>
      </c>
      <c r="M245" s="392">
        <v>0</v>
      </c>
      <c r="N245" s="392">
        <v>0</v>
      </c>
      <c r="O245" s="392">
        <v>88987</v>
      </c>
      <c r="P245" s="392">
        <v>0</v>
      </c>
      <c r="Q245" s="392">
        <v>3052999</v>
      </c>
      <c r="R245" s="392">
        <v>2575388</v>
      </c>
      <c r="S245" s="392">
        <v>43024</v>
      </c>
      <c r="T245" s="392">
        <v>208375</v>
      </c>
      <c r="U245" s="392">
        <v>184326</v>
      </c>
      <c r="V245" s="392">
        <v>9446</v>
      </c>
      <c r="W245" s="392">
        <v>114516</v>
      </c>
      <c r="X245" s="392">
        <v>100235</v>
      </c>
      <c r="Y245" s="392">
        <v>230190</v>
      </c>
      <c r="Z245" s="392">
        <v>0</v>
      </c>
      <c r="AA245" s="392">
        <v>1732087</v>
      </c>
      <c r="AB245" s="392">
        <v>0</v>
      </c>
      <c r="AC245" s="392">
        <v>465171</v>
      </c>
      <c r="AD245" s="392">
        <v>28760</v>
      </c>
      <c r="AE245" s="392">
        <v>39771</v>
      </c>
      <c r="AF245" s="392">
        <v>148886</v>
      </c>
      <c r="AG245" s="392">
        <v>5880175</v>
      </c>
      <c r="AH245" s="392">
        <v>0</v>
      </c>
      <c r="AI245" s="392">
        <v>242881</v>
      </c>
      <c r="AJ245" s="392">
        <v>336</v>
      </c>
      <c r="AK245" s="392">
        <v>6123392</v>
      </c>
      <c r="AL245" s="392">
        <v>2091636</v>
      </c>
      <c r="AM245" s="392">
        <v>3041019</v>
      </c>
      <c r="AN245" s="392">
        <v>78965</v>
      </c>
      <c r="AO245" s="392">
        <v>173031</v>
      </c>
      <c r="AP245" s="392">
        <v>177448</v>
      </c>
      <c r="AQ245" s="392">
        <v>205019</v>
      </c>
      <c r="AR245" s="392">
        <v>95296</v>
      </c>
      <c r="AS245" s="392">
        <v>275995</v>
      </c>
      <c r="AT245" s="392">
        <v>239985</v>
      </c>
      <c r="AU245" s="392">
        <v>186354</v>
      </c>
      <c r="AV245" s="392">
        <v>14867</v>
      </c>
      <c r="AW245" s="392">
        <v>242881</v>
      </c>
      <c r="AX245" s="392">
        <v>188287</v>
      </c>
      <c r="AY245" s="786">
        <v>242881</v>
      </c>
      <c r="AZ245" s="392">
        <v>3052999</v>
      </c>
      <c r="BA245" s="639">
        <f>SUM(SNAMEB[[#This Row],[Instruction Expenditures]:[Transfers Out/OtherFinancing]])+SUM(SNAMEB[[#This Row],[General Fund Balance]:[Other Enterprise FundBalance]])</f>
        <v>8215026</v>
      </c>
      <c r="BB245" s="639">
        <f>SUM(SNAMEB[[#This Row],[Property Tax Revenue]:[IDEA/Other Fed Revenue]])+SNAMEB[General Long-term DebtProceeds]+SNAMEB[TransfersIn/Other Financing]+SNAMEB[Fixed Asset Disposition]+SNAMEB[Beginning Fund Balance]</f>
        <v>8215028</v>
      </c>
    </row>
    <row r="246" spans="1:54" x14ac:dyDescent="0.2">
      <c r="A246" s="390">
        <v>1</v>
      </c>
      <c r="B246" s="391" t="s">
        <v>322</v>
      </c>
      <c r="C246" s="631">
        <v>5508</v>
      </c>
      <c r="D246" t="s">
        <v>1268</v>
      </c>
      <c r="E246" s="392">
        <v>1166833</v>
      </c>
      <c r="F246" s="392">
        <v>55219</v>
      </c>
      <c r="G246" s="392">
        <v>493415</v>
      </c>
      <c r="H246" s="392">
        <v>0</v>
      </c>
      <c r="I246" s="392">
        <v>0</v>
      </c>
      <c r="J246" s="392">
        <v>0</v>
      </c>
      <c r="K246" s="392">
        <v>762869</v>
      </c>
      <c r="L246" s="392">
        <v>488211</v>
      </c>
      <c r="M246" s="392">
        <v>0</v>
      </c>
      <c r="N246" s="392">
        <v>0</v>
      </c>
      <c r="O246" s="392">
        <v>66591</v>
      </c>
      <c r="P246" s="392">
        <v>0</v>
      </c>
      <c r="Q246" s="392">
        <v>3033137</v>
      </c>
      <c r="R246" s="392">
        <v>1956384</v>
      </c>
      <c r="S246" s="392">
        <v>18955</v>
      </c>
      <c r="T246" s="392">
        <v>225334</v>
      </c>
      <c r="U246" s="392">
        <v>397110</v>
      </c>
      <c r="V246" s="392">
        <v>4765</v>
      </c>
      <c r="W246" s="392">
        <v>119223</v>
      </c>
      <c r="X246" s="392">
        <v>104095</v>
      </c>
      <c r="Y246" s="392">
        <v>128106</v>
      </c>
      <c r="Z246" s="392">
        <v>0</v>
      </c>
      <c r="AA246" s="392">
        <v>1186444</v>
      </c>
      <c r="AB246" s="392">
        <v>0</v>
      </c>
      <c r="AC246" s="392">
        <v>320780</v>
      </c>
      <c r="AD246" s="392">
        <v>90852</v>
      </c>
      <c r="AE246" s="392">
        <v>102917</v>
      </c>
      <c r="AF246" s="392">
        <v>180421</v>
      </c>
      <c r="AG246" s="392">
        <v>4835387</v>
      </c>
      <c r="AH246" s="392">
        <v>0</v>
      </c>
      <c r="AI246" s="392">
        <v>78804</v>
      </c>
      <c r="AJ246" s="392">
        <v>5480</v>
      </c>
      <c r="AK246" s="392">
        <v>4919670</v>
      </c>
      <c r="AL246" s="392">
        <v>2847756</v>
      </c>
      <c r="AM246" s="392">
        <v>2695800</v>
      </c>
      <c r="AN246" s="392">
        <v>72213</v>
      </c>
      <c r="AO246" s="392">
        <v>145421</v>
      </c>
      <c r="AP246" s="392">
        <v>142048</v>
      </c>
      <c r="AQ246" s="392">
        <v>122968</v>
      </c>
      <c r="AR246" s="392">
        <v>109628</v>
      </c>
      <c r="AS246" s="392">
        <v>673224</v>
      </c>
      <c r="AT246" s="392">
        <v>228640</v>
      </c>
      <c r="AU246" s="392">
        <v>166777</v>
      </c>
      <c r="AV246" s="392">
        <v>84939</v>
      </c>
      <c r="AW246" s="392">
        <v>78804</v>
      </c>
      <c r="AX246" s="392">
        <v>135024</v>
      </c>
      <c r="AY246" s="786">
        <v>78804</v>
      </c>
      <c r="AZ246" s="392">
        <v>3033137</v>
      </c>
      <c r="BA246" s="639">
        <f>SUM(SNAMEB[[#This Row],[Instruction Expenditures]:[Transfers Out/OtherFinancing]])+SUM(SNAMEB[[#This Row],[General Fund Balance]:[Other Enterprise FundBalance]])</f>
        <v>7767428</v>
      </c>
      <c r="BB246" s="639">
        <f>SUM(SNAMEB[[#This Row],[Property Tax Revenue]:[IDEA/Other Fed Revenue]])+SNAMEB[General Long-term DebtProceeds]+SNAMEB[TransfersIn/Other Financing]+SNAMEB[Fixed Asset Disposition]+SNAMEB[Beginning Fund Balance]</f>
        <v>7767426</v>
      </c>
    </row>
    <row r="247" spans="1:54" x14ac:dyDescent="0.2">
      <c r="A247" s="390">
        <v>12</v>
      </c>
      <c r="B247" s="391" t="s">
        <v>177</v>
      </c>
      <c r="C247" s="631">
        <v>1975</v>
      </c>
      <c r="D247" t="s">
        <v>1101</v>
      </c>
      <c r="E247" s="392">
        <v>949145</v>
      </c>
      <c r="F247" s="392">
        <v>37274</v>
      </c>
      <c r="G247" s="392">
        <v>633938</v>
      </c>
      <c r="H247" s="392">
        <v>0</v>
      </c>
      <c r="I247" s="392">
        <v>0</v>
      </c>
      <c r="J247" s="392">
        <v>0</v>
      </c>
      <c r="K247" s="392">
        <v>1175245</v>
      </c>
      <c r="L247" s="392">
        <v>8456</v>
      </c>
      <c r="M247" s="392">
        <v>0</v>
      </c>
      <c r="N247" s="392">
        <v>9940</v>
      </c>
      <c r="O247" s="392">
        <v>48360</v>
      </c>
      <c r="P247" s="392">
        <v>0</v>
      </c>
      <c r="Q247" s="392">
        <v>2862359</v>
      </c>
      <c r="R247" s="392">
        <v>2351694</v>
      </c>
      <c r="S247" s="392">
        <v>142142</v>
      </c>
      <c r="T247" s="392">
        <v>208251</v>
      </c>
      <c r="U247" s="392">
        <v>337578</v>
      </c>
      <c r="V247" s="392">
        <v>34292</v>
      </c>
      <c r="W247" s="392">
        <v>130823</v>
      </c>
      <c r="X247" s="392">
        <v>170783</v>
      </c>
      <c r="Y247" s="392">
        <v>140038</v>
      </c>
      <c r="Z247" s="392">
        <v>0</v>
      </c>
      <c r="AA247" s="392">
        <v>2089838</v>
      </c>
      <c r="AB247" s="392">
        <v>0</v>
      </c>
      <c r="AC247" s="392">
        <v>363946</v>
      </c>
      <c r="AD247" s="392">
        <v>13930</v>
      </c>
      <c r="AE247" s="392">
        <v>76941</v>
      </c>
      <c r="AF247" s="392">
        <v>223533</v>
      </c>
      <c r="AG247" s="392">
        <v>6283789</v>
      </c>
      <c r="AH247" s="392">
        <v>0</v>
      </c>
      <c r="AI247" s="392">
        <v>4505</v>
      </c>
      <c r="AJ247" s="392">
        <v>1750</v>
      </c>
      <c r="AK247" s="392">
        <v>6290044</v>
      </c>
      <c r="AL247" s="392">
        <v>2713911</v>
      </c>
      <c r="AM247" s="392">
        <v>3513014</v>
      </c>
      <c r="AN247" s="392">
        <v>11049</v>
      </c>
      <c r="AO247" s="392">
        <v>90535</v>
      </c>
      <c r="AP247" s="392">
        <v>201944</v>
      </c>
      <c r="AQ247" s="392">
        <v>273785</v>
      </c>
      <c r="AR247" s="392">
        <v>69441</v>
      </c>
      <c r="AS247" s="392">
        <v>431319</v>
      </c>
      <c r="AT247" s="392">
        <v>354312</v>
      </c>
      <c r="AU247" s="392">
        <v>299951</v>
      </c>
      <c r="AV247" s="392">
        <v>271131</v>
      </c>
      <c r="AW247" s="392">
        <v>434610</v>
      </c>
      <c r="AX247" s="392">
        <v>170293</v>
      </c>
      <c r="AY247" s="786">
        <v>20213</v>
      </c>
      <c r="AZ247" s="392">
        <v>2862359</v>
      </c>
      <c r="BA247" s="639">
        <f>SUM(SNAMEB[[#This Row],[Instruction Expenditures]:[Transfers Out/OtherFinancing]])+SUM(SNAMEB[[#This Row],[General Fund Balance]:[Other Enterprise FundBalance]])</f>
        <v>9003955</v>
      </c>
      <c r="BB247" s="639">
        <f>SUM(SNAMEB[[#This Row],[Property Tax Revenue]:[IDEA/Other Fed Revenue]])+SNAMEB[General Long-term DebtProceeds]+SNAMEB[TransfersIn/Other Financing]+SNAMEB[Fixed Asset Disposition]+SNAMEB[Beginning Fund Balance]</f>
        <v>9003955</v>
      </c>
    </row>
    <row r="248" spans="1:54" x14ac:dyDescent="0.2">
      <c r="A248" s="390">
        <v>13</v>
      </c>
      <c r="B248" s="391" t="s">
        <v>298</v>
      </c>
      <c r="C248" s="631">
        <v>5510</v>
      </c>
      <c r="D248" t="s">
        <v>1248</v>
      </c>
      <c r="E248" s="392">
        <v>1250005</v>
      </c>
      <c r="F248" s="392">
        <v>103228</v>
      </c>
      <c r="G248" s="392">
        <v>141415</v>
      </c>
      <c r="H248" s="392">
        <v>0</v>
      </c>
      <c r="I248" s="392">
        <v>0</v>
      </c>
      <c r="J248" s="392">
        <v>0</v>
      </c>
      <c r="K248" s="392">
        <v>1688369</v>
      </c>
      <c r="L248" s="392">
        <v>32513</v>
      </c>
      <c r="M248" s="392">
        <v>0</v>
      </c>
      <c r="N248" s="392">
        <v>15708</v>
      </c>
      <c r="O248" s="392">
        <v>-121917</v>
      </c>
      <c r="P248" s="392">
        <v>63240</v>
      </c>
      <c r="Q248" s="392">
        <v>3172561</v>
      </c>
      <c r="R248" s="392">
        <v>4130728</v>
      </c>
      <c r="S248" s="392">
        <v>498839</v>
      </c>
      <c r="T248" s="392">
        <v>254074</v>
      </c>
      <c r="U248" s="392">
        <v>144659</v>
      </c>
      <c r="V248" s="392">
        <v>13593</v>
      </c>
      <c r="W248" s="392">
        <v>171480</v>
      </c>
      <c r="X248" s="392">
        <v>110082</v>
      </c>
      <c r="Y248" s="392">
        <v>655419</v>
      </c>
      <c r="Z248" s="392">
        <v>0</v>
      </c>
      <c r="AA248" s="392">
        <v>3301286</v>
      </c>
      <c r="AB248" s="392">
        <v>0</v>
      </c>
      <c r="AC248" s="392">
        <v>692028</v>
      </c>
      <c r="AD248" s="392">
        <v>40993</v>
      </c>
      <c r="AE248" s="392">
        <v>98367</v>
      </c>
      <c r="AF248" s="392">
        <v>382372</v>
      </c>
      <c r="AG248" s="392">
        <v>10493922</v>
      </c>
      <c r="AH248" s="392">
        <v>1429751</v>
      </c>
      <c r="AI248" s="392">
        <v>491227</v>
      </c>
      <c r="AJ248" s="392">
        <v>200</v>
      </c>
      <c r="AK248" s="392">
        <v>12415099</v>
      </c>
      <c r="AL248" s="392">
        <v>10805637</v>
      </c>
      <c r="AM248" s="392">
        <v>5207265</v>
      </c>
      <c r="AN248" s="392">
        <v>145169</v>
      </c>
      <c r="AO248" s="392">
        <v>326828</v>
      </c>
      <c r="AP248" s="392">
        <v>291744</v>
      </c>
      <c r="AQ248" s="392">
        <v>378105</v>
      </c>
      <c r="AR248" s="392">
        <v>239745</v>
      </c>
      <c r="AS248" s="392">
        <v>735093</v>
      </c>
      <c r="AT248" s="392">
        <v>398669</v>
      </c>
      <c r="AU248" s="392">
        <v>444955</v>
      </c>
      <c r="AV248" s="392">
        <v>9638712</v>
      </c>
      <c r="AW248" s="392">
        <v>1465859</v>
      </c>
      <c r="AX248" s="392">
        <v>285429</v>
      </c>
      <c r="AY248" s="786">
        <v>490602</v>
      </c>
      <c r="AZ248" s="392">
        <v>3172561</v>
      </c>
      <c r="BA248" s="639">
        <f>SUM(SNAMEB[[#This Row],[Instruction Expenditures]:[Transfers Out/OtherFinancing]])+SUM(SNAMEB[[#This Row],[General Fund Balance]:[Other Enterprise FundBalance]])</f>
        <v>23220736</v>
      </c>
      <c r="BB248" s="639">
        <f>SUM(SNAMEB[[#This Row],[Property Tax Revenue]:[IDEA/Other Fed Revenue]])+SNAMEB[General Long-term DebtProceeds]+SNAMEB[TransfersIn/Other Financing]+SNAMEB[Fixed Asset Disposition]+SNAMEB[Beginning Fund Balance]</f>
        <v>23220735</v>
      </c>
    </row>
    <row r="249" spans="1:54" x14ac:dyDescent="0.2">
      <c r="A249" s="390">
        <v>12</v>
      </c>
      <c r="B249" s="391" t="s">
        <v>323</v>
      </c>
      <c r="C249" s="631">
        <v>5607</v>
      </c>
      <c r="D249" t="s">
        <v>1269</v>
      </c>
      <c r="E249" s="392">
        <v>4641783</v>
      </c>
      <c r="F249" s="392">
        <v>93529</v>
      </c>
      <c r="G249" s="392">
        <v>327387</v>
      </c>
      <c r="H249" s="392">
        <v>0</v>
      </c>
      <c r="I249" s="392">
        <v>0</v>
      </c>
      <c r="J249" s="392">
        <v>0</v>
      </c>
      <c r="K249" s="392">
        <v>320206</v>
      </c>
      <c r="L249" s="392">
        <v>157838</v>
      </c>
      <c r="M249" s="392">
        <v>0</v>
      </c>
      <c r="N249" s="392">
        <v>535800</v>
      </c>
      <c r="O249" s="392">
        <v>161013</v>
      </c>
      <c r="P249" s="392">
        <v>0</v>
      </c>
      <c r="Q249" s="392">
        <v>6237556</v>
      </c>
      <c r="R249" s="392">
        <v>3371977</v>
      </c>
      <c r="S249" s="392">
        <v>39869</v>
      </c>
      <c r="T249" s="392">
        <v>0</v>
      </c>
      <c r="U249" s="392">
        <v>822813</v>
      </c>
      <c r="V249" s="392">
        <v>32258</v>
      </c>
      <c r="W249" s="392">
        <v>242969</v>
      </c>
      <c r="X249" s="392">
        <v>294766</v>
      </c>
      <c r="Y249" s="392">
        <v>174719</v>
      </c>
      <c r="Z249" s="392">
        <v>0</v>
      </c>
      <c r="AA249" s="392">
        <v>4446840</v>
      </c>
      <c r="AB249" s="392">
        <v>0</v>
      </c>
      <c r="AC249" s="392">
        <v>960628</v>
      </c>
      <c r="AD249" s="392">
        <v>73189</v>
      </c>
      <c r="AE249" s="392">
        <v>155210</v>
      </c>
      <c r="AF249" s="392">
        <v>503272</v>
      </c>
      <c r="AG249" s="392">
        <v>11118510</v>
      </c>
      <c r="AH249" s="392">
        <v>512094</v>
      </c>
      <c r="AI249" s="392">
        <v>599473</v>
      </c>
      <c r="AJ249" s="392">
        <v>2675</v>
      </c>
      <c r="AK249" s="392">
        <v>12232752</v>
      </c>
      <c r="AL249" s="392">
        <v>7249743</v>
      </c>
      <c r="AM249" s="392">
        <v>6817546</v>
      </c>
      <c r="AN249" s="392">
        <v>136278</v>
      </c>
      <c r="AO249" s="392">
        <v>236032</v>
      </c>
      <c r="AP249" s="392">
        <v>379272</v>
      </c>
      <c r="AQ249" s="392">
        <v>322191</v>
      </c>
      <c r="AR249" s="392">
        <v>138175</v>
      </c>
      <c r="AS249" s="392">
        <v>542974</v>
      </c>
      <c r="AT249" s="392">
        <v>311196</v>
      </c>
      <c r="AU249" s="392">
        <v>404826</v>
      </c>
      <c r="AV249" s="392">
        <v>1517618</v>
      </c>
      <c r="AW249" s="392">
        <v>937849</v>
      </c>
      <c r="AX249" s="392">
        <v>350099</v>
      </c>
      <c r="AY249" s="786">
        <v>1150883</v>
      </c>
      <c r="AZ249" s="392">
        <v>6237556</v>
      </c>
      <c r="BA249" s="639">
        <f>SUM(SNAMEB[[#This Row],[Instruction Expenditures]:[Transfers Out/OtherFinancing]])+SUM(SNAMEB[[#This Row],[General Fund Balance]:[Other Enterprise FundBalance]])</f>
        <v>19482495</v>
      </c>
      <c r="BB249" s="639">
        <f>SUM(SNAMEB[[#This Row],[Property Tax Revenue]:[IDEA/Other Fed Revenue]])+SNAMEB[General Long-term DebtProceeds]+SNAMEB[TransfersIn/Other Financing]+SNAMEB[Fixed Asset Disposition]+SNAMEB[Beginning Fund Balance]</f>
        <v>19482495</v>
      </c>
    </row>
    <row r="250" spans="1:54" x14ac:dyDescent="0.2">
      <c r="A250" s="390">
        <v>11</v>
      </c>
      <c r="B250" s="391" t="s">
        <v>324</v>
      </c>
      <c r="C250" s="631">
        <v>5643</v>
      </c>
      <c r="D250" t="s">
        <v>1270</v>
      </c>
      <c r="E250" s="392">
        <v>2148955</v>
      </c>
      <c r="F250" s="392">
        <v>259509</v>
      </c>
      <c r="G250" s="392">
        <v>597351</v>
      </c>
      <c r="H250" s="392">
        <v>0</v>
      </c>
      <c r="I250" s="392">
        <v>0</v>
      </c>
      <c r="J250" s="392">
        <v>0</v>
      </c>
      <c r="K250" s="392">
        <v>2460523</v>
      </c>
      <c r="L250" s="392">
        <v>596107</v>
      </c>
      <c r="M250" s="392">
        <v>0</v>
      </c>
      <c r="N250" s="392">
        <v>0</v>
      </c>
      <c r="O250" s="392">
        <v>-127350</v>
      </c>
      <c r="P250" s="392">
        <v>0</v>
      </c>
      <c r="Q250" s="392">
        <v>5935096</v>
      </c>
      <c r="R250" s="392">
        <v>3414427</v>
      </c>
      <c r="S250" s="392">
        <v>79152</v>
      </c>
      <c r="T250" s="392">
        <v>472750</v>
      </c>
      <c r="U250" s="392">
        <v>847409</v>
      </c>
      <c r="V250" s="392">
        <v>27356</v>
      </c>
      <c r="W250" s="392">
        <v>349457</v>
      </c>
      <c r="X250" s="392">
        <v>414926</v>
      </c>
      <c r="Y250" s="392">
        <v>255246</v>
      </c>
      <c r="Z250" s="392">
        <v>0</v>
      </c>
      <c r="AA250" s="392">
        <v>5875277</v>
      </c>
      <c r="AB250" s="392">
        <v>0</v>
      </c>
      <c r="AC250" s="392">
        <v>1016848</v>
      </c>
      <c r="AD250" s="392">
        <v>1008</v>
      </c>
      <c r="AE250" s="392">
        <v>71563</v>
      </c>
      <c r="AF250" s="392">
        <v>343216</v>
      </c>
      <c r="AG250" s="392">
        <v>13168635</v>
      </c>
      <c r="AH250" s="392">
        <v>0</v>
      </c>
      <c r="AI250" s="392">
        <v>133766</v>
      </c>
      <c r="AJ250" s="392">
        <v>46418</v>
      </c>
      <c r="AK250" s="392">
        <v>13348819</v>
      </c>
      <c r="AL250" s="392">
        <v>7167603</v>
      </c>
      <c r="AM250" s="392">
        <v>8098595</v>
      </c>
      <c r="AN250" s="392">
        <v>312850</v>
      </c>
      <c r="AO250" s="392">
        <v>538028</v>
      </c>
      <c r="AP250" s="392">
        <v>266294</v>
      </c>
      <c r="AQ250" s="392">
        <v>594878</v>
      </c>
      <c r="AR250" s="392">
        <v>126676</v>
      </c>
      <c r="AS250" s="392">
        <v>1002032</v>
      </c>
      <c r="AT250" s="392">
        <v>399209</v>
      </c>
      <c r="AU250" s="392">
        <v>545117</v>
      </c>
      <c r="AV250" s="392">
        <v>2059682</v>
      </c>
      <c r="AW250" s="392">
        <v>118841</v>
      </c>
      <c r="AX250" s="392">
        <v>382246</v>
      </c>
      <c r="AY250" s="786">
        <v>136878</v>
      </c>
      <c r="AZ250" s="392">
        <v>5935096</v>
      </c>
      <c r="BA250" s="639">
        <f>SUM(SNAMEB[[#This Row],[Instruction Expenditures]:[Transfers Out/OtherFinancing]])+SUM(SNAMEB[[#This Row],[General Fund Balance]:[Other Enterprise FundBalance]])</f>
        <v>20516421</v>
      </c>
      <c r="BB250" s="639">
        <f>SUM(SNAMEB[[#This Row],[Property Tax Revenue]:[IDEA/Other Fed Revenue]])+SNAMEB[General Long-term DebtProceeds]+SNAMEB[TransfersIn/Other Financing]+SNAMEB[Fixed Asset Disposition]+SNAMEB[Beginning Fund Balance]</f>
        <v>20516422</v>
      </c>
    </row>
    <row r="251" spans="1:54" x14ac:dyDescent="0.2">
      <c r="A251" s="390">
        <v>7</v>
      </c>
      <c r="B251" s="391" t="s">
        <v>325</v>
      </c>
      <c r="C251" s="631">
        <v>5697</v>
      </c>
      <c r="D251" t="s">
        <v>1271</v>
      </c>
      <c r="E251" s="392">
        <v>564318</v>
      </c>
      <c r="F251" s="392">
        <v>68207</v>
      </c>
      <c r="G251" s="392">
        <v>323020</v>
      </c>
      <c r="H251" s="392">
        <v>0</v>
      </c>
      <c r="I251" s="392">
        <v>0</v>
      </c>
      <c r="J251" s="392">
        <v>0</v>
      </c>
      <c r="K251" s="392">
        <v>641798</v>
      </c>
      <c r="L251" s="392">
        <v>266053</v>
      </c>
      <c r="M251" s="392">
        <v>0</v>
      </c>
      <c r="N251" s="392">
        <v>0</v>
      </c>
      <c r="O251" s="392">
        <v>-78290</v>
      </c>
      <c r="P251" s="392">
        <v>0</v>
      </c>
      <c r="Q251" s="392">
        <v>1785106</v>
      </c>
      <c r="R251" s="392">
        <v>2389315</v>
      </c>
      <c r="S251" s="392">
        <v>55142</v>
      </c>
      <c r="T251" s="392">
        <v>0</v>
      </c>
      <c r="U251" s="392">
        <v>333766</v>
      </c>
      <c r="V251" s="392">
        <v>11024</v>
      </c>
      <c r="W251" s="392">
        <v>141319</v>
      </c>
      <c r="X251" s="392">
        <v>234641</v>
      </c>
      <c r="Y251" s="392">
        <v>167945</v>
      </c>
      <c r="Z251" s="392">
        <v>0</v>
      </c>
      <c r="AA251" s="392">
        <v>2276828</v>
      </c>
      <c r="AB251" s="392">
        <v>0</v>
      </c>
      <c r="AC251" s="392">
        <v>455416</v>
      </c>
      <c r="AD251" s="392">
        <v>24413</v>
      </c>
      <c r="AE251" s="392">
        <v>77739</v>
      </c>
      <c r="AF251" s="392">
        <v>325912</v>
      </c>
      <c r="AG251" s="392">
        <v>6493460</v>
      </c>
      <c r="AH251" s="392">
        <v>0</v>
      </c>
      <c r="AI251" s="392">
        <v>21464</v>
      </c>
      <c r="AJ251" s="392">
        <v>30976</v>
      </c>
      <c r="AK251" s="392">
        <v>6545901</v>
      </c>
      <c r="AL251" s="392">
        <v>1769771</v>
      </c>
      <c r="AM251" s="392">
        <v>4094406</v>
      </c>
      <c r="AN251" s="392">
        <v>89426</v>
      </c>
      <c r="AO251" s="392">
        <v>185575</v>
      </c>
      <c r="AP251" s="392">
        <v>176691</v>
      </c>
      <c r="AQ251" s="392">
        <v>239361</v>
      </c>
      <c r="AR251" s="392">
        <v>134169</v>
      </c>
      <c r="AS251" s="392">
        <v>565443</v>
      </c>
      <c r="AT251" s="392">
        <v>322154</v>
      </c>
      <c r="AU251" s="392">
        <v>304338</v>
      </c>
      <c r="AV251" s="392">
        <v>177675</v>
      </c>
      <c r="AW251" s="392">
        <v>20324</v>
      </c>
      <c r="AX251" s="392">
        <v>200680</v>
      </c>
      <c r="AY251" s="786">
        <v>20324</v>
      </c>
      <c r="AZ251" s="392">
        <v>1785106</v>
      </c>
      <c r="BA251" s="639">
        <f>SUM(SNAMEB[[#This Row],[Instruction Expenditures]:[Transfers Out/OtherFinancing]])+SUM(SNAMEB[[#This Row],[General Fund Balance]:[Other Enterprise FundBalance]])</f>
        <v>8315672</v>
      </c>
      <c r="BB251" s="639">
        <f>SUM(SNAMEB[[#This Row],[Property Tax Revenue]:[IDEA/Other Fed Revenue]])+SNAMEB[General Long-term DebtProceeds]+SNAMEB[TransfersIn/Other Financing]+SNAMEB[Fixed Asset Disposition]+SNAMEB[Beginning Fund Balance]</f>
        <v>8315671</v>
      </c>
    </row>
    <row r="252" spans="1:54" x14ac:dyDescent="0.2">
      <c r="A252" s="390">
        <v>5</v>
      </c>
      <c r="B252" s="391" t="s">
        <v>326</v>
      </c>
      <c r="C252" s="631">
        <v>5724</v>
      </c>
      <c r="D252" t="s">
        <v>1272</v>
      </c>
      <c r="E252" s="392">
        <v>648779</v>
      </c>
      <c r="F252" s="392">
        <v>30837</v>
      </c>
      <c r="G252" s="392">
        <v>540856</v>
      </c>
      <c r="H252" s="392">
        <v>0</v>
      </c>
      <c r="I252" s="392">
        <v>0</v>
      </c>
      <c r="J252" s="392">
        <v>0</v>
      </c>
      <c r="K252" s="392">
        <v>941041</v>
      </c>
      <c r="L252" s="392">
        <v>355006</v>
      </c>
      <c r="M252" s="392">
        <v>0</v>
      </c>
      <c r="N252" s="392">
        <v>0</v>
      </c>
      <c r="O252" s="392">
        <v>-15546</v>
      </c>
      <c r="P252" s="392">
        <v>5349</v>
      </c>
      <c r="Q252" s="392">
        <v>2506321</v>
      </c>
      <c r="R252" s="392">
        <v>1300534</v>
      </c>
      <c r="S252" s="392">
        <v>25529</v>
      </c>
      <c r="T252" s="392">
        <v>107857</v>
      </c>
      <c r="U252" s="392">
        <v>163893</v>
      </c>
      <c r="V252" s="392">
        <v>4767</v>
      </c>
      <c r="W252" s="392">
        <v>41436</v>
      </c>
      <c r="X252" s="392">
        <v>60451</v>
      </c>
      <c r="Y252" s="392">
        <v>143908</v>
      </c>
      <c r="Z252" s="392">
        <v>0</v>
      </c>
      <c r="AA252" s="392">
        <v>1502288</v>
      </c>
      <c r="AB252" s="392">
        <v>0</v>
      </c>
      <c r="AC252" s="392">
        <v>253029</v>
      </c>
      <c r="AD252" s="392">
        <v>22572</v>
      </c>
      <c r="AE252" s="392">
        <v>41174</v>
      </c>
      <c r="AF252" s="392">
        <v>170532</v>
      </c>
      <c r="AG252" s="392">
        <v>3837970</v>
      </c>
      <c r="AH252" s="392">
        <v>0</v>
      </c>
      <c r="AI252" s="392">
        <v>28638</v>
      </c>
      <c r="AJ252" s="392">
        <v>351</v>
      </c>
      <c r="AK252" s="392">
        <v>3866959</v>
      </c>
      <c r="AL252" s="392">
        <v>2386043</v>
      </c>
      <c r="AM252" s="392">
        <v>2338722</v>
      </c>
      <c r="AN252" s="392">
        <v>3468</v>
      </c>
      <c r="AO252" s="392">
        <v>66235</v>
      </c>
      <c r="AP252" s="392">
        <v>259994</v>
      </c>
      <c r="AQ252" s="392">
        <v>104508</v>
      </c>
      <c r="AR252" s="392">
        <v>92499</v>
      </c>
      <c r="AS252" s="392">
        <v>323130</v>
      </c>
      <c r="AT252" s="392">
        <v>313277</v>
      </c>
      <c r="AU252" s="392">
        <v>125006</v>
      </c>
      <c r="AV252" s="392">
        <v>12200</v>
      </c>
      <c r="AW252" s="392">
        <v>0</v>
      </c>
      <c r="AX252" s="392">
        <v>107643</v>
      </c>
      <c r="AY252" s="786">
        <v>0</v>
      </c>
      <c r="AZ252" s="392">
        <v>2506321</v>
      </c>
      <c r="BA252" s="639">
        <f>SUM(SNAMEB[[#This Row],[Instruction Expenditures]:[Transfers Out/OtherFinancing]])+SUM(SNAMEB[[#This Row],[General Fund Balance]:[Other Enterprise FundBalance]])</f>
        <v>6253004</v>
      </c>
      <c r="BB252" s="639">
        <f>SUM(SNAMEB[[#This Row],[Property Tax Revenue]:[IDEA/Other Fed Revenue]])+SNAMEB[General Long-term DebtProceeds]+SNAMEB[TransfersIn/Other Financing]+SNAMEB[Fixed Asset Disposition]+SNAMEB[Beginning Fund Balance]</f>
        <v>6253002</v>
      </c>
    </row>
    <row r="253" spans="1:54" x14ac:dyDescent="0.2">
      <c r="A253" s="390">
        <v>11</v>
      </c>
      <c r="B253" s="391" t="s">
        <v>328</v>
      </c>
      <c r="C253" s="631">
        <v>5805</v>
      </c>
      <c r="D253" t="s">
        <v>1274</v>
      </c>
      <c r="E253" s="392">
        <v>3656627</v>
      </c>
      <c r="F253" s="392">
        <v>66694</v>
      </c>
      <c r="G253" s="392">
        <v>738945</v>
      </c>
      <c r="H253" s="392">
        <v>0</v>
      </c>
      <c r="I253" s="392">
        <v>0</v>
      </c>
      <c r="J253" s="392">
        <v>0</v>
      </c>
      <c r="K253" s="392">
        <v>1953337</v>
      </c>
      <c r="L253" s="392">
        <v>1447390</v>
      </c>
      <c r="M253" s="392">
        <v>0</v>
      </c>
      <c r="N253" s="392">
        <v>1163961</v>
      </c>
      <c r="O253" s="392">
        <v>249660</v>
      </c>
      <c r="P253" s="392">
        <v>79214</v>
      </c>
      <c r="Q253" s="392">
        <v>9355827</v>
      </c>
      <c r="R253" s="392">
        <v>8098485</v>
      </c>
      <c r="S253" s="392">
        <v>159617</v>
      </c>
      <c r="T253" s="392">
        <v>0</v>
      </c>
      <c r="U253" s="392">
        <v>1880207</v>
      </c>
      <c r="V253" s="392">
        <v>43218</v>
      </c>
      <c r="W253" s="392">
        <v>205055</v>
      </c>
      <c r="X253" s="392">
        <v>30393</v>
      </c>
      <c r="Y253" s="392">
        <v>650551</v>
      </c>
      <c r="Z253" s="392">
        <v>16109</v>
      </c>
      <c r="AA253" s="392">
        <v>5585898</v>
      </c>
      <c r="AB253" s="392">
        <v>0</v>
      </c>
      <c r="AC253" s="392">
        <v>1245830</v>
      </c>
      <c r="AD253" s="392">
        <v>580014</v>
      </c>
      <c r="AE253" s="392">
        <v>204258</v>
      </c>
      <c r="AF253" s="392">
        <v>1867281</v>
      </c>
      <c r="AG253" s="392">
        <v>20566916</v>
      </c>
      <c r="AH253" s="392">
        <v>0</v>
      </c>
      <c r="AI253" s="392">
        <v>619282</v>
      </c>
      <c r="AJ253" s="392">
        <v>0</v>
      </c>
      <c r="AK253" s="392">
        <v>21186197</v>
      </c>
      <c r="AL253" s="392">
        <v>10201218</v>
      </c>
      <c r="AM253" s="392">
        <v>10760148</v>
      </c>
      <c r="AN253" s="392">
        <v>458401</v>
      </c>
      <c r="AO253" s="392">
        <v>1072319</v>
      </c>
      <c r="AP253" s="392">
        <v>373846</v>
      </c>
      <c r="AQ253" s="392">
        <v>864789</v>
      </c>
      <c r="AR253" s="392">
        <v>588168</v>
      </c>
      <c r="AS253" s="392">
        <v>1808356</v>
      </c>
      <c r="AT253" s="392">
        <v>880455</v>
      </c>
      <c r="AU253" s="392">
        <v>941573</v>
      </c>
      <c r="AV253" s="392">
        <v>1578796</v>
      </c>
      <c r="AW253" s="392">
        <v>1597104</v>
      </c>
      <c r="AX253" s="392">
        <v>466579</v>
      </c>
      <c r="AY253" s="786">
        <v>641056</v>
      </c>
      <c r="AZ253" s="392">
        <v>9355827</v>
      </c>
      <c r="BA253" s="639">
        <f>SUM(SNAMEB[[#This Row],[Instruction Expenditures]:[Transfers Out/OtherFinancing]])+SUM(SNAMEB[[#This Row],[General Fund Balance]:[Other Enterprise FundBalance]])</f>
        <v>31387418</v>
      </c>
      <c r="BB253" s="639">
        <f>SUM(SNAMEB[[#This Row],[Property Tax Revenue]:[IDEA/Other Fed Revenue]])+SNAMEB[General Long-term DebtProceeds]+SNAMEB[TransfersIn/Other Financing]+SNAMEB[Fixed Asset Disposition]+SNAMEB[Beginning Fund Balance]</f>
        <v>31387416</v>
      </c>
    </row>
    <row r="254" spans="1:54" x14ac:dyDescent="0.2">
      <c r="A254" s="390">
        <v>5</v>
      </c>
      <c r="B254" s="391" t="s">
        <v>329</v>
      </c>
      <c r="C254" s="631">
        <v>5823</v>
      </c>
      <c r="D254" t="s">
        <v>650</v>
      </c>
      <c r="E254" s="392">
        <v>1224487</v>
      </c>
      <c r="F254" s="392">
        <v>36649</v>
      </c>
      <c r="G254" s="392">
        <v>1043743</v>
      </c>
      <c r="H254" s="392">
        <v>0</v>
      </c>
      <c r="I254" s="392">
        <v>0</v>
      </c>
      <c r="J254" s="392">
        <v>0</v>
      </c>
      <c r="K254" s="392">
        <v>712821</v>
      </c>
      <c r="L254" s="392">
        <v>494949</v>
      </c>
      <c r="M254" s="392">
        <v>0</v>
      </c>
      <c r="N254" s="392">
        <v>0</v>
      </c>
      <c r="O254" s="392">
        <v>55676</v>
      </c>
      <c r="P254" s="392">
        <v>-44913</v>
      </c>
      <c r="Q254" s="392">
        <v>3523413</v>
      </c>
      <c r="R254" s="392">
        <v>2480568</v>
      </c>
      <c r="S254" s="392">
        <v>57797</v>
      </c>
      <c r="T254" s="392">
        <v>159013</v>
      </c>
      <c r="U254" s="392">
        <v>686731</v>
      </c>
      <c r="V254" s="392">
        <v>11284</v>
      </c>
      <c r="W254" s="392">
        <v>126411</v>
      </c>
      <c r="X254" s="392">
        <v>6096</v>
      </c>
      <c r="Y254" s="392">
        <v>290919</v>
      </c>
      <c r="Z254" s="392">
        <v>0</v>
      </c>
      <c r="AA254" s="392">
        <v>1677889</v>
      </c>
      <c r="AB254" s="392">
        <v>0</v>
      </c>
      <c r="AC254" s="392">
        <v>377091</v>
      </c>
      <c r="AD254" s="392">
        <v>30952</v>
      </c>
      <c r="AE254" s="392">
        <v>59646</v>
      </c>
      <c r="AF254" s="392">
        <v>270995</v>
      </c>
      <c r="AG254" s="392">
        <v>6235393</v>
      </c>
      <c r="AH254" s="392">
        <v>0</v>
      </c>
      <c r="AI254" s="392">
        <v>0</v>
      </c>
      <c r="AJ254" s="392">
        <v>0</v>
      </c>
      <c r="AK254" s="392">
        <v>6235393</v>
      </c>
      <c r="AL254" s="392">
        <v>3066760</v>
      </c>
      <c r="AM254" s="392">
        <v>3317941</v>
      </c>
      <c r="AN254" s="392">
        <v>128847</v>
      </c>
      <c r="AO254" s="392">
        <v>145643</v>
      </c>
      <c r="AP254" s="392">
        <v>104078</v>
      </c>
      <c r="AQ254" s="392">
        <v>213641</v>
      </c>
      <c r="AR254" s="392">
        <v>113962</v>
      </c>
      <c r="AS254" s="392">
        <v>301616</v>
      </c>
      <c r="AT254" s="392">
        <v>294357</v>
      </c>
      <c r="AU254" s="392">
        <v>394480</v>
      </c>
      <c r="AV254" s="392">
        <v>579276</v>
      </c>
      <c r="AW254" s="392">
        <v>0</v>
      </c>
      <c r="AX254" s="392">
        <v>154155</v>
      </c>
      <c r="AY254" s="786">
        <v>30743</v>
      </c>
      <c r="AZ254" s="392">
        <v>3523413</v>
      </c>
      <c r="BA254" s="639">
        <f>SUM(SNAMEB[[#This Row],[Instruction Expenditures]:[Transfers Out/OtherFinancing]])+SUM(SNAMEB[[#This Row],[General Fund Balance]:[Other Enterprise FundBalance]])</f>
        <v>9302151</v>
      </c>
      <c r="BB254" s="639">
        <f>SUM(SNAMEB[[#This Row],[Property Tax Revenue]:[IDEA/Other Fed Revenue]])+SNAMEB[General Long-term DebtProceeds]+SNAMEB[TransfersIn/Other Financing]+SNAMEB[Fixed Asset Disposition]+SNAMEB[Beginning Fund Balance]</f>
        <v>9302152</v>
      </c>
    </row>
    <row r="255" spans="1:54" x14ac:dyDescent="0.2">
      <c r="A255" s="390">
        <v>12</v>
      </c>
      <c r="B255" s="391" t="s">
        <v>330</v>
      </c>
      <c r="C255" s="631">
        <v>5832</v>
      </c>
      <c r="D255" t="s">
        <v>1275</v>
      </c>
      <c r="E255" s="392">
        <v>754870</v>
      </c>
      <c r="F255" s="392">
        <v>0</v>
      </c>
      <c r="G255" s="392">
        <v>177354</v>
      </c>
      <c r="H255" s="392">
        <v>0</v>
      </c>
      <c r="I255" s="392">
        <v>0</v>
      </c>
      <c r="J255" s="392">
        <v>0</v>
      </c>
      <c r="K255" s="392">
        <v>452699</v>
      </c>
      <c r="L255" s="392">
        <v>146350</v>
      </c>
      <c r="M255" s="392">
        <v>585504</v>
      </c>
      <c r="N255" s="392">
        <v>155635</v>
      </c>
      <c r="O255" s="392">
        <v>38473</v>
      </c>
      <c r="P255" s="392">
        <v>0</v>
      </c>
      <c r="Q255" s="392">
        <v>2310885</v>
      </c>
      <c r="R255" s="392">
        <v>1945004</v>
      </c>
      <c r="S255" s="392">
        <v>25844</v>
      </c>
      <c r="T255" s="392">
        <v>13811</v>
      </c>
      <c r="U255" s="392">
        <v>212472</v>
      </c>
      <c r="V255" s="392">
        <v>15215</v>
      </c>
      <c r="W255" s="392">
        <v>54245</v>
      </c>
      <c r="X255" s="392">
        <v>23637</v>
      </c>
      <c r="Y255" s="392">
        <v>47571</v>
      </c>
      <c r="Z255" s="392">
        <v>0</v>
      </c>
      <c r="AA255" s="392">
        <v>1684106</v>
      </c>
      <c r="AB255" s="392">
        <v>0</v>
      </c>
      <c r="AC255" s="392">
        <v>261035</v>
      </c>
      <c r="AD255" s="392">
        <v>24765</v>
      </c>
      <c r="AE255" s="392">
        <v>53416</v>
      </c>
      <c r="AF255" s="392">
        <v>109963</v>
      </c>
      <c r="AG255" s="392">
        <v>4471082</v>
      </c>
      <c r="AH255" s="392">
        <v>0</v>
      </c>
      <c r="AI255" s="392">
        <v>119625</v>
      </c>
      <c r="AJ255" s="392">
        <v>0</v>
      </c>
      <c r="AK255" s="392">
        <v>4590708</v>
      </c>
      <c r="AL255" s="392">
        <v>4571128</v>
      </c>
      <c r="AM255" s="392">
        <v>2324446</v>
      </c>
      <c r="AN255" s="392">
        <v>49701</v>
      </c>
      <c r="AO255" s="392">
        <v>88909</v>
      </c>
      <c r="AP255" s="392">
        <v>309119</v>
      </c>
      <c r="AQ255" s="392">
        <v>84555</v>
      </c>
      <c r="AR255" s="392">
        <v>120351</v>
      </c>
      <c r="AS255" s="392">
        <v>202774</v>
      </c>
      <c r="AT255" s="392">
        <v>323004</v>
      </c>
      <c r="AU255" s="392">
        <v>148889</v>
      </c>
      <c r="AV255" s="392">
        <v>2528899</v>
      </c>
      <c r="AW255" s="392">
        <v>434954</v>
      </c>
      <c r="AX255" s="392">
        <v>138348</v>
      </c>
      <c r="AY255" s="786">
        <v>97000</v>
      </c>
      <c r="AZ255" s="392">
        <v>2310885</v>
      </c>
      <c r="BA255" s="639">
        <f>SUM(SNAMEB[[#This Row],[Instruction Expenditures]:[Transfers Out/OtherFinancing]])+SUM(SNAMEB[[#This Row],[General Fund Balance]:[Other Enterprise FundBalance]])</f>
        <v>9161834</v>
      </c>
      <c r="BB255" s="639">
        <f>SUM(SNAMEB[[#This Row],[Property Tax Revenue]:[IDEA/Other Fed Revenue]])+SNAMEB[General Long-term DebtProceeds]+SNAMEB[TransfersIn/Other Financing]+SNAMEB[Fixed Asset Disposition]+SNAMEB[Beginning Fund Balance]</f>
        <v>9161837</v>
      </c>
    </row>
    <row r="256" spans="1:54" x14ac:dyDescent="0.2">
      <c r="A256" s="390">
        <v>12</v>
      </c>
      <c r="B256" s="391" t="s">
        <v>331</v>
      </c>
      <c r="C256" s="631">
        <v>5877</v>
      </c>
      <c r="D256" t="s">
        <v>1276</v>
      </c>
      <c r="E256" s="392">
        <v>2786560</v>
      </c>
      <c r="F256" s="392">
        <v>243932</v>
      </c>
      <c r="G256" s="392">
        <v>722484</v>
      </c>
      <c r="H256" s="392">
        <v>0</v>
      </c>
      <c r="I256" s="392">
        <v>0</v>
      </c>
      <c r="J256" s="392">
        <v>0</v>
      </c>
      <c r="K256" s="392">
        <v>1044765</v>
      </c>
      <c r="L256" s="392">
        <v>113432</v>
      </c>
      <c r="M256" s="392">
        <v>0</v>
      </c>
      <c r="N256" s="392">
        <v>464835</v>
      </c>
      <c r="O256" s="392">
        <v>16221</v>
      </c>
      <c r="P256" s="392">
        <v>145781</v>
      </c>
      <c r="Q256" s="392">
        <v>5538010</v>
      </c>
      <c r="R256" s="392">
        <v>5186243</v>
      </c>
      <c r="S256" s="392">
        <v>1746805</v>
      </c>
      <c r="T256" s="392">
        <v>0</v>
      </c>
      <c r="U256" s="392">
        <v>2237121</v>
      </c>
      <c r="V256" s="392">
        <v>108396</v>
      </c>
      <c r="W256" s="392">
        <v>424207</v>
      </c>
      <c r="X256" s="392">
        <v>498155</v>
      </c>
      <c r="Y256" s="392">
        <v>439408</v>
      </c>
      <c r="Z256" s="392">
        <v>0</v>
      </c>
      <c r="AA256" s="392">
        <v>7841180</v>
      </c>
      <c r="AB256" s="392">
        <v>0</v>
      </c>
      <c r="AC256" s="392">
        <v>1388896</v>
      </c>
      <c r="AD256" s="392">
        <v>348700</v>
      </c>
      <c r="AE256" s="392">
        <v>131606</v>
      </c>
      <c r="AF256" s="392">
        <v>677100</v>
      </c>
      <c r="AG256" s="392">
        <v>21027818</v>
      </c>
      <c r="AH256" s="392">
        <v>72760</v>
      </c>
      <c r="AI256" s="392">
        <v>34955</v>
      </c>
      <c r="AJ256" s="392">
        <v>12750</v>
      </c>
      <c r="AK256" s="392">
        <v>21148283</v>
      </c>
      <c r="AL256" s="392">
        <v>6812142</v>
      </c>
      <c r="AM256" s="392">
        <v>13274221</v>
      </c>
      <c r="AN256" s="392">
        <v>325932</v>
      </c>
      <c r="AO256" s="392">
        <v>639574</v>
      </c>
      <c r="AP256" s="392">
        <v>371662</v>
      </c>
      <c r="AQ256" s="392">
        <v>962454</v>
      </c>
      <c r="AR256" s="392">
        <v>139435</v>
      </c>
      <c r="AS256" s="392">
        <v>1603958</v>
      </c>
      <c r="AT256" s="392">
        <v>554726</v>
      </c>
      <c r="AU256" s="392">
        <v>1064941</v>
      </c>
      <c r="AV256" s="392">
        <v>259923</v>
      </c>
      <c r="AW256" s="392">
        <v>2580085</v>
      </c>
      <c r="AX256" s="392">
        <v>606999</v>
      </c>
      <c r="AY256" s="786">
        <v>38507</v>
      </c>
      <c r="AZ256" s="392">
        <v>5538010</v>
      </c>
      <c r="BA256" s="639">
        <f>SUM(SNAMEB[[#This Row],[Instruction Expenditures]:[Transfers Out/OtherFinancing]])+SUM(SNAMEB[[#This Row],[General Fund Balance]:[Other Enterprise FundBalance]])</f>
        <v>27960427</v>
      </c>
      <c r="BB256" s="639">
        <f>SUM(SNAMEB[[#This Row],[Property Tax Revenue]:[IDEA/Other Fed Revenue]])+SNAMEB[General Long-term DebtProceeds]+SNAMEB[TransfersIn/Other Financing]+SNAMEB[Fixed Asset Disposition]+SNAMEB[Beginning Fund Balance]</f>
        <v>27960424</v>
      </c>
    </row>
    <row r="257" spans="1:54" x14ac:dyDescent="0.2">
      <c r="A257" s="390">
        <v>15</v>
      </c>
      <c r="B257" s="391" t="s">
        <v>332</v>
      </c>
      <c r="C257" s="631">
        <v>5895</v>
      </c>
      <c r="D257" t="s">
        <v>1277</v>
      </c>
      <c r="E257" s="392">
        <v>1055197</v>
      </c>
      <c r="F257" s="392">
        <v>71706</v>
      </c>
      <c r="G257" s="392">
        <v>202353</v>
      </c>
      <c r="H257" s="392">
        <v>0</v>
      </c>
      <c r="I257" s="392">
        <v>0</v>
      </c>
      <c r="J257" s="392">
        <v>0</v>
      </c>
      <c r="K257" s="392">
        <v>557895</v>
      </c>
      <c r="L257" s="392">
        <v>74530</v>
      </c>
      <c r="M257" s="392">
        <v>0</v>
      </c>
      <c r="N257" s="392">
        <v>0</v>
      </c>
      <c r="O257" s="392">
        <v>51976</v>
      </c>
      <c r="P257" s="392">
        <v>0</v>
      </c>
      <c r="Q257" s="392">
        <v>2013657</v>
      </c>
      <c r="R257" s="392">
        <v>909994</v>
      </c>
      <c r="S257" s="392">
        <v>26915</v>
      </c>
      <c r="T257" s="392">
        <v>88481</v>
      </c>
      <c r="U257" s="392">
        <v>124361</v>
      </c>
      <c r="V257" s="392">
        <v>8543</v>
      </c>
      <c r="W257" s="392">
        <v>52270</v>
      </c>
      <c r="X257" s="392">
        <v>115689</v>
      </c>
      <c r="Y257" s="392">
        <v>87740</v>
      </c>
      <c r="Z257" s="392">
        <v>19920</v>
      </c>
      <c r="AA257" s="392">
        <v>1655923</v>
      </c>
      <c r="AB257" s="392">
        <v>0</v>
      </c>
      <c r="AC257" s="392">
        <v>283063</v>
      </c>
      <c r="AD257" s="392">
        <v>4805</v>
      </c>
      <c r="AE257" s="392">
        <v>130224</v>
      </c>
      <c r="AF257" s="392">
        <v>190975</v>
      </c>
      <c r="AG257" s="392">
        <v>3698905</v>
      </c>
      <c r="AH257" s="392">
        <v>0</v>
      </c>
      <c r="AI257" s="392">
        <v>0</v>
      </c>
      <c r="AJ257" s="392">
        <v>1162</v>
      </c>
      <c r="AK257" s="392">
        <v>3700066</v>
      </c>
      <c r="AL257" s="392">
        <v>1945639</v>
      </c>
      <c r="AM257" s="392">
        <v>2287595</v>
      </c>
      <c r="AN257" s="392">
        <v>36314</v>
      </c>
      <c r="AO257" s="392">
        <v>133198</v>
      </c>
      <c r="AP257" s="392">
        <v>126522</v>
      </c>
      <c r="AQ257" s="392">
        <v>124739</v>
      </c>
      <c r="AR257" s="392">
        <v>46300</v>
      </c>
      <c r="AS257" s="392">
        <v>196009</v>
      </c>
      <c r="AT257" s="392">
        <v>268955</v>
      </c>
      <c r="AU257" s="392">
        <v>182198</v>
      </c>
      <c r="AV257" s="392">
        <v>122815</v>
      </c>
      <c r="AW257" s="392">
        <v>0</v>
      </c>
      <c r="AX257" s="392">
        <v>107404</v>
      </c>
      <c r="AY257" s="786">
        <v>0</v>
      </c>
      <c r="AZ257" s="392">
        <v>2013657</v>
      </c>
      <c r="BA257" s="639">
        <f>SUM(SNAMEB[[#This Row],[Instruction Expenditures]:[Transfers Out/OtherFinancing]])+SUM(SNAMEB[[#This Row],[General Fund Balance]:[Other Enterprise FundBalance]])</f>
        <v>5645706</v>
      </c>
      <c r="BB257" s="639">
        <f>SUM(SNAMEB[[#This Row],[Property Tax Revenue]:[IDEA/Other Fed Revenue]])+SNAMEB[General Long-term DebtProceeds]+SNAMEB[TransfersIn/Other Financing]+SNAMEB[Fixed Asset Disposition]+SNAMEB[Beginning Fund Balance]</f>
        <v>5645704</v>
      </c>
    </row>
    <row r="258" spans="1:54" x14ac:dyDescent="0.2">
      <c r="A258" s="390">
        <v>12</v>
      </c>
      <c r="B258" s="391" t="s">
        <v>334</v>
      </c>
      <c r="C258" s="631">
        <v>5949</v>
      </c>
      <c r="D258" t="s">
        <v>1278</v>
      </c>
      <c r="E258" s="392">
        <v>1638606</v>
      </c>
      <c r="F258" s="392">
        <v>330274</v>
      </c>
      <c r="G258" s="392">
        <v>333812</v>
      </c>
      <c r="H258" s="392">
        <v>0</v>
      </c>
      <c r="I258" s="392">
        <v>0</v>
      </c>
      <c r="J258" s="392">
        <v>0</v>
      </c>
      <c r="K258" s="392">
        <v>875552</v>
      </c>
      <c r="L258" s="392">
        <v>105386</v>
      </c>
      <c r="M258" s="392">
        <v>0</v>
      </c>
      <c r="N258" s="392">
        <v>3</v>
      </c>
      <c r="O258" s="392">
        <v>327600</v>
      </c>
      <c r="P258" s="392">
        <v>0</v>
      </c>
      <c r="Q258" s="392">
        <v>3611234</v>
      </c>
      <c r="R258" s="392">
        <v>4392695</v>
      </c>
      <c r="S258" s="392">
        <v>213306</v>
      </c>
      <c r="T258" s="392">
        <v>416132</v>
      </c>
      <c r="U258" s="392">
        <v>457449</v>
      </c>
      <c r="V258" s="392">
        <v>14717</v>
      </c>
      <c r="W258" s="392">
        <v>367553</v>
      </c>
      <c r="X258" s="392">
        <v>403950</v>
      </c>
      <c r="Y258" s="392">
        <v>183605</v>
      </c>
      <c r="Z258" s="392">
        <v>0</v>
      </c>
      <c r="AA258" s="392">
        <v>6211994</v>
      </c>
      <c r="AB258" s="392">
        <v>0</v>
      </c>
      <c r="AC258" s="392">
        <v>1096464</v>
      </c>
      <c r="AD258" s="392">
        <v>122713</v>
      </c>
      <c r="AE258" s="392">
        <v>179394</v>
      </c>
      <c r="AF258" s="392">
        <v>474750</v>
      </c>
      <c r="AG258" s="392">
        <v>14534722</v>
      </c>
      <c r="AH258" s="392">
        <v>0</v>
      </c>
      <c r="AI258" s="392">
        <v>972096</v>
      </c>
      <c r="AJ258" s="392">
        <v>620</v>
      </c>
      <c r="AK258" s="392">
        <v>15507438</v>
      </c>
      <c r="AL258" s="392">
        <v>2611430</v>
      </c>
      <c r="AM258" s="392">
        <v>7835531</v>
      </c>
      <c r="AN258" s="392">
        <v>102874</v>
      </c>
      <c r="AO258" s="392">
        <v>517326</v>
      </c>
      <c r="AP258" s="392">
        <v>321877</v>
      </c>
      <c r="AQ258" s="392">
        <v>555960</v>
      </c>
      <c r="AR258" s="392">
        <v>219939</v>
      </c>
      <c r="AS258" s="392">
        <v>1247925</v>
      </c>
      <c r="AT258" s="392">
        <v>541013</v>
      </c>
      <c r="AU258" s="392">
        <v>652968</v>
      </c>
      <c r="AV258" s="392">
        <v>60427</v>
      </c>
      <c r="AW258" s="392">
        <v>1015318</v>
      </c>
      <c r="AX258" s="392">
        <v>464154</v>
      </c>
      <c r="AY258" s="786">
        <v>972323</v>
      </c>
      <c r="AZ258" s="392">
        <v>3611234</v>
      </c>
      <c r="BA258" s="639">
        <f>SUM(SNAMEB[[#This Row],[Instruction Expenditures]:[Transfers Out/OtherFinancing]])+SUM(SNAMEB[[#This Row],[General Fund Balance]:[Other Enterprise FundBalance]])</f>
        <v>18118868</v>
      </c>
      <c r="BB258" s="639">
        <f>SUM(SNAMEB[[#This Row],[Property Tax Revenue]:[IDEA/Other Fed Revenue]])+SNAMEB[General Long-term DebtProceeds]+SNAMEB[TransfersIn/Other Financing]+SNAMEB[Fixed Asset Disposition]+SNAMEB[Beginning Fund Balance]</f>
        <v>18118868</v>
      </c>
    </row>
    <row r="259" spans="1:54" x14ac:dyDescent="0.2">
      <c r="A259" s="390">
        <v>13</v>
      </c>
      <c r="B259" s="391" t="s">
        <v>335</v>
      </c>
      <c r="C259" s="631">
        <v>5976</v>
      </c>
      <c r="D259" t="s">
        <v>1279</v>
      </c>
      <c r="E259" s="392">
        <v>1571144</v>
      </c>
      <c r="F259" s="392">
        <v>139145</v>
      </c>
      <c r="G259" s="392">
        <v>581784</v>
      </c>
      <c r="H259" s="392">
        <v>0</v>
      </c>
      <c r="I259" s="392">
        <v>0</v>
      </c>
      <c r="J259" s="392">
        <v>0</v>
      </c>
      <c r="K259" s="392">
        <v>1392708</v>
      </c>
      <c r="L259" s="392">
        <v>338059</v>
      </c>
      <c r="M259" s="392">
        <v>0</v>
      </c>
      <c r="N259" s="392">
        <v>486569</v>
      </c>
      <c r="O259" s="392">
        <v>-49116</v>
      </c>
      <c r="P259" s="392">
        <v>0</v>
      </c>
      <c r="Q259" s="392">
        <v>4460293</v>
      </c>
      <c r="R259" s="392">
        <v>3997841</v>
      </c>
      <c r="S259" s="392">
        <v>63084</v>
      </c>
      <c r="T259" s="392">
        <v>726086</v>
      </c>
      <c r="U259" s="392">
        <v>635685</v>
      </c>
      <c r="V259" s="392">
        <v>8298</v>
      </c>
      <c r="W259" s="392">
        <v>192230</v>
      </c>
      <c r="X259" s="392">
        <v>182670</v>
      </c>
      <c r="Y259" s="392">
        <v>324430</v>
      </c>
      <c r="Z259" s="392">
        <v>0</v>
      </c>
      <c r="AA259" s="392">
        <v>5809579</v>
      </c>
      <c r="AB259" s="392">
        <v>0</v>
      </c>
      <c r="AC259" s="392">
        <v>1040535</v>
      </c>
      <c r="AD259" s="392">
        <v>112930</v>
      </c>
      <c r="AE259" s="392">
        <v>229383</v>
      </c>
      <c r="AF259" s="392">
        <v>551722</v>
      </c>
      <c r="AG259" s="392">
        <v>13874472</v>
      </c>
      <c r="AH259" s="392">
        <v>4680000</v>
      </c>
      <c r="AI259" s="392">
        <v>364879</v>
      </c>
      <c r="AJ259" s="392">
        <v>0</v>
      </c>
      <c r="AK259" s="392">
        <v>18919351</v>
      </c>
      <c r="AL259" s="392">
        <v>5004100</v>
      </c>
      <c r="AM259" s="392">
        <v>7992939</v>
      </c>
      <c r="AN259" s="392">
        <v>353303</v>
      </c>
      <c r="AO259" s="392">
        <v>589467</v>
      </c>
      <c r="AP259" s="392">
        <v>413898</v>
      </c>
      <c r="AQ259" s="392">
        <v>588810</v>
      </c>
      <c r="AR259" s="392">
        <v>233425</v>
      </c>
      <c r="AS259" s="392">
        <v>966252</v>
      </c>
      <c r="AT259" s="392">
        <v>517279</v>
      </c>
      <c r="AU259" s="392">
        <v>573687</v>
      </c>
      <c r="AV259" s="392">
        <v>320292</v>
      </c>
      <c r="AW259" s="392">
        <v>6172366</v>
      </c>
      <c r="AX259" s="392">
        <v>404838</v>
      </c>
      <c r="AY259" s="786">
        <v>336603</v>
      </c>
      <c r="AZ259" s="392">
        <v>4460293</v>
      </c>
      <c r="BA259" s="639">
        <f>SUM(SNAMEB[[#This Row],[Instruction Expenditures]:[Transfers Out/OtherFinancing]])+SUM(SNAMEB[[#This Row],[General Fund Balance]:[Other Enterprise FundBalance]])</f>
        <v>23923452</v>
      </c>
      <c r="BB259" s="639">
        <f>SUM(SNAMEB[[#This Row],[Property Tax Revenue]:[IDEA/Other Fed Revenue]])+SNAMEB[General Long-term DebtProceeds]+SNAMEB[TransfersIn/Other Financing]+SNAMEB[Fixed Asset Disposition]+SNAMEB[Beginning Fund Balance]</f>
        <v>23923452</v>
      </c>
    </row>
    <row r="260" spans="1:54" x14ac:dyDescent="0.2">
      <c r="A260" s="390">
        <v>12</v>
      </c>
      <c r="B260" s="391" t="s">
        <v>336</v>
      </c>
      <c r="C260" s="631">
        <v>5994</v>
      </c>
      <c r="D260" t="s">
        <v>1280</v>
      </c>
      <c r="E260" s="392">
        <v>1990634</v>
      </c>
      <c r="F260" s="392">
        <v>135461</v>
      </c>
      <c r="G260" s="392">
        <v>399849</v>
      </c>
      <c r="H260" s="392">
        <v>0</v>
      </c>
      <c r="I260" s="392">
        <v>0</v>
      </c>
      <c r="J260" s="392">
        <v>0</v>
      </c>
      <c r="K260" s="392">
        <v>727345</v>
      </c>
      <c r="L260" s="392">
        <v>131215</v>
      </c>
      <c r="M260" s="392">
        <v>0</v>
      </c>
      <c r="N260" s="392">
        <v>12159</v>
      </c>
      <c r="O260" s="392">
        <v>158418</v>
      </c>
      <c r="P260" s="392">
        <v>0</v>
      </c>
      <c r="Q260" s="392">
        <v>3555082</v>
      </c>
      <c r="R260" s="392">
        <v>3113911</v>
      </c>
      <c r="S260" s="392">
        <v>38188</v>
      </c>
      <c r="T260" s="392">
        <v>241784</v>
      </c>
      <c r="U260" s="392">
        <v>279280</v>
      </c>
      <c r="V260" s="392">
        <v>859</v>
      </c>
      <c r="W260" s="392">
        <v>303504</v>
      </c>
      <c r="X260" s="392">
        <v>227659</v>
      </c>
      <c r="Y260" s="392">
        <v>211747</v>
      </c>
      <c r="Z260" s="392">
        <v>0</v>
      </c>
      <c r="AA260" s="392">
        <v>4287851</v>
      </c>
      <c r="AB260" s="392">
        <v>0</v>
      </c>
      <c r="AC260" s="392">
        <v>786454</v>
      </c>
      <c r="AD260" s="392">
        <v>51185</v>
      </c>
      <c r="AE260" s="392">
        <v>162048</v>
      </c>
      <c r="AF260" s="392">
        <v>366373</v>
      </c>
      <c r="AG260" s="392">
        <v>10070843</v>
      </c>
      <c r="AH260" s="392">
        <v>0</v>
      </c>
      <c r="AI260" s="392">
        <v>133813</v>
      </c>
      <c r="AJ260" s="392">
        <v>11254</v>
      </c>
      <c r="AK260" s="392">
        <v>10215910</v>
      </c>
      <c r="AL260" s="392">
        <v>2673170</v>
      </c>
      <c r="AM260" s="392">
        <v>5522203</v>
      </c>
      <c r="AN260" s="392">
        <v>287610</v>
      </c>
      <c r="AO260" s="392">
        <v>271473</v>
      </c>
      <c r="AP260" s="392">
        <v>246959</v>
      </c>
      <c r="AQ260" s="392">
        <v>405059</v>
      </c>
      <c r="AR260" s="392">
        <v>205419</v>
      </c>
      <c r="AS260" s="392">
        <v>860743</v>
      </c>
      <c r="AT260" s="392">
        <v>364912</v>
      </c>
      <c r="AU260" s="392">
        <v>495088</v>
      </c>
      <c r="AV260" s="392">
        <v>81249</v>
      </c>
      <c r="AW260" s="392">
        <v>133913</v>
      </c>
      <c r="AX260" s="392">
        <v>319163</v>
      </c>
      <c r="AY260" s="786">
        <v>140208</v>
      </c>
      <c r="AZ260" s="392">
        <v>3555082</v>
      </c>
      <c r="BA260" s="639">
        <f>SUM(SNAMEB[[#This Row],[Instruction Expenditures]:[Transfers Out/OtherFinancing]])+SUM(SNAMEB[[#This Row],[General Fund Balance]:[Other Enterprise FundBalance]])</f>
        <v>12889080</v>
      </c>
      <c r="BB260" s="639">
        <f>SUM(SNAMEB[[#This Row],[Property Tax Revenue]:[IDEA/Other Fed Revenue]])+SNAMEB[General Long-term DebtProceeds]+SNAMEB[TransfersIn/Other Financing]+SNAMEB[Fixed Asset Disposition]+SNAMEB[Beginning Fund Balance]</f>
        <v>12889080</v>
      </c>
    </row>
    <row r="261" spans="1:54" x14ac:dyDescent="0.2">
      <c r="A261" s="390">
        <v>13</v>
      </c>
      <c r="B261" s="391" t="s">
        <v>337</v>
      </c>
      <c r="C261" s="631">
        <v>6003</v>
      </c>
      <c r="D261" t="s">
        <v>1281</v>
      </c>
      <c r="E261" s="392">
        <v>444583</v>
      </c>
      <c r="F261" s="392">
        <v>76655</v>
      </c>
      <c r="G261" s="392">
        <v>188327</v>
      </c>
      <c r="H261" s="392">
        <v>0</v>
      </c>
      <c r="I261" s="392">
        <v>0</v>
      </c>
      <c r="J261" s="392">
        <v>0</v>
      </c>
      <c r="K261" s="392">
        <v>307525</v>
      </c>
      <c r="L261" s="392">
        <v>55000</v>
      </c>
      <c r="M261" s="392">
        <v>0</v>
      </c>
      <c r="N261" s="392">
        <v>-7879</v>
      </c>
      <c r="O261" s="392">
        <v>-19183</v>
      </c>
      <c r="P261" s="392">
        <v>0</v>
      </c>
      <c r="Q261" s="392">
        <v>1045028</v>
      </c>
      <c r="R261" s="392">
        <v>1884833</v>
      </c>
      <c r="S261" s="392">
        <v>57480</v>
      </c>
      <c r="T261" s="392">
        <v>126875</v>
      </c>
      <c r="U261" s="392">
        <v>884689</v>
      </c>
      <c r="V261" s="392">
        <v>2301</v>
      </c>
      <c r="W261" s="392">
        <v>91963</v>
      </c>
      <c r="X261" s="392">
        <v>183421</v>
      </c>
      <c r="Y261" s="392">
        <v>221190</v>
      </c>
      <c r="Z261" s="392">
        <v>0</v>
      </c>
      <c r="AA261" s="392">
        <v>1897259</v>
      </c>
      <c r="AB261" s="392">
        <v>0</v>
      </c>
      <c r="AC261" s="392">
        <v>387183</v>
      </c>
      <c r="AD261" s="392">
        <v>14866</v>
      </c>
      <c r="AE261" s="392">
        <v>59471</v>
      </c>
      <c r="AF261" s="392">
        <v>191923</v>
      </c>
      <c r="AG261" s="392">
        <v>6003455</v>
      </c>
      <c r="AH261" s="392">
        <v>165000</v>
      </c>
      <c r="AI261" s="392">
        <v>113840</v>
      </c>
      <c r="AJ261" s="392">
        <v>0</v>
      </c>
      <c r="AK261" s="392">
        <v>6282295</v>
      </c>
      <c r="AL261" s="392">
        <v>1144956</v>
      </c>
      <c r="AM261" s="392">
        <v>3714827</v>
      </c>
      <c r="AN261" s="392">
        <v>90800</v>
      </c>
      <c r="AO261" s="392">
        <v>245819</v>
      </c>
      <c r="AP261" s="392">
        <v>218848</v>
      </c>
      <c r="AQ261" s="392">
        <v>276312</v>
      </c>
      <c r="AR261" s="392">
        <v>97384</v>
      </c>
      <c r="AS261" s="392">
        <v>608805</v>
      </c>
      <c r="AT261" s="392">
        <v>339428</v>
      </c>
      <c r="AU261" s="392">
        <v>212392</v>
      </c>
      <c r="AV261" s="392">
        <v>26909</v>
      </c>
      <c r="AW261" s="392">
        <v>314918</v>
      </c>
      <c r="AX261" s="392">
        <v>142492</v>
      </c>
      <c r="AY261" s="786">
        <v>93287</v>
      </c>
      <c r="AZ261" s="392">
        <v>1045028</v>
      </c>
      <c r="BA261" s="639">
        <f>SUM(SNAMEB[[#This Row],[Instruction Expenditures]:[Transfers Out/OtherFinancing]])+SUM(SNAMEB[[#This Row],[General Fund Balance]:[Other Enterprise FundBalance]])</f>
        <v>7427249</v>
      </c>
      <c r="BB261" s="639">
        <f>SUM(SNAMEB[[#This Row],[Property Tax Revenue]:[IDEA/Other Fed Revenue]])+SNAMEB[General Long-term DebtProceeds]+SNAMEB[TransfersIn/Other Financing]+SNAMEB[Fixed Asset Disposition]+SNAMEB[Beginning Fund Balance]</f>
        <v>7427250</v>
      </c>
    </row>
    <row r="262" spans="1:54" x14ac:dyDescent="0.2">
      <c r="A262" s="390">
        <v>15</v>
      </c>
      <c r="B262" s="391" t="s">
        <v>338</v>
      </c>
      <c r="C262" s="631">
        <v>6012</v>
      </c>
      <c r="D262" t="s">
        <v>1282</v>
      </c>
      <c r="E262" s="392">
        <v>2374240</v>
      </c>
      <c r="F262" s="392">
        <v>75108</v>
      </c>
      <c r="G262" s="392">
        <v>1346337</v>
      </c>
      <c r="H262" s="392">
        <v>0</v>
      </c>
      <c r="I262" s="392">
        <v>0</v>
      </c>
      <c r="J262" s="392">
        <v>0</v>
      </c>
      <c r="K262" s="392">
        <v>113650</v>
      </c>
      <c r="L262" s="392">
        <v>422725</v>
      </c>
      <c r="M262" s="392">
        <v>0</v>
      </c>
      <c r="N262" s="392">
        <v>0</v>
      </c>
      <c r="O262" s="392">
        <v>20932</v>
      </c>
      <c r="P262" s="392">
        <v>0</v>
      </c>
      <c r="Q262" s="392">
        <v>4352990</v>
      </c>
      <c r="R262" s="392">
        <v>2267203</v>
      </c>
      <c r="S262" s="392">
        <v>64324</v>
      </c>
      <c r="T262" s="392">
        <v>27732</v>
      </c>
      <c r="U262" s="392">
        <v>278675</v>
      </c>
      <c r="V262" s="392">
        <v>7846</v>
      </c>
      <c r="W262" s="392">
        <v>132962</v>
      </c>
      <c r="X262" s="392">
        <v>223141</v>
      </c>
      <c r="Y262" s="392">
        <v>161483</v>
      </c>
      <c r="Z262" s="392">
        <v>0</v>
      </c>
      <c r="AA262" s="392">
        <v>3273996</v>
      </c>
      <c r="AB262" s="392">
        <v>0</v>
      </c>
      <c r="AC262" s="392">
        <v>555386</v>
      </c>
      <c r="AD262" s="392">
        <v>55157</v>
      </c>
      <c r="AE262" s="392">
        <v>81349</v>
      </c>
      <c r="AF262" s="392">
        <v>309426</v>
      </c>
      <c r="AG262" s="392">
        <v>7438682</v>
      </c>
      <c r="AH262" s="392">
        <v>0</v>
      </c>
      <c r="AI262" s="392">
        <v>718098</v>
      </c>
      <c r="AJ262" s="392">
        <v>3673</v>
      </c>
      <c r="AK262" s="392">
        <v>8160453</v>
      </c>
      <c r="AL262" s="392">
        <v>4082474</v>
      </c>
      <c r="AM262" s="392">
        <v>4133822</v>
      </c>
      <c r="AN262" s="392">
        <v>129118</v>
      </c>
      <c r="AO262" s="392">
        <v>279640</v>
      </c>
      <c r="AP262" s="392">
        <v>284722</v>
      </c>
      <c r="AQ262" s="392">
        <v>296239</v>
      </c>
      <c r="AR262" s="392">
        <v>122964</v>
      </c>
      <c r="AS262" s="392">
        <v>532321</v>
      </c>
      <c r="AT262" s="392">
        <v>298174</v>
      </c>
      <c r="AU262" s="392">
        <v>319064</v>
      </c>
      <c r="AV262" s="392">
        <v>287849</v>
      </c>
      <c r="AW262" s="392">
        <v>266098</v>
      </c>
      <c r="AX262" s="392">
        <v>220939</v>
      </c>
      <c r="AY262" s="786">
        <v>718986</v>
      </c>
      <c r="AZ262" s="392">
        <v>4352990</v>
      </c>
      <c r="BA262" s="639">
        <f>SUM(SNAMEB[[#This Row],[Instruction Expenditures]:[Transfers Out/OtherFinancing]])+SUM(SNAMEB[[#This Row],[General Fund Balance]:[Other Enterprise FundBalance]])</f>
        <v>12242928</v>
      </c>
      <c r="BB262" s="639">
        <f>SUM(SNAMEB[[#This Row],[Property Tax Revenue]:[IDEA/Other Fed Revenue]])+SNAMEB[General Long-term DebtProceeds]+SNAMEB[TransfersIn/Other Financing]+SNAMEB[Fixed Asset Disposition]+SNAMEB[Beginning Fund Balance]</f>
        <v>12242925</v>
      </c>
    </row>
    <row r="263" spans="1:54" x14ac:dyDescent="0.2">
      <c r="A263" s="390">
        <v>12</v>
      </c>
      <c r="B263" s="391" t="s">
        <v>339</v>
      </c>
      <c r="C263" s="631">
        <v>6030</v>
      </c>
      <c r="D263" t="s">
        <v>1283</v>
      </c>
      <c r="E263" s="392">
        <v>1829370</v>
      </c>
      <c r="F263" s="392">
        <v>205653</v>
      </c>
      <c r="G263" s="392">
        <v>199578</v>
      </c>
      <c r="H263" s="392">
        <v>0</v>
      </c>
      <c r="I263" s="392">
        <v>0</v>
      </c>
      <c r="J263" s="392">
        <v>0</v>
      </c>
      <c r="K263" s="392">
        <v>654418</v>
      </c>
      <c r="L263" s="392">
        <v>389084</v>
      </c>
      <c r="M263" s="392">
        <v>251518</v>
      </c>
      <c r="N263" s="392">
        <v>125934</v>
      </c>
      <c r="O263" s="392">
        <v>84736</v>
      </c>
      <c r="P263" s="392">
        <v>269</v>
      </c>
      <c r="Q263" s="392">
        <v>3740561</v>
      </c>
      <c r="R263" s="392">
        <v>6008431</v>
      </c>
      <c r="S263" s="392">
        <v>46969</v>
      </c>
      <c r="T263" s="392">
        <v>583585</v>
      </c>
      <c r="U263" s="392">
        <v>625353</v>
      </c>
      <c r="V263" s="392">
        <v>12480</v>
      </c>
      <c r="W263" s="392">
        <v>327647</v>
      </c>
      <c r="X263" s="392">
        <v>306225</v>
      </c>
      <c r="Y263" s="392">
        <v>263599</v>
      </c>
      <c r="Z263" s="392">
        <v>0</v>
      </c>
      <c r="AA263" s="392">
        <v>7058850</v>
      </c>
      <c r="AB263" s="392">
        <v>0</v>
      </c>
      <c r="AC263" s="392">
        <v>1306861</v>
      </c>
      <c r="AD263" s="392">
        <v>212641</v>
      </c>
      <c r="AE263" s="392">
        <v>185088</v>
      </c>
      <c r="AF263" s="392">
        <v>501973</v>
      </c>
      <c r="AG263" s="392">
        <v>17439701</v>
      </c>
      <c r="AH263" s="392">
        <v>0</v>
      </c>
      <c r="AI263" s="392">
        <v>660361</v>
      </c>
      <c r="AJ263" s="392">
        <v>0</v>
      </c>
      <c r="AK263" s="392">
        <v>18100062</v>
      </c>
      <c r="AL263" s="392">
        <v>2802638</v>
      </c>
      <c r="AM263" s="392">
        <v>9811614</v>
      </c>
      <c r="AN263" s="392">
        <v>267924</v>
      </c>
      <c r="AO263" s="392">
        <v>763901</v>
      </c>
      <c r="AP263" s="392">
        <v>371743</v>
      </c>
      <c r="AQ263" s="392">
        <v>585194</v>
      </c>
      <c r="AR263" s="392">
        <v>133619</v>
      </c>
      <c r="AS263" s="392">
        <v>962111</v>
      </c>
      <c r="AT263" s="392">
        <v>557628</v>
      </c>
      <c r="AU263" s="392">
        <v>548744</v>
      </c>
      <c r="AV263" s="392">
        <v>339489</v>
      </c>
      <c r="AW263" s="392">
        <v>1619463</v>
      </c>
      <c r="AX263" s="392">
        <v>567590</v>
      </c>
      <c r="AY263" s="786">
        <v>633120</v>
      </c>
      <c r="AZ263" s="392">
        <v>3740561</v>
      </c>
      <c r="BA263" s="639">
        <f>SUM(SNAMEB[[#This Row],[Instruction Expenditures]:[Transfers Out/OtherFinancing]])+SUM(SNAMEB[[#This Row],[General Fund Balance]:[Other Enterprise FundBalance]])</f>
        <v>20902700</v>
      </c>
      <c r="BB263" s="639">
        <f>SUM(SNAMEB[[#This Row],[Property Tax Revenue]:[IDEA/Other Fed Revenue]])+SNAMEB[General Long-term DebtProceeds]+SNAMEB[TransfersIn/Other Financing]+SNAMEB[Fixed Asset Disposition]+SNAMEB[Beginning Fund Balance]</f>
        <v>20902701</v>
      </c>
    </row>
    <row r="264" spans="1:54" x14ac:dyDescent="0.2">
      <c r="A264" s="390">
        <v>5</v>
      </c>
      <c r="B264" s="391" t="s">
        <v>341</v>
      </c>
      <c r="C264" s="631">
        <v>6035</v>
      </c>
      <c r="D264" t="s">
        <v>651</v>
      </c>
      <c r="E264" s="392">
        <v>1484041</v>
      </c>
      <c r="F264" s="392">
        <v>96871</v>
      </c>
      <c r="G264" s="392">
        <v>457433</v>
      </c>
      <c r="H264" s="392">
        <v>0</v>
      </c>
      <c r="I264" s="392">
        <v>0</v>
      </c>
      <c r="J264" s="392">
        <v>0</v>
      </c>
      <c r="K264" s="392">
        <v>1205249</v>
      </c>
      <c r="L264" s="392">
        <v>61995</v>
      </c>
      <c r="M264" s="392">
        <v>1127729</v>
      </c>
      <c r="N264" s="392">
        <v>23825</v>
      </c>
      <c r="O264" s="392">
        <v>-74054</v>
      </c>
      <c r="P264" s="392">
        <v>0</v>
      </c>
      <c r="Q264" s="392">
        <v>4383090</v>
      </c>
      <c r="R264" s="392">
        <v>2847121</v>
      </c>
      <c r="S264" s="392">
        <v>55717</v>
      </c>
      <c r="T264" s="392">
        <v>0</v>
      </c>
      <c r="U264" s="392">
        <v>1141451</v>
      </c>
      <c r="V264" s="392">
        <v>20720</v>
      </c>
      <c r="W264" s="392">
        <v>156883</v>
      </c>
      <c r="X264" s="392">
        <v>215586</v>
      </c>
      <c r="Y264" s="392">
        <v>157413</v>
      </c>
      <c r="Z264" s="392">
        <v>4320</v>
      </c>
      <c r="AA264" s="392">
        <v>2448617</v>
      </c>
      <c r="AB264" s="392">
        <v>0</v>
      </c>
      <c r="AC264" s="392">
        <v>516552</v>
      </c>
      <c r="AD264" s="392">
        <v>37112</v>
      </c>
      <c r="AE264" s="392">
        <v>171581</v>
      </c>
      <c r="AF264" s="392">
        <v>402720</v>
      </c>
      <c r="AG264" s="392">
        <v>8175793</v>
      </c>
      <c r="AH264" s="392">
        <v>0</v>
      </c>
      <c r="AI264" s="392">
        <v>195253</v>
      </c>
      <c r="AJ264" s="392">
        <v>5918</v>
      </c>
      <c r="AK264" s="392">
        <v>8376964</v>
      </c>
      <c r="AL264" s="392">
        <v>9383751</v>
      </c>
      <c r="AM264" s="392">
        <v>4871636</v>
      </c>
      <c r="AN264" s="392">
        <v>120818</v>
      </c>
      <c r="AO264" s="392">
        <v>163234</v>
      </c>
      <c r="AP264" s="392">
        <v>191902</v>
      </c>
      <c r="AQ264" s="392">
        <v>319041</v>
      </c>
      <c r="AR264" s="392">
        <v>252339</v>
      </c>
      <c r="AS264" s="392">
        <v>596281</v>
      </c>
      <c r="AT264" s="392">
        <v>518128</v>
      </c>
      <c r="AU264" s="392">
        <v>331174</v>
      </c>
      <c r="AV264" s="392">
        <v>4875591</v>
      </c>
      <c r="AW264" s="392">
        <v>594498</v>
      </c>
      <c r="AX264" s="392">
        <v>207660</v>
      </c>
      <c r="AY264" s="786">
        <v>335324</v>
      </c>
      <c r="AZ264" s="392">
        <v>4383090</v>
      </c>
      <c r="BA264" s="639">
        <f>SUM(SNAMEB[[#This Row],[Instruction Expenditures]:[Transfers Out/OtherFinancing]])+SUM(SNAMEB[[#This Row],[General Fund Balance]:[Other Enterprise FundBalance]])</f>
        <v>17760715</v>
      </c>
      <c r="BB264" s="639">
        <f>SUM(SNAMEB[[#This Row],[Property Tax Revenue]:[IDEA/Other Fed Revenue]])+SNAMEB[General Long-term DebtProceeds]+SNAMEB[TransfersIn/Other Financing]+SNAMEB[Fixed Asset Disposition]+SNAMEB[Beginning Fund Balance]</f>
        <v>17760715</v>
      </c>
    </row>
    <row r="265" spans="1:54" x14ac:dyDescent="0.2">
      <c r="A265" s="390">
        <v>12</v>
      </c>
      <c r="B265" s="391" t="s">
        <v>340</v>
      </c>
      <c r="C265" s="631">
        <v>6039</v>
      </c>
      <c r="D265" t="s">
        <v>1284</v>
      </c>
      <c r="E265" s="392">
        <v>28380133</v>
      </c>
      <c r="F265" s="392">
        <v>531337</v>
      </c>
      <c r="G265" s="392">
        <v>1134638</v>
      </c>
      <c r="H265" s="392">
        <v>0</v>
      </c>
      <c r="I265" s="392">
        <v>0</v>
      </c>
      <c r="J265" s="392">
        <v>0</v>
      </c>
      <c r="K265" s="392">
        <v>18318144</v>
      </c>
      <c r="L265" s="392">
        <v>744970</v>
      </c>
      <c r="M265" s="392">
        <v>0</v>
      </c>
      <c r="N265" s="392">
        <v>3277954</v>
      </c>
      <c r="O265" s="392">
        <v>2156102</v>
      </c>
      <c r="P265" s="392">
        <v>0</v>
      </c>
      <c r="Q265" s="392">
        <v>54543277</v>
      </c>
      <c r="R265" s="392">
        <v>33740033</v>
      </c>
      <c r="S265" s="392">
        <v>1827699</v>
      </c>
      <c r="T265" s="392">
        <v>3875924</v>
      </c>
      <c r="U265" s="392">
        <v>2451697</v>
      </c>
      <c r="V265" s="392">
        <v>122479</v>
      </c>
      <c r="W265" s="392">
        <v>1975430</v>
      </c>
      <c r="X265" s="392">
        <v>1998087</v>
      </c>
      <c r="Y265" s="392">
        <v>2423310</v>
      </c>
      <c r="Z265" s="392">
        <v>0</v>
      </c>
      <c r="AA265" s="392">
        <v>110565088</v>
      </c>
      <c r="AB265" s="392">
        <v>0</v>
      </c>
      <c r="AC265" s="392">
        <v>15362989</v>
      </c>
      <c r="AD265" s="392">
        <v>1500203</v>
      </c>
      <c r="AE265" s="392">
        <v>4002117</v>
      </c>
      <c r="AF265" s="392">
        <v>10923839</v>
      </c>
      <c r="AG265" s="392">
        <v>190768896</v>
      </c>
      <c r="AH265" s="392">
        <v>1223165</v>
      </c>
      <c r="AI265" s="392">
        <v>5304698</v>
      </c>
      <c r="AJ265" s="392">
        <v>298014</v>
      </c>
      <c r="AK265" s="392">
        <v>197594772</v>
      </c>
      <c r="AL265" s="392">
        <v>66654795</v>
      </c>
      <c r="AM265" s="392">
        <v>111955213</v>
      </c>
      <c r="AN265" s="392">
        <v>4401207</v>
      </c>
      <c r="AO265" s="392">
        <v>11295191</v>
      </c>
      <c r="AP265" s="392">
        <v>2434954</v>
      </c>
      <c r="AQ265" s="392">
        <v>8214684</v>
      </c>
      <c r="AR265" s="392">
        <v>3122600</v>
      </c>
      <c r="AS265" s="392">
        <v>12704859</v>
      </c>
      <c r="AT265" s="392">
        <v>4920452</v>
      </c>
      <c r="AU265" s="392">
        <v>8392634</v>
      </c>
      <c r="AV265" s="392">
        <v>14822408</v>
      </c>
      <c r="AW265" s="392">
        <v>3948709</v>
      </c>
      <c r="AX265" s="392">
        <v>6443784</v>
      </c>
      <c r="AY265" s="786">
        <v>17049594</v>
      </c>
      <c r="AZ265" s="392">
        <v>54543277</v>
      </c>
      <c r="BA265" s="639">
        <f>SUM(SNAMEB[[#This Row],[Instruction Expenditures]:[Transfers Out/OtherFinancing]])+SUM(SNAMEB[[#This Row],[General Fund Balance]:[Other Enterprise FundBalance]])</f>
        <v>264249567</v>
      </c>
      <c r="BB265" s="639">
        <f>SUM(SNAMEB[[#This Row],[Property Tax Revenue]:[IDEA/Other Fed Revenue]])+SNAMEB[General Long-term DebtProceeds]+SNAMEB[TransfersIn/Other Financing]+SNAMEB[Fixed Asset Disposition]+SNAMEB[Beginning Fund Balance]</f>
        <v>264249567</v>
      </c>
    </row>
    <row r="266" spans="1:54" x14ac:dyDescent="0.2">
      <c r="A266" s="390">
        <v>10</v>
      </c>
      <c r="B266" s="391" t="s">
        <v>342</v>
      </c>
      <c r="C266" s="631">
        <v>6093</v>
      </c>
      <c r="D266" t="s">
        <v>1285</v>
      </c>
      <c r="E266" s="392">
        <v>2805606</v>
      </c>
      <c r="F266" s="392">
        <v>152451</v>
      </c>
      <c r="G266" s="392">
        <v>682196</v>
      </c>
      <c r="H266" s="392">
        <v>0</v>
      </c>
      <c r="I266" s="392">
        <v>0</v>
      </c>
      <c r="J266" s="392">
        <v>0</v>
      </c>
      <c r="K266" s="392">
        <v>1908726</v>
      </c>
      <c r="L266" s="392">
        <v>734425</v>
      </c>
      <c r="M266" s="392">
        <v>10236706</v>
      </c>
      <c r="N266" s="392">
        <v>2813954</v>
      </c>
      <c r="O266" s="392">
        <v>268414</v>
      </c>
      <c r="P266" s="392">
        <v>318056</v>
      </c>
      <c r="Q266" s="392">
        <v>19920536</v>
      </c>
      <c r="R266" s="392">
        <v>6304406</v>
      </c>
      <c r="S266" s="392">
        <v>55349</v>
      </c>
      <c r="T266" s="392">
        <v>591608</v>
      </c>
      <c r="U266" s="392">
        <v>1382724</v>
      </c>
      <c r="V266" s="392">
        <v>52180</v>
      </c>
      <c r="W266" s="392">
        <v>536346</v>
      </c>
      <c r="X266" s="392">
        <v>403612</v>
      </c>
      <c r="Y266" s="392">
        <v>674772</v>
      </c>
      <c r="Z266" s="392">
        <v>0</v>
      </c>
      <c r="AA266" s="392">
        <v>7219804</v>
      </c>
      <c r="AB266" s="392">
        <v>0</v>
      </c>
      <c r="AC266" s="392">
        <v>1714261</v>
      </c>
      <c r="AD266" s="392">
        <v>57344</v>
      </c>
      <c r="AE266" s="392">
        <v>74225</v>
      </c>
      <c r="AF266" s="392">
        <v>492186</v>
      </c>
      <c r="AG266" s="392">
        <v>19558818</v>
      </c>
      <c r="AH266" s="392">
        <v>6347385</v>
      </c>
      <c r="AI266" s="392">
        <v>880175</v>
      </c>
      <c r="AJ266" s="392">
        <v>0</v>
      </c>
      <c r="AK266" s="392">
        <v>26786378</v>
      </c>
      <c r="AL266" s="392">
        <v>27437393</v>
      </c>
      <c r="AM266" s="392">
        <v>10313059</v>
      </c>
      <c r="AN266" s="392">
        <v>381537</v>
      </c>
      <c r="AO266" s="392">
        <v>410067</v>
      </c>
      <c r="AP266" s="392">
        <v>351735</v>
      </c>
      <c r="AQ266" s="392">
        <v>879537</v>
      </c>
      <c r="AR266" s="392">
        <v>337836</v>
      </c>
      <c r="AS266" s="392">
        <v>1468179</v>
      </c>
      <c r="AT266" s="392">
        <v>605690</v>
      </c>
      <c r="AU266" s="392">
        <v>1019646</v>
      </c>
      <c r="AV266" s="392">
        <v>14614552</v>
      </c>
      <c r="AW266" s="392">
        <v>2562347</v>
      </c>
      <c r="AX266" s="392">
        <v>529646</v>
      </c>
      <c r="AY266" s="786">
        <v>829405</v>
      </c>
      <c r="AZ266" s="392">
        <v>19920536</v>
      </c>
      <c r="BA266" s="639">
        <f>SUM(SNAMEB[[#This Row],[Instruction Expenditures]:[Transfers Out/OtherFinancing]])+SUM(SNAMEB[[#This Row],[General Fund Balance]:[Other Enterprise FundBalance]])</f>
        <v>54223770</v>
      </c>
      <c r="BB266" s="639">
        <f>SUM(SNAMEB[[#This Row],[Property Tax Revenue]:[IDEA/Other Fed Revenue]])+SNAMEB[General Long-term DebtProceeds]+SNAMEB[TransfersIn/Other Financing]+SNAMEB[Fixed Asset Disposition]+SNAMEB[Beginning Fund Balance]</f>
        <v>54223770</v>
      </c>
    </row>
    <row r="267" spans="1:54" x14ac:dyDescent="0.2">
      <c r="A267" s="390">
        <v>5</v>
      </c>
      <c r="B267" s="475">
        <v>6091</v>
      </c>
      <c r="C267" s="631">
        <v>6091</v>
      </c>
      <c r="D267" t="s">
        <v>1639</v>
      </c>
      <c r="E267" s="392">
        <v>6289582</v>
      </c>
      <c r="F267" s="392">
        <v>134934</v>
      </c>
      <c r="G267" s="392">
        <v>630283</v>
      </c>
      <c r="H267" s="392">
        <v>0</v>
      </c>
      <c r="I267" s="392">
        <v>0</v>
      </c>
      <c r="J267" s="392">
        <v>0</v>
      </c>
      <c r="K267" s="392">
        <v>1052142</v>
      </c>
      <c r="L267" s="392">
        <v>294950</v>
      </c>
      <c r="M267" s="392">
        <v>0</v>
      </c>
      <c r="N267" s="392">
        <v>200406</v>
      </c>
      <c r="O267" s="392">
        <v>267805</v>
      </c>
      <c r="P267" s="392">
        <v>0</v>
      </c>
      <c r="Q267" s="392">
        <v>8870103</v>
      </c>
      <c r="R267" s="392">
        <v>4239294</v>
      </c>
      <c r="S267" s="392">
        <v>51761</v>
      </c>
      <c r="T267" s="392">
        <v>0</v>
      </c>
      <c r="U267" s="392">
        <v>325458</v>
      </c>
      <c r="V267" s="392">
        <v>18507</v>
      </c>
      <c r="W267" s="392">
        <v>277840</v>
      </c>
      <c r="X267" s="392">
        <v>291703</v>
      </c>
      <c r="Y267" s="392">
        <v>1947738</v>
      </c>
      <c r="Z267" s="392">
        <v>0</v>
      </c>
      <c r="AA267" s="392">
        <v>5210109</v>
      </c>
      <c r="AB267" s="392">
        <v>0</v>
      </c>
      <c r="AC267" s="392">
        <v>918417</v>
      </c>
      <c r="AD267" s="392">
        <v>31371</v>
      </c>
      <c r="AE267" s="392">
        <v>128588</v>
      </c>
      <c r="AF267" s="392">
        <v>444242</v>
      </c>
      <c r="AG267" s="392">
        <v>13885028</v>
      </c>
      <c r="AH267" s="392">
        <v>0</v>
      </c>
      <c r="AI267" s="392">
        <v>236322</v>
      </c>
      <c r="AJ267" s="392">
        <v>28800</v>
      </c>
      <c r="AK267" s="392">
        <v>14150150</v>
      </c>
      <c r="AL267" s="392">
        <v>8248591</v>
      </c>
      <c r="AM267" s="392">
        <v>7143991</v>
      </c>
      <c r="AN267" s="392">
        <v>289389</v>
      </c>
      <c r="AO267" s="392">
        <v>224032</v>
      </c>
      <c r="AP267" s="392">
        <v>267494</v>
      </c>
      <c r="AQ267" s="392">
        <v>417497</v>
      </c>
      <c r="AR267" s="392">
        <v>313445</v>
      </c>
      <c r="AS267" s="392">
        <v>2250227</v>
      </c>
      <c r="AT267" s="392">
        <v>696421</v>
      </c>
      <c r="AU267" s="392">
        <v>455771</v>
      </c>
      <c r="AV267" s="392">
        <v>617499</v>
      </c>
      <c r="AW267" s="392">
        <v>235625</v>
      </c>
      <c r="AX267" s="392">
        <v>381674</v>
      </c>
      <c r="AY267" s="786">
        <v>235572</v>
      </c>
      <c r="AZ267" s="392">
        <v>8870103</v>
      </c>
      <c r="BA267" s="639">
        <f>SUM(SNAMEB[[#This Row],[Instruction Expenditures]:[Transfers Out/OtherFinancing]])+SUM(SNAMEB[[#This Row],[General Fund Balance]:[Other Enterprise FundBalance]])</f>
        <v>22398739</v>
      </c>
      <c r="BB267" s="639">
        <f>SUM(SNAMEB[[#This Row],[Property Tax Revenue]:[IDEA/Other Fed Revenue]])+SNAMEB[General Long-term DebtProceeds]+SNAMEB[TransfersIn/Other Financing]+SNAMEB[Fixed Asset Disposition]+SNAMEB[Beginning Fund Balance]</f>
        <v>22398741</v>
      </c>
    </row>
    <row r="268" spans="1:54" x14ac:dyDescent="0.2">
      <c r="A268" s="390">
        <v>5</v>
      </c>
      <c r="B268" s="391" t="s">
        <v>344</v>
      </c>
      <c r="C268" s="631">
        <v>6095</v>
      </c>
      <c r="D268" t="s">
        <v>1287</v>
      </c>
      <c r="E268" s="392">
        <v>743130</v>
      </c>
      <c r="F268" s="392">
        <v>48469</v>
      </c>
      <c r="G268" s="392">
        <v>752017</v>
      </c>
      <c r="H268" s="392">
        <v>0</v>
      </c>
      <c r="I268" s="392">
        <v>0</v>
      </c>
      <c r="J268" s="392">
        <v>0</v>
      </c>
      <c r="K268" s="392">
        <v>1487496</v>
      </c>
      <c r="L268" s="392">
        <v>2875</v>
      </c>
      <c r="M268" s="392">
        <v>7629606</v>
      </c>
      <c r="N268" s="392">
        <v>29247</v>
      </c>
      <c r="O268" s="392">
        <v>101188</v>
      </c>
      <c r="P268" s="392">
        <v>18100</v>
      </c>
      <c r="Q268" s="392">
        <v>10812129</v>
      </c>
      <c r="R268" s="392">
        <v>3266428</v>
      </c>
      <c r="S268" s="392">
        <v>125162</v>
      </c>
      <c r="T268" s="392">
        <v>320725</v>
      </c>
      <c r="U268" s="392">
        <v>1138857</v>
      </c>
      <c r="V268" s="392">
        <v>5476</v>
      </c>
      <c r="W268" s="392">
        <v>242502</v>
      </c>
      <c r="X268" s="392">
        <v>230525</v>
      </c>
      <c r="Y268" s="392">
        <v>218962</v>
      </c>
      <c r="Z268" s="392">
        <v>0</v>
      </c>
      <c r="AA268" s="392">
        <v>3559778</v>
      </c>
      <c r="AB268" s="392">
        <v>0</v>
      </c>
      <c r="AC268" s="392">
        <v>684678</v>
      </c>
      <c r="AD268" s="392">
        <v>32538</v>
      </c>
      <c r="AE268" s="392">
        <v>78910</v>
      </c>
      <c r="AF268" s="392">
        <v>276634</v>
      </c>
      <c r="AG268" s="392">
        <v>10181173</v>
      </c>
      <c r="AH268" s="392">
        <v>9995849</v>
      </c>
      <c r="AI268" s="392">
        <v>190824</v>
      </c>
      <c r="AJ268" s="392">
        <v>200</v>
      </c>
      <c r="AK268" s="392">
        <v>20368047</v>
      </c>
      <c r="AL268" s="392">
        <v>2803689</v>
      </c>
      <c r="AM268" s="392">
        <v>6225093</v>
      </c>
      <c r="AN268" s="392">
        <v>156506</v>
      </c>
      <c r="AO268" s="392">
        <v>346838</v>
      </c>
      <c r="AP268" s="392">
        <v>279452</v>
      </c>
      <c r="AQ268" s="392">
        <v>379423</v>
      </c>
      <c r="AR268" s="392">
        <v>114262</v>
      </c>
      <c r="AS268" s="392">
        <v>644261</v>
      </c>
      <c r="AT268" s="392">
        <v>491208</v>
      </c>
      <c r="AU268" s="392">
        <v>437517</v>
      </c>
      <c r="AV268" s="392">
        <v>2412619</v>
      </c>
      <c r="AW268" s="392">
        <v>416276</v>
      </c>
      <c r="AX268" s="392">
        <v>276307</v>
      </c>
      <c r="AY268" s="786">
        <v>179843</v>
      </c>
      <c r="AZ268" s="392">
        <v>10812129</v>
      </c>
      <c r="BA268" s="639">
        <f>SUM(SNAMEB[[#This Row],[Instruction Expenditures]:[Transfers Out/OtherFinancing]])+SUM(SNAMEB[[#This Row],[General Fund Balance]:[Other Enterprise FundBalance]])</f>
        <v>23171733</v>
      </c>
      <c r="BB268" s="639">
        <f>SUM(SNAMEB[[#This Row],[Property Tax Revenue]:[IDEA/Other Fed Revenue]])+SNAMEB[General Long-term DebtProceeds]+SNAMEB[TransfersIn/Other Financing]+SNAMEB[Fixed Asset Disposition]+SNAMEB[Beginning Fund Balance]</f>
        <v>23171737</v>
      </c>
    </row>
    <row r="269" spans="1:54" x14ac:dyDescent="0.2">
      <c r="A269" s="390">
        <v>12</v>
      </c>
      <c r="B269" s="391" t="s">
        <v>310</v>
      </c>
      <c r="C269" s="631">
        <v>6099</v>
      </c>
      <c r="D269" t="s">
        <v>646</v>
      </c>
      <c r="E269" s="392">
        <v>1637438</v>
      </c>
      <c r="F269" s="392">
        <v>88160</v>
      </c>
      <c r="G269" s="392">
        <v>199569</v>
      </c>
      <c r="H269" s="392">
        <v>0</v>
      </c>
      <c r="I269" s="392">
        <v>0</v>
      </c>
      <c r="J269" s="392">
        <v>0</v>
      </c>
      <c r="K269" s="392">
        <v>1233473</v>
      </c>
      <c r="L269" s="392">
        <v>1457093</v>
      </c>
      <c r="M269" s="392">
        <v>0</v>
      </c>
      <c r="N269" s="392">
        <v>0</v>
      </c>
      <c r="O269" s="392">
        <v>16386</v>
      </c>
      <c r="P269" s="392">
        <v>19907</v>
      </c>
      <c r="Q269" s="392">
        <v>4652026</v>
      </c>
      <c r="R269" s="392">
        <v>4267677</v>
      </c>
      <c r="S269" s="392">
        <v>93606</v>
      </c>
      <c r="T269" s="392">
        <v>402195</v>
      </c>
      <c r="U269" s="392">
        <v>97253</v>
      </c>
      <c r="V269" s="392">
        <v>25487</v>
      </c>
      <c r="W269" s="392">
        <v>165041</v>
      </c>
      <c r="X269" s="392">
        <v>137095</v>
      </c>
      <c r="Y269" s="392">
        <v>111020</v>
      </c>
      <c r="Z269" s="392">
        <v>0</v>
      </c>
      <c r="AA269" s="392">
        <v>3222336</v>
      </c>
      <c r="AB269" s="392">
        <v>0</v>
      </c>
      <c r="AC269" s="392">
        <v>684405</v>
      </c>
      <c r="AD269" s="392">
        <v>31300</v>
      </c>
      <c r="AE269" s="392">
        <v>90830</v>
      </c>
      <c r="AF269" s="392">
        <v>327257</v>
      </c>
      <c r="AG269" s="392">
        <v>9655502</v>
      </c>
      <c r="AH269" s="392">
        <v>1219000</v>
      </c>
      <c r="AI269" s="392">
        <v>18341</v>
      </c>
      <c r="AJ269" s="392">
        <v>4392</v>
      </c>
      <c r="AK269" s="392">
        <v>10897235</v>
      </c>
      <c r="AL269" s="392">
        <v>3037622</v>
      </c>
      <c r="AM269" s="392">
        <v>5077596</v>
      </c>
      <c r="AN269" s="392">
        <v>116188</v>
      </c>
      <c r="AO269" s="392">
        <v>316834</v>
      </c>
      <c r="AP269" s="392">
        <v>405222</v>
      </c>
      <c r="AQ269" s="392">
        <v>379922</v>
      </c>
      <c r="AR269" s="392">
        <v>139663</v>
      </c>
      <c r="AS269" s="392">
        <v>578915</v>
      </c>
      <c r="AT269" s="392">
        <v>557436</v>
      </c>
      <c r="AU269" s="392">
        <v>297931</v>
      </c>
      <c r="AV269" s="392">
        <v>1102687</v>
      </c>
      <c r="AW269" s="392">
        <v>9306</v>
      </c>
      <c r="AX269" s="392">
        <v>288082</v>
      </c>
      <c r="AY269" s="786">
        <v>13051</v>
      </c>
      <c r="AZ269" s="392">
        <v>4652026</v>
      </c>
      <c r="BA269" s="639">
        <f>SUM(SNAMEB[[#This Row],[Instruction Expenditures]:[Transfers Out/OtherFinancing]])+SUM(SNAMEB[[#This Row],[General Fund Balance]:[Other Enterprise FundBalance]])</f>
        <v>13934859</v>
      </c>
      <c r="BB269" s="639">
        <f>SUM(SNAMEB[[#This Row],[Property Tax Revenue]:[IDEA/Other Fed Revenue]])+SNAMEB[General Long-term DebtProceeds]+SNAMEB[TransfersIn/Other Financing]+SNAMEB[Fixed Asset Disposition]+SNAMEB[Beginning Fund Balance]</f>
        <v>13934857</v>
      </c>
    </row>
    <row r="270" spans="1:54" x14ac:dyDescent="0.2">
      <c r="A270" s="390">
        <v>13</v>
      </c>
      <c r="B270" s="391" t="s">
        <v>345</v>
      </c>
      <c r="C270" s="631">
        <v>6097</v>
      </c>
      <c r="D270" t="s">
        <v>1288</v>
      </c>
      <c r="E270" s="392">
        <v>119977</v>
      </c>
      <c r="F270" s="392">
        <v>78013</v>
      </c>
      <c r="G270" s="392">
        <v>125512</v>
      </c>
      <c r="H270" s="392">
        <v>0</v>
      </c>
      <c r="I270" s="392">
        <v>0</v>
      </c>
      <c r="J270" s="392">
        <v>0</v>
      </c>
      <c r="K270" s="392">
        <v>346196</v>
      </c>
      <c r="L270" s="392">
        <v>18324</v>
      </c>
      <c r="M270" s="392">
        <v>0</v>
      </c>
      <c r="N270" s="392">
        <v>0</v>
      </c>
      <c r="O270" s="392">
        <v>-9656</v>
      </c>
      <c r="P270" s="392">
        <v>3769</v>
      </c>
      <c r="Q270" s="392">
        <v>682136</v>
      </c>
      <c r="R270" s="392">
        <v>1108002</v>
      </c>
      <c r="S270" s="392">
        <v>39320</v>
      </c>
      <c r="T270" s="392">
        <v>91600</v>
      </c>
      <c r="U270" s="392">
        <v>128629</v>
      </c>
      <c r="V270" s="392">
        <v>896</v>
      </c>
      <c r="W270" s="392">
        <v>29140</v>
      </c>
      <c r="X270" s="392">
        <v>74225</v>
      </c>
      <c r="Y270" s="392">
        <v>84350</v>
      </c>
      <c r="Z270" s="392">
        <v>0</v>
      </c>
      <c r="AA270" s="392">
        <v>1234719</v>
      </c>
      <c r="AB270" s="392">
        <v>0</v>
      </c>
      <c r="AC270" s="392">
        <v>228577</v>
      </c>
      <c r="AD270" s="392">
        <v>6395</v>
      </c>
      <c r="AE270" s="392">
        <v>45439</v>
      </c>
      <c r="AF270" s="392">
        <v>90380</v>
      </c>
      <c r="AG270" s="392">
        <v>3161671</v>
      </c>
      <c r="AH270" s="392">
        <v>0</v>
      </c>
      <c r="AI270" s="392">
        <v>41078</v>
      </c>
      <c r="AJ270" s="392">
        <v>0</v>
      </c>
      <c r="AK270" s="392">
        <v>3202750</v>
      </c>
      <c r="AL270" s="392">
        <v>795917</v>
      </c>
      <c r="AM270" s="392">
        <v>2099275</v>
      </c>
      <c r="AN270" s="392">
        <v>85533</v>
      </c>
      <c r="AO270" s="392">
        <v>62564</v>
      </c>
      <c r="AP270" s="392">
        <v>111903</v>
      </c>
      <c r="AQ270" s="392">
        <v>136275</v>
      </c>
      <c r="AR270" s="392">
        <v>36678</v>
      </c>
      <c r="AS270" s="392">
        <v>217374</v>
      </c>
      <c r="AT270" s="392">
        <v>214609</v>
      </c>
      <c r="AU270" s="392">
        <v>91476</v>
      </c>
      <c r="AV270" s="392">
        <v>85232</v>
      </c>
      <c r="AW270" s="392">
        <v>41078</v>
      </c>
      <c r="AX270" s="392">
        <v>93457</v>
      </c>
      <c r="AY270" s="786">
        <v>41078</v>
      </c>
      <c r="AZ270" s="392">
        <v>682136</v>
      </c>
      <c r="BA270" s="639">
        <f>SUM(SNAMEB[[#This Row],[Instruction Expenditures]:[Transfers Out/OtherFinancing]])+SUM(SNAMEB[[#This Row],[General Fund Balance]:[Other Enterprise FundBalance]])</f>
        <v>3998667</v>
      </c>
      <c r="BB270" s="639">
        <f>SUM(SNAMEB[[#This Row],[Property Tax Revenue]:[IDEA/Other Fed Revenue]])+SNAMEB[General Long-term DebtProceeds]+SNAMEB[TransfersIn/Other Financing]+SNAMEB[Fixed Asset Disposition]+SNAMEB[Beginning Fund Balance]</f>
        <v>3998667</v>
      </c>
    </row>
    <row r="271" spans="1:54" x14ac:dyDescent="0.2">
      <c r="A271" s="390">
        <v>7</v>
      </c>
      <c r="B271" s="391" t="s">
        <v>346</v>
      </c>
      <c r="C271" s="631">
        <v>6098</v>
      </c>
      <c r="D271" t="s">
        <v>1289</v>
      </c>
      <c r="E271" s="392">
        <v>1003491</v>
      </c>
      <c r="F271" s="392">
        <v>186954</v>
      </c>
      <c r="G271" s="392">
        <v>161689</v>
      </c>
      <c r="H271" s="392">
        <v>0</v>
      </c>
      <c r="I271" s="392">
        <v>0</v>
      </c>
      <c r="J271" s="392">
        <v>0</v>
      </c>
      <c r="K271" s="392">
        <v>8194332</v>
      </c>
      <c r="L271" s="392">
        <v>77614</v>
      </c>
      <c r="M271" s="392">
        <v>0</v>
      </c>
      <c r="N271" s="392">
        <v>19721</v>
      </c>
      <c r="O271" s="392">
        <v>-107134</v>
      </c>
      <c r="P271" s="392">
        <v>0</v>
      </c>
      <c r="Q271" s="392">
        <v>9536669</v>
      </c>
      <c r="R271" s="392">
        <v>5171985</v>
      </c>
      <c r="S271" s="392">
        <v>165738</v>
      </c>
      <c r="T271" s="392">
        <v>510559</v>
      </c>
      <c r="U271" s="392">
        <v>174060</v>
      </c>
      <c r="V271" s="392">
        <v>22225</v>
      </c>
      <c r="W271" s="392">
        <v>240680</v>
      </c>
      <c r="X271" s="392">
        <v>337161</v>
      </c>
      <c r="Y271" s="392">
        <v>173544</v>
      </c>
      <c r="Z271" s="392">
        <v>0</v>
      </c>
      <c r="AA271" s="392">
        <v>10547998</v>
      </c>
      <c r="AB271" s="392">
        <v>0</v>
      </c>
      <c r="AC271" s="392">
        <v>1615489</v>
      </c>
      <c r="AD271" s="392">
        <v>93455</v>
      </c>
      <c r="AE271" s="392">
        <v>388267</v>
      </c>
      <c r="AF271" s="392">
        <v>978152</v>
      </c>
      <c r="AG271" s="392">
        <v>20419313</v>
      </c>
      <c r="AH271" s="392">
        <v>6310000</v>
      </c>
      <c r="AI271" s="392">
        <v>669747</v>
      </c>
      <c r="AJ271" s="392">
        <v>2504</v>
      </c>
      <c r="AK271" s="392">
        <v>27401565</v>
      </c>
      <c r="AL271" s="392">
        <v>3035567</v>
      </c>
      <c r="AM271" s="392">
        <v>11359000</v>
      </c>
      <c r="AN271" s="392">
        <v>613004</v>
      </c>
      <c r="AO271" s="392">
        <v>614459</v>
      </c>
      <c r="AP271" s="392">
        <v>526375</v>
      </c>
      <c r="AQ271" s="392">
        <v>1115159</v>
      </c>
      <c r="AR271" s="392">
        <v>454700</v>
      </c>
      <c r="AS271" s="392">
        <v>1459129</v>
      </c>
      <c r="AT271" s="392">
        <v>913035</v>
      </c>
      <c r="AU271" s="392">
        <v>818089</v>
      </c>
      <c r="AV271" s="392">
        <v>1035770</v>
      </c>
      <c r="AW271" s="392">
        <v>656480</v>
      </c>
      <c r="AX271" s="392">
        <v>675035</v>
      </c>
      <c r="AY271" s="786">
        <v>660227</v>
      </c>
      <c r="AZ271" s="392">
        <v>9536669</v>
      </c>
      <c r="BA271" s="639">
        <f>SUM(SNAMEB[[#This Row],[Instruction Expenditures]:[Transfers Out/OtherFinancing]])+SUM(SNAMEB[[#This Row],[General Fund Balance]:[Other Enterprise FundBalance]])</f>
        <v>30437129</v>
      </c>
      <c r="BB271" s="639">
        <f>SUM(SNAMEB[[#This Row],[Property Tax Revenue]:[IDEA/Other Fed Revenue]])+SNAMEB[General Long-term DebtProceeds]+SNAMEB[TransfersIn/Other Financing]+SNAMEB[Fixed Asset Disposition]+SNAMEB[Beginning Fund Balance]</f>
        <v>30437131</v>
      </c>
    </row>
    <row r="272" spans="1:54" x14ac:dyDescent="0.2">
      <c r="A272" s="390">
        <v>1</v>
      </c>
      <c r="B272" s="391" t="s">
        <v>347</v>
      </c>
      <c r="C272" s="631">
        <v>6100</v>
      </c>
      <c r="D272" t="s">
        <v>1290</v>
      </c>
      <c r="E272" s="392">
        <v>448989</v>
      </c>
      <c r="F272" s="392">
        <v>54608</v>
      </c>
      <c r="G272" s="392">
        <v>1008860</v>
      </c>
      <c r="H272" s="392">
        <v>0</v>
      </c>
      <c r="I272" s="392">
        <v>0</v>
      </c>
      <c r="J272" s="392">
        <v>0</v>
      </c>
      <c r="K272" s="392">
        <v>585660</v>
      </c>
      <c r="L272" s="392">
        <v>145043</v>
      </c>
      <c r="M272" s="392">
        <v>0</v>
      </c>
      <c r="N272" s="392">
        <v>0</v>
      </c>
      <c r="O272" s="392">
        <v>82542</v>
      </c>
      <c r="P272" s="392">
        <v>0</v>
      </c>
      <c r="Q272" s="392">
        <v>2325701</v>
      </c>
      <c r="R272" s="392">
        <v>2953451</v>
      </c>
      <c r="S272" s="392">
        <v>21289</v>
      </c>
      <c r="T272" s="392">
        <v>223335</v>
      </c>
      <c r="U272" s="392">
        <v>177125</v>
      </c>
      <c r="V272" s="392">
        <v>12595</v>
      </c>
      <c r="W272" s="392">
        <v>200146</v>
      </c>
      <c r="X272" s="392">
        <v>300507</v>
      </c>
      <c r="Y272" s="392">
        <v>283657</v>
      </c>
      <c r="Z272" s="392">
        <v>0</v>
      </c>
      <c r="AA272" s="392">
        <v>3136443</v>
      </c>
      <c r="AB272" s="392">
        <v>0</v>
      </c>
      <c r="AC272" s="392">
        <v>648266</v>
      </c>
      <c r="AD272" s="392">
        <v>47314</v>
      </c>
      <c r="AE272" s="392">
        <v>77170</v>
      </c>
      <c r="AF272" s="392">
        <v>368309</v>
      </c>
      <c r="AG272" s="392">
        <v>8449606</v>
      </c>
      <c r="AH272" s="392">
        <v>0</v>
      </c>
      <c r="AI272" s="392">
        <v>29568</v>
      </c>
      <c r="AJ272" s="392">
        <v>17176</v>
      </c>
      <c r="AK272" s="392">
        <v>8496350</v>
      </c>
      <c r="AL272" s="392">
        <v>2284712</v>
      </c>
      <c r="AM272" s="392">
        <v>5515703</v>
      </c>
      <c r="AN272" s="392">
        <v>254792</v>
      </c>
      <c r="AO272" s="392">
        <v>263836</v>
      </c>
      <c r="AP272" s="392">
        <v>150460</v>
      </c>
      <c r="AQ272" s="392">
        <v>223738</v>
      </c>
      <c r="AR272" s="392">
        <v>174078</v>
      </c>
      <c r="AS272" s="392">
        <v>534072</v>
      </c>
      <c r="AT272" s="392">
        <v>353437</v>
      </c>
      <c r="AU272" s="392">
        <v>324694</v>
      </c>
      <c r="AV272" s="392">
        <v>353832</v>
      </c>
      <c r="AW272" s="392">
        <v>19681</v>
      </c>
      <c r="AX272" s="392">
        <v>257471</v>
      </c>
      <c r="AY272" s="786">
        <v>29568</v>
      </c>
      <c r="AZ272" s="392">
        <v>2325701</v>
      </c>
      <c r="BA272" s="639">
        <f>SUM(SNAMEB[[#This Row],[Instruction Expenditures]:[Transfers Out/OtherFinancing]])+SUM(SNAMEB[[#This Row],[General Fund Balance]:[Other Enterprise FundBalance]])</f>
        <v>10781064</v>
      </c>
      <c r="BB272" s="639">
        <f>SUM(SNAMEB[[#This Row],[Property Tax Revenue]:[IDEA/Other Fed Revenue]])+SNAMEB[General Long-term DebtProceeds]+SNAMEB[TransfersIn/Other Financing]+SNAMEB[Fixed Asset Disposition]+SNAMEB[Beginning Fund Balance]</f>
        <v>10781063</v>
      </c>
    </row>
    <row r="273" spans="1:54" x14ac:dyDescent="0.2">
      <c r="A273" s="390">
        <v>11</v>
      </c>
      <c r="B273" s="391" t="s">
        <v>348</v>
      </c>
      <c r="C273" s="631">
        <v>6101</v>
      </c>
      <c r="D273" t="s">
        <v>1291</v>
      </c>
      <c r="E273" s="392">
        <v>11446723</v>
      </c>
      <c r="F273" s="392">
        <v>503091</v>
      </c>
      <c r="G273" s="392">
        <v>1753575</v>
      </c>
      <c r="H273" s="392">
        <v>0</v>
      </c>
      <c r="I273" s="392">
        <v>0</v>
      </c>
      <c r="J273" s="392">
        <v>0</v>
      </c>
      <c r="K273" s="392">
        <v>26381211</v>
      </c>
      <c r="L273" s="392">
        <v>1184072</v>
      </c>
      <c r="M273" s="392">
        <v>0</v>
      </c>
      <c r="N273" s="392">
        <v>4800752</v>
      </c>
      <c r="O273" s="392">
        <v>1271350</v>
      </c>
      <c r="P273" s="392">
        <v>369884</v>
      </c>
      <c r="Q273" s="392">
        <v>47710659</v>
      </c>
      <c r="R273" s="392">
        <v>28444664</v>
      </c>
      <c r="S273" s="392">
        <v>1815617</v>
      </c>
      <c r="T273" s="392">
        <v>1959836</v>
      </c>
      <c r="U273" s="392">
        <v>3676840</v>
      </c>
      <c r="V273" s="392">
        <v>102926</v>
      </c>
      <c r="W273" s="392">
        <v>2393677</v>
      </c>
      <c r="X273" s="392">
        <v>1019148</v>
      </c>
      <c r="Y273" s="392">
        <v>1710921</v>
      </c>
      <c r="Z273" s="392">
        <v>0</v>
      </c>
      <c r="AA273" s="392">
        <v>43941923</v>
      </c>
      <c r="AB273" s="392">
        <v>0</v>
      </c>
      <c r="AC273" s="392">
        <v>6681556</v>
      </c>
      <c r="AD273" s="392">
        <v>967876</v>
      </c>
      <c r="AE273" s="392">
        <v>286862</v>
      </c>
      <c r="AF273" s="392">
        <v>3707538</v>
      </c>
      <c r="AG273" s="392">
        <v>96709383</v>
      </c>
      <c r="AH273" s="392">
        <v>22246226</v>
      </c>
      <c r="AI273" s="392">
        <v>5416168</v>
      </c>
      <c r="AJ273" s="392">
        <v>7041</v>
      </c>
      <c r="AK273" s="392">
        <v>124378819</v>
      </c>
      <c r="AL273" s="392">
        <v>38161507</v>
      </c>
      <c r="AM273" s="392">
        <v>48346767</v>
      </c>
      <c r="AN273" s="392">
        <v>2819185</v>
      </c>
      <c r="AO273" s="392">
        <v>3453923</v>
      </c>
      <c r="AP273" s="392">
        <v>1222027</v>
      </c>
      <c r="AQ273" s="392">
        <v>3960981</v>
      </c>
      <c r="AR273" s="392">
        <v>3556141</v>
      </c>
      <c r="AS273" s="392">
        <v>6434604</v>
      </c>
      <c r="AT273" s="392">
        <v>3817959</v>
      </c>
      <c r="AU273" s="392">
        <v>3683136</v>
      </c>
      <c r="AV273" s="392">
        <v>5395883</v>
      </c>
      <c r="AW273" s="392">
        <v>22893630</v>
      </c>
      <c r="AX273" s="392">
        <v>2749350</v>
      </c>
      <c r="AY273" s="786">
        <v>6496080</v>
      </c>
      <c r="AZ273" s="392">
        <v>47710659</v>
      </c>
      <c r="BA273" s="639">
        <f>SUM(SNAMEB[[#This Row],[Instruction Expenditures]:[Transfers Out/OtherFinancing]])+SUM(SNAMEB[[#This Row],[General Fund Balance]:[Other Enterprise FundBalance]])</f>
        <v>162540324</v>
      </c>
      <c r="BB273" s="639">
        <f>SUM(SNAMEB[[#This Row],[Property Tax Revenue]:[IDEA/Other Fed Revenue]])+SNAMEB[General Long-term DebtProceeds]+SNAMEB[TransfersIn/Other Financing]+SNAMEB[Fixed Asset Disposition]+SNAMEB[Beginning Fund Balance]</f>
        <v>162540326</v>
      </c>
    </row>
    <row r="274" spans="1:54" x14ac:dyDescent="0.2">
      <c r="A274" s="390">
        <v>11</v>
      </c>
      <c r="B274" s="391" t="s">
        <v>343</v>
      </c>
      <c r="C274" s="631">
        <v>6094</v>
      </c>
      <c r="D274" t="s">
        <v>1286</v>
      </c>
      <c r="E274" s="392">
        <v>935988</v>
      </c>
      <c r="F274" s="392">
        <v>77510</v>
      </c>
      <c r="G274" s="392">
        <v>399492</v>
      </c>
      <c r="H274" s="392">
        <v>0</v>
      </c>
      <c r="I274" s="392">
        <v>0</v>
      </c>
      <c r="J274" s="392">
        <v>0</v>
      </c>
      <c r="K274" s="392">
        <v>398296</v>
      </c>
      <c r="L274" s="392">
        <v>46350</v>
      </c>
      <c r="M274" s="392">
        <v>0</v>
      </c>
      <c r="N274" s="392">
        <v>45405</v>
      </c>
      <c r="O274" s="392">
        <v>19319</v>
      </c>
      <c r="P274" s="392">
        <v>-100202</v>
      </c>
      <c r="Q274" s="392">
        <v>1822158</v>
      </c>
      <c r="R274" s="392">
        <v>2283355</v>
      </c>
      <c r="S274" s="392">
        <v>96315</v>
      </c>
      <c r="T274" s="392">
        <v>227340</v>
      </c>
      <c r="U274" s="392">
        <v>221346</v>
      </c>
      <c r="V274" s="392">
        <v>3538</v>
      </c>
      <c r="W274" s="392">
        <v>146672</v>
      </c>
      <c r="X274" s="392">
        <v>192000</v>
      </c>
      <c r="Y274" s="392">
        <v>279378</v>
      </c>
      <c r="Z274" s="392">
        <v>7740</v>
      </c>
      <c r="AA274" s="392">
        <v>3839274</v>
      </c>
      <c r="AB274" s="392">
        <v>0</v>
      </c>
      <c r="AC274" s="392">
        <v>587965</v>
      </c>
      <c r="AD274" s="392">
        <v>7586</v>
      </c>
      <c r="AE274" s="392">
        <v>48237</v>
      </c>
      <c r="AF274" s="392">
        <v>251209</v>
      </c>
      <c r="AG274" s="392">
        <v>8191953</v>
      </c>
      <c r="AH274" s="392">
        <v>0</v>
      </c>
      <c r="AI274" s="392">
        <v>131089</v>
      </c>
      <c r="AJ274" s="392">
        <v>3307</v>
      </c>
      <c r="AK274" s="392">
        <v>8326349</v>
      </c>
      <c r="AL274" s="392">
        <v>1712037</v>
      </c>
      <c r="AM274" s="392">
        <v>4636918</v>
      </c>
      <c r="AN274" s="392">
        <v>164076</v>
      </c>
      <c r="AO274" s="392">
        <v>181166</v>
      </c>
      <c r="AP274" s="392">
        <v>150490</v>
      </c>
      <c r="AQ274" s="392">
        <v>300739</v>
      </c>
      <c r="AR274" s="392">
        <v>102902</v>
      </c>
      <c r="AS274" s="392">
        <v>436828</v>
      </c>
      <c r="AT274" s="392">
        <v>265129</v>
      </c>
      <c r="AU274" s="392">
        <v>506676</v>
      </c>
      <c r="AV274" s="392">
        <v>661269</v>
      </c>
      <c r="AW274" s="392">
        <v>438155</v>
      </c>
      <c r="AX274" s="392">
        <v>239526</v>
      </c>
      <c r="AY274" s="786">
        <v>132354</v>
      </c>
      <c r="AZ274" s="392">
        <v>1822158</v>
      </c>
      <c r="BA274" s="639">
        <f>SUM(SNAMEB[[#This Row],[Instruction Expenditures]:[Transfers Out/OtherFinancing]])+SUM(SNAMEB[[#This Row],[General Fund Balance]:[Other Enterprise FundBalance]])</f>
        <v>10038386</v>
      </c>
      <c r="BB274" s="639">
        <f>SUM(SNAMEB[[#This Row],[Property Tax Revenue]:[IDEA/Other Fed Revenue]])+SNAMEB[General Long-term DebtProceeds]+SNAMEB[TransfersIn/Other Financing]+SNAMEB[Fixed Asset Disposition]+SNAMEB[Beginning Fund Balance]</f>
        <v>10038388</v>
      </c>
    </row>
    <row r="275" spans="1:54" x14ac:dyDescent="0.2">
      <c r="A275" s="390">
        <v>5</v>
      </c>
      <c r="B275" s="408" t="s">
        <v>1469</v>
      </c>
      <c r="C275" s="631">
        <v>6096</v>
      </c>
      <c r="D275" t="s">
        <v>980</v>
      </c>
      <c r="E275" s="392">
        <v>1903136</v>
      </c>
      <c r="F275" s="392">
        <v>8909</v>
      </c>
      <c r="G275" s="392">
        <v>454066</v>
      </c>
      <c r="H275" s="392">
        <v>0</v>
      </c>
      <c r="I275" s="392">
        <v>0</v>
      </c>
      <c r="J275" s="392">
        <v>0</v>
      </c>
      <c r="K275" s="392">
        <v>2361240</v>
      </c>
      <c r="L275" s="392">
        <v>1103466</v>
      </c>
      <c r="M275" s="392">
        <v>0</v>
      </c>
      <c r="N275" s="392">
        <v>14627</v>
      </c>
      <c r="O275" s="392">
        <v>-60418</v>
      </c>
      <c r="P275" s="392">
        <v>-34938</v>
      </c>
      <c r="Q275" s="392">
        <v>5750089</v>
      </c>
      <c r="R275" s="392">
        <v>2739757</v>
      </c>
      <c r="S275" s="392">
        <v>280417</v>
      </c>
      <c r="T275" s="392">
        <v>157286</v>
      </c>
      <c r="U275" s="392">
        <v>830604</v>
      </c>
      <c r="V275" s="392">
        <v>8801</v>
      </c>
      <c r="W275" s="392">
        <v>155800</v>
      </c>
      <c r="X275" s="392">
        <v>35362</v>
      </c>
      <c r="Y275" s="392">
        <v>273913</v>
      </c>
      <c r="Z275" s="392">
        <v>0</v>
      </c>
      <c r="AA275" s="392">
        <v>3078538</v>
      </c>
      <c r="AB275" s="392">
        <v>0</v>
      </c>
      <c r="AC275" s="392">
        <v>620790</v>
      </c>
      <c r="AD275" s="392">
        <v>1948</v>
      </c>
      <c r="AE275" s="392">
        <v>72515</v>
      </c>
      <c r="AF275" s="392">
        <v>335353</v>
      </c>
      <c r="AG275" s="392">
        <v>8591083</v>
      </c>
      <c r="AH275" s="392">
        <v>5436503</v>
      </c>
      <c r="AI275" s="392">
        <v>2059861</v>
      </c>
      <c r="AJ275" s="392">
        <v>0</v>
      </c>
      <c r="AK275" s="392">
        <v>16087447</v>
      </c>
      <c r="AL275" s="392">
        <v>2471402</v>
      </c>
      <c r="AM275" s="392">
        <v>4804086</v>
      </c>
      <c r="AN275" s="392">
        <v>52205</v>
      </c>
      <c r="AO275" s="392">
        <v>188271</v>
      </c>
      <c r="AP275" s="392">
        <v>224245</v>
      </c>
      <c r="AQ275" s="392">
        <v>299148</v>
      </c>
      <c r="AR275" s="392">
        <v>96807</v>
      </c>
      <c r="AS275" s="392">
        <v>435823</v>
      </c>
      <c r="AT275" s="392">
        <v>403232</v>
      </c>
      <c r="AU275" s="392">
        <v>536102</v>
      </c>
      <c r="AV275" s="392">
        <v>1642793</v>
      </c>
      <c r="AW275" s="392">
        <v>1959277</v>
      </c>
      <c r="AX275" s="392">
        <v>230406</v>
      </c>
      <c r="AY275" s="786">
        <v>1936365</v>
      </c>
      <c r="AZ275" s="392">
        <v>5750089</v>
      </c>
      <c r="BA275" s="639">
        <f>SUM(SNAMEB[[#This Row],[Instruction Expenditures]:[Transfers Out/OtherFinancing]])+SUM(SNAMEB[[#This Row],[General Fund Balance]:[Other Enterprise FundBalance]])</f>
        <v>18558848</v>
      </c>
      <c r="BB275" s="639">
        <f>SUM(SNAMEB[[#This Row],[Property Tax Revenue]:[IDEA/Other Fed Revenue]])+SNAMEB[General Long-term DebtProceeds]+SNAMEB[TransfersIn/Other Financing]+SNAMEB[Fixed Asset Disposition]+SNAMEB[Beginning Fund Balance]</f>
        <v>18558850</v>
      </c>
    </row>
    <row r="276" spans="1:54" x14ac:dyDescent="0.2">
      <c r="A276" s="390">
        <v>5</v>
      </c>
      <c r="B276" s="391" t="s">
        <v>349</v>
      </c>
      <c r="C276" s="631">
        <v>6102</v>
      </c>
      <c r="D276" t="s">
        <v>1292</v>
      </c>
      <c r="E276" s="392">
        <v>4469179</v>
      </c>
      <c r="F276" s="392">
        <v>163967</v>
      </c>
      <c r="G276" s="392">
        <v>739834</v>
      </c>
      <c r="H276" s="392">
        <v>0</v>
      </c>
      <c r="I276" s="392">
        <v>0</v>
      </c>
      <c r="J276" s="392">
        <v>0</v>
      </c>
      <c r="K276" s="392">
        <v>4651001</v>
      </c>
      <c r="L276" s="392">
        <v>729725</v>
      </c>
      <c r="M276" s="392">
        <v>814996</v>
      </c>
      <c r="N276" s="392">
        <v>845128</v>
      </c>
      <c r="O276" s="392">
        <v>-55374</v>
      </c>
      <c r="P276" s="392">
        <v>0</v>
      </c>
      <c r="Q276" s="392">
        <v>12358455</v>
      </c>
      <c r="R276" s="392">
        <v>8375070</v>
      </c>
      <c r="S276" s="392">
        <v>110814</v>
      </c>
      <c r="T276" s="392">
        <v>521685</v>
      </c>
      <c r="U276" s="392">
        <v>1201351</v>
      </c>
      <c r="V276" s="392">
        <v>79026</v>
      </c>
      <c r="W276" s="392">
        <v>541663</v>
      </c>
      <c r="X276" s="392">
        <v>118843</v>
      </c>
      <c r="Y276" s="392">
        <v>688850</v>
      </c>
      <c r="Z276" s="392">
        <v>503259</v>
      </c>
      <c r="AA276" s="392">
        <v>12086270</v>
      </c>
      <c r="AB276" s="392">
        <v>0</v>
      </c>
      <c r="AC276" s="392">
        <v>2630415</v>
      </c>
      <c r="AD276" s="392">
        <v>303998</v>
      </c>
      <c r="AE276" s="392">
        <v>337322</v>
      </c>
      <c r="AF276" s="392">
        <v>1155303</v>
      </c>
      <c r="AG276" s="392">
        <v>28653868</v>
      </c>
      <c r="AH276" s="392">
        <v>3350000</v>
      </c>
      <c r="AI276" s="392">
        <v>1723922</v>
      </c>
      <c r="AJ276" s="392">
        <v>10179</v>
      </c>
      <c r="AK276" s="392">
        <v>33737970</v>
      </c>
      <c r="AL276" s="392">
        <v>18041813</v>
      </c>
      <c r="AM276" s="392">
        <v>16377519</v>
      </c>
      <c r="AN276" s="392">
        <v>653871</v>
      </c>
      <c r="AO276" s="392">
        <v>281916</v>
      </c>
      <c r="AP276" s="392">
        <v>336819</v>
      </c>
      <c r="AQ276" s="392">
        <v>1097756</v>
      </c>
      <c r="AR276" s="392">
        <v>906938</v>
      </c>
      <c r="AS276" s="392">
        <v>1755907</v>
      </c>
      <c r="AT276" s="392">
        <v>744981</v>
      </c>
      <c r="AU276" s="392">
        <v>1106016</v>
      </c>
      <c r="AV276" s="392">
        <v>7645293</v>
      </c>
      <c r="AW276" s="392">
        <v>5905556</v>
      </c>
      <c r="AX276" s="392">
        <v>884833</v>
      </c>
      <c r="AY276" s="786">
        <v>1723922</v>
      </c>
      <c r="AZ276" s="392">
        <v>12358455</v>
      </c>
      <c r="BA276" s="639">
        <f>SUM(SNAMEB[[#This Row],[Instruction Expenditures]:[Transfers Out/OtherFinancing]])+SUM(SNAMEB[[#This Row],[General Fund Balance]:[Other Enterprise FundBalance]])</f>
        <v>51779783</v>
      </c>
      <c r="BB276" s="639">
        <f>SUM(SNAMEB[[#This Row],[Property Tax Revenue]:[IDEA/Other Fed Revenue]])+SNAMEB[General Long-term DebtProceeds]+SNAMEB[TransfersIn/Other Financing]+SNAMEB[Fixed Asset Disposition]+SNAMEB[Beginning Fund Balance]</f>
        <v>51779783</v>
      </c>
    </row>
    <row r="277" spans="1:54" x14ac:dyDescent="0.2">
      <c r="A277" s="390">
        <v>5</v>
      </c>
      <c r="B277" s="391" t="s">
        <v>350</v>
      </c>
      <c r="C277" s="631">
        <v>6120</v>
      </c>
      <c r="D277" t="s">
        <v>1293</v>
      </c>
      <c r="E277" s="392">
        <v>2534217</v>
      </c>
      <c r="F277" s="392">
        <v>51630</v>
      </c>
      <c r="G277" s="392">
        <v>862529</v>
      </c>
      <c r="H277" s="392">
        <v>0</v>
      </c>
      <c r="I277" s="392">
        <v>0</v>
      </c>
      <c r="J277" s="392">
        <v>0</v>
      </c>
      <c r="K277" s="392">
        <v>272921</v>
      </c>
      <c r="L277" s="392">
        <v>153004</v>
      </c>
      <c r="M277" s="392">
        <v>0</v>
      </c>
      <c r="N277" s="392">
        <v>1681080</v>
      </c>
      <c r="O277" s="392">
        <v>480142</v>
      </c>
      <c r="P277" s="392">
        <v>0</v>
      </c>
      <c r="Q277" s="392">
        <v>6035522</v>
      </c>
      <c r="R277" s="392">
        <v>7347304</v>
      </c>
      <c r="S277" s="392">
        <v>144108</v>
      </c>
      <c r="T277" s="392">
        <v>680865</v>
      </c>
      <c r="U277" s="392">
        <v>918161</v>
      </c>
      <c r="V277" s="392">
        <v>28976</v>
      </c>
      <c r="W277" s="392">
        <v>355275</v>
      </c>
      <c r="X277" s="392">
        <v>129080</v>
      </c>
      <c r="Y277" s="392">
        <v>420352</v>
      </c>
      <c r="Z277" s="392">
        <v>0</v>
      </c>
      <c r="AA277" s="392">
        <v>3515899</v>
      </c>
      <c r="AB277" s="392">
        <v>0</v>
      </c>
      <c r="AC277" s="392">
        <v>1184420</v>
      </c>
      <c r="AD277" s="392">
        <v>161182</v>
      </c>
      <c r="AE277" s="392">
        <v>115556</v>
      </c>
      <c r="AF277" s="392">
        <v>465585</v>
      </c>
      <c r="AG277" s="392">
        <v>15466762</v>
      </c>
      <c r="AH277" s="392">
        <v>100588</v>
      </c>
      <c r="AI277" s="392">
        <v>1207609</v>
      </c>
      <c r="AJ277" s="392">
        <v>1395</v>
      </c>
      <c r="AK277" s="392">
        <v>16776354</v>
      </c>
      <c r="AL277" s="392">
        <v>6232379</v>
      </c>
      <c r="AM277" s="392">
        <v>8718262</v>
      </c>
      <c r="AN277" s="392">
        <v>297867</v>
      </c>
      <c r="AO277" s="392">
        <v>672978</v>
      </c>
      <c r="AP277" s="392">
        <v>368396</v>
      </c>
      <c r="AQ277" s="392">
        <v>691809</v>
      </c>
      <c r="AR277" s="392">
        <v>306773</v>
      </c>
      <c r="AS277" s="392">
        <v>1411460</v>
      </c>
      <c r="AT277" s="392">
        <v>591248</v>
      </c>
      <c r="AU277" s="392">
        <v>639096</v>
      </c>
      <c r="AV277" s="392">
        <v>373674</v>
      </c>
      <c r="AW277" s="392">
        <v>1208810</v>
      </c>
      <c r="AX277" s="392">
        <v>506273</v>
      </c>
      <c r="AY277" s="786">
        <v>1186566</v>
      </c>
      <c r="AZ277" s="392">
        <v>6035522</v>
      </c>
      <c r="BA277" s="639">
        <f>SUM(SNAMEB[[#This Row],[Instruction Expenditures]:[Transfers Out/OtherFinancing]])+SUM(SNAMEB[[#This Row],[General Fund Balance]:[Other Enterprise FundBalance]])</f>
        <v>23008735</v>
      </c>
      <c r="BB277" s="639">
        <f>SUM(SNAMEB[[#This Row],[Property Tax Revenue]:[IDEA/Other Fed Revenue]])+SNAMEB[General Long-term DebtProceeds]+SNAMEB[TransfersIn/Other Financing]+SNAMEB[Fixed Asset Disposition]+SNAMEB[Beginning Fund Balance]</f>
        <v>23008734</v>
      </c>
    </row>
    <row r="278" spans="1:54" x14ac:dyDescent="0.2">
      <c r="A278" s="390">
        <v>10</v>
      </c>
      <c r="B278" s="391" t="s">
        <v>351</v>
      </c>
      <c r="C278" s="631">
        <v>6138</v>
      </c>
      <c r="D278" t="s">
        <v>1294</v>
      </c>
      <c r="E278" s="392">
        <v>761082</v>
      </c>
      <c r="F278" s="392">
        <v>86455</v>
      </c>
      <c r="G278" s="392">
        <v>31633</v>
      </c>
      <c r="H278" s="392">
        <v>0</v>
      </c>
      <c r="I278" s="392">
        <v>0</v>
      </c>
      <c r="J278" s="392">
        <v>0</v>
      </c>
      <c r="K278" s="392">
        <v>496658</v>
      </c>
      <c r="L278" s="392">
        <v>157267</v>
      </c>
      <c r="M278" s="392">
        <v>-126237</v>
      </c>
      <c r="N278" s="392">
        <v>20532</v>
      </c>
      <c r="O278" s="392">
        <v>5931</v>
      </c>
      <c r="P278" s="392">
        <v>11401</v>
      </c>
      <c r="Q278" s="392">
        <v>1444722</v>
      </c>
      <c r="R278" s="392">
        <v>1631562</v>
      </c>
      <c r="S278" s="392">
        <v>22347</v>
      </c>
      <c r="T278" s="392">
        <v>87818</v>
      </c>
      <c r="U278" s="392">
        <v>479371</v>
      </c>
      <c r="V278" s="392">
        <v>4868</v>
      </c>
      <c r="W278" s="392">
        <v>122543</v>
      </c>
      <c r="X278" s="392">
        <v>200686</v>
      </c>
      <c r="Y278" s="392">
        <v>104873</v>
      </c>
      <c r="Z278" s="392">
        <v>0</v>
      </c>
      <c r="AA278" s="392">
        <v>2152271</v>
      </c>
      <c r="AB278" s="392">
        <v>0</v>
      </c>
      <c r="AC278" s="392">
        <v>491470</v>
      </c>
      <c r="AD278" s="392">
        <v>10013</v>
      </c>
      <c r="AE278" s="392">
        <v>41839</v>
      </c>
      <c r="AF278" s="392">
        <v>124540</v>
      </c>
      <c r="AG278" s="392">
        <v>5474201</v>
      </c>
      <c r="AH278" s="392">
        <v>2820000</v>
      </c>
      <c r="AI278" s="392">
        <v>603842</v>
      </c>
      <c r="AJ278" s="392">
        <v>0</v>
      </c>
      <c r="AK278" s="392">
        <v>8898044</v>
      </c>
      <c r="AL278" s="392">
        <v>1693574</v>
      </c>
      <c r="AM278" s="392">
        <v>2894925</v>
      </c>
      <c r="AN278" s="392">
        <v>138715</v>
      </c>
      <c r="AO278" s="392">
        <v>150720</v>
      </c>
      <c r="AP278" s="392">
        <v>356743</v>
      </c>
      <c r="AQ278" s="392">
        <v>280300</v>
      </c>
      <c r="AR278" s="392">
        <v>143829</v>
      </c>
      <c r="AS278" s="392">
        <v>398099</v>
      </c>
      <c r="AT278" s="392">
        <v>208964</v>
      </c>
      <c r="AU278" s="392">
        <v>214551</v>
      </c>
      <c r="AV278" s="392">
        <v>267813</v>
      </c>
      <c r="AW278" s="392">
        <v>3327489</v>
      </c>
      <c r="AX278" s="392">
        <v>160905</v>
      </c>
      <c r="AY278" s="786">
        <v>603842</v>
      </c>
      <c r="AZ278" s="392">
        <v>1444722</v>
      </c>
      <c r="BA278" s="639">
        <f>SUM(SNAMEB[[#This Row],[Instruction Expenditures]:[Transfers Out/OtherFinancing]])+SUM(SNAMEB[[#This Row],[General Fund Balance]:[Other Enterprise FundBalance]])</f>
        <v>10591617</v>
      </c>
      <c r="BB278" s="639">
        <f>SUM(SNAMEB[[#This Row],[Property Tax Revenue]:[IDEA/Other Fed Revenue]])+SNAMEB[General Long-term DebtProceeds]+SNAMEB[TransfersIn/Other Financing]+SNAMEB[Fixed Asset Disposition]+SNAMEB[Beginning Fund Balance]</f>
        <v>10591617</v>
      </c>
    </row>
    <row r="279" spans="1:54" x14ac:dyDescent="0.2">
      <c r="A279" s="390">
        <v>7</v>
      </c>
      <c r="B279" s="391" t="s">
        <v>327</v>
      </c>
      <c r="C279" s="631">
        <v>5751</v>
      </c>
      <c r="D279" t="s">
        <v>1273</v>
      </c>
      <c r="E279" s="392">
        <v>1342756</v>
      </c>
      <c r="F279" s="392">
        <v>80588</v>
      </c>
      <c r="G279" s="392">
        <v>819252</v>
      </c>
      <c r="H279" s="392">
        <v>0</v>
      </c>
      <c r="I279" s="392">
        <v>0</v>
      </c>
      <c r="J279" s="392">
        <v>0</v>
      </c>
      <c r="K279" s="392">
        <v>1234406</v>
      </c>
      <c r="L279" s="392">
        <v>986690</v>
      </c>
      <c r="M279" s="392">
        <v>2546118</v>
      </c>
      <c r="N279" s="392">
        <v>4757</v>
      </c>
      <c r="O279" s="392">
        <v>-21341</v>
      </c>
      <c r="P279" s="392">
        <v>7341</v>
      </c>
      <c r="Q279" s="392">
        <v>7000568</v>
      </c>
      <c r="R279" s="392">
        <v>3585593</v>
      </c>
      <c r="S279" s="392">
        <v>121382</v>
      </c>
      <c r="T279" s="392">
        <v>228902</v>
      </c>
      <c r="U279" s="392">
        <v>446214</v>
      </c>
      <c r="V279" s="392">
        <v>20182</v>
      </c>
      <c r="W279" s="392">
        <v>189302</v>
      </c>
      <c r="X279" s="392">
        <v>264663</v>
      </c>
      <c r="Y279" s="392">
        <v>489218</v>
      </c>
      <c r="Z279" s="392">
        <v>0</v>
      </c>
      <c r="AA279" s="392">
        <v>2997070</v>
      </c>
      <c r="AB279" s="392">
        <v>0</v>
      </c>
      <c r="AC279" s="392">
        <v>661973</v>
      </c>
      <c r="AD279" s="392">
        <v>126423</v>
      </c>
      <c r="AE279" s="392">
        <v>66793</v>
      </c>
      <c r="AF279" s="392">
        <v>241750</v>
      </c>
      <c r="AG279" s="392">
        <v>9439464</v>
      </c>
      <c r="AH279" s="392">
        <v>0</v>
      </c>
      <c r="AI279" s="392">
        <v>328722</v>
      </c>
      <c r="AJ279" s="392">
        <v>1200</v>
      </c>
      <c r="AK279" s="392">
        <v>9769386</v>
      </c>
      <c r="AL279" s="392">
        <v>17263048</v>
      </c>
      <c r="AM279" s="392">
        <v>5040042</v>
      </c>
      <c r="AN279" s="392">
        <v>253809</v>
      </c>
      <c r="AO279" s="392">
        <v>218752</v>
      </c>
      <c r="AP279" s="392">
        <v>307330</v>
      </c>
      <c r="AQ279" s="392">
        <v>323736</v>
      </c>
      <c r="AR279" s="392">
        <v>108414</v>
      </c>
      <c r="AS279" s="392">
        <v>647085</v>
      </c>
      <c r="AT279" s="392">
        <v>383694</v>
      </c>
      <c r="AU279" s="392">
        <v>339349</v>
      </c>
      <c r="AV279" s="392">
        <v>10798770</v>
      </c>
      <c r="AW279" s="392">
        <v>1018263</v>
      </c>
      <c r="AX279" s="392">
        <v>263901</v>
      </c>
      <c r="AY279" s="786">
        <v>328722</v>
      </c>
      <c r="AZ279" s="392">
        <v>7000568</v>
      </c>
      <c r="BA279" s="639">
        <f>SUM(SNAMEB[[#This Row],[Instruction Expenditures]:[Transfers Out/OtherFinancing]])+SUM(SNAMEB[[#This Row],[General Fund Balance]:[Other Enterprise FundBalance]])</f>
        <v>27032434</v>
      </c>
      <c r="BB279" s="639">
        <f>SUM(SNAMEB[[#This Row],[Property Tax Revenue]:[IDEA/Other Fed Revenue]])+SNAMEB[General Long-term DebtProceeds]+SNAMEB[TransfersIn/Other Financing]+SNAMEB[Fixed Asset Disposition]+SNAMEB[Beginning Fund Balance]</f>
        <v>27032435</v>
      </c>
    </row>
    <row r="280" spans="1:54" x14ac:dyDescent="0.2">
      <c r="A280" s="390">
        <v>13</v>
      </c>
      <c r="B280" s="391" t="s">
        <v>352</v>
      </c>
      <c r="C280" s="631">
        <v>6165</v>
      </c>
      <c r="D280" t="s">
        <v>1295</v>
      </c>
      <c r="E280" s="392">
        <v>903633</v>
      </c>
      <c r="F280" s="392">
        <v>102152</v>
      </c>
      <c r="G280" s="392">
        <v>332364</v>
      </c>
      <c r="H280" s="392">
        <v>0</v>
      </c>
      <c r="I280" s="392">
        <v>0</v>
      </c>
      <c r="J280" s="392">
        <v>0</v>
      </c>
      <c r="K280" s="392">
        <v>110055</v>
      </c>
      <c r="L280" s="392">
        <v>23955</v>
      </c>
      <c r="M280" s="392">
        <v>0</v>
      </c>
      <c r="N280" s="392">
        <v>0</v>
      </c>
      <c r="O280" s="392">
        <v>14798</v>
      </c>
      <c r="P280" s="392">
        <v>0</v>
      </c>
      <c r="Q280" s="392">
        <v>1486956</v>
      </c>
      <c r="R280" s="392">
        <v>949106</v>
      </c>
      <c r="S280" s="392">
        <v>53821</v>
      </c>
      <c r="T280" s="392">
        <v>91130</v>
      </c>
      <c r="U280" s="392">
        <v>475251</v>
      </c>
      <c r="V280" s="392">
        <v>1418</v>
      </c>
      <c r="W280" s="392">
        <v>71857</v>
      </c>
      <c r="X280" s="392">
        <v>95191</v>
      </c>
      <c r="Y280" s="392">
        <v>63399</v>
      </c>
      <c r="Z280" s="392">
        <v>0</v>
      </c>
      <c r="AA280" s="392">
        <v>1185830</v>
      </c>
      <c r="AB280" s="392">
        <v>0</v>
      </c>
      <c r="AC280" s="392">
        <v>199464</v>
      </c>
      <c r="AD280" s="392">
        <v>5049</v>
      </c>
      <c r="AE280" s="392">
        <v>17228</v>
      </c>
      <c r="AF280" s="392">
        <v>105081</v>
      </c>
      <c r="AG280" s="392">
        <v>3313825</v>
      </c>
      <c r="AH280" s="392">
        <v>0</v>
      </c>
      <c r="AI280" s="392">
        <v>0</v>
      </c>
      <c r="AJ280" s="392">
        <v>0</v>
      </c>
      <c r="AK280" s="392">
        <v>3313825</v>
      </c>
      <c r="AL280" s="392">
        <v>1167338</v>
      </c>
      <c r="AM280" s="392">
        <v>1776915</v>
      </c>
      <c r="AN280" s="392">
        <v>90833</v>
      </c>
      <c r="AO280" s="392">
        <v>80518</v>
      </c>
      <c r="AP280" s="392">
        <v>107308</v>
      </c>
      <c r="AQ280" s="392">
        <v>188019</v>
      </c>
      <c r="AR280" s="392">
        <v>52971</v>
      </c>
      <c r="AS280" s="392">
        <v>258384</v>
      </c>
      <c r="AT280" s="392">
        <v>173074</v>
      </c>
      <c r="AU280" s="392">
        <v>117612</v>
      </c>
      <c r="AV280" s="392">
        <v>72399</v>
      </c>
      <c r="AW280" s="392">
        <v>0</v>
      </c>
      <c r="AX280" s="392">
        <v>76174</v>
      </c>
      <c r="AY280" s="786">
        <v>0</v>
      </c>
      <c r="AZ280" s="392">
        <v>1486956</v>
      </c>
      <c r="BA280" s="639">
        <f>SUM(SNAMEB[[#This Row],[Instruction Expenditures]:[Transfers Out/OtherFinancing]])+SUM(SNAMEB[[#This Row],[General Fund Balance]:[Other Enterprise FundBalance]])</f>
        <v>4481164</v>
      </c>
      <c r="BB280" s="639">
        <f>SUM(SNAMEB[[#This Row],[Property Tax Revenue]:[IDEA/Other Fed Revenue]])+SNAMEB[General Long-term DebtProceeds]+SNAMEB[TransfersIn/Other Financing]+SNAMEB[Fixed Asset Disposition]+SNAMEB[Beginning Fund Balance]</f>
        <v>4481163</v>
      </c>
    </row>
    <row r="281" spans="1:54" x14ac:dyDescent="0.2">
      <c r="A281" s="390">
        <v>1</v>
      </c>
      <c r="B281" s="391" t="s">
        <v>353</v>
      </c>
      <c r="C281" s="631">
        <v>6175</v>
      </c>
      <c r="D281" t="s">
        <v>1296</v>
      </c>
      <c r="E281" s="392">
        <v>2165311</v>
      </c>
      <c r="F281" s="392">
        <v>177618</v>
      </c>
      <c r="G281" s="392">
        <v>314292</v>
      </c>
      <c r="H281" s="392">
        <v>0</v>
      </c>
      <c r="I281" s="392">
        <v>27656</v>
      </c>
      <c r="J281" s="392">
        <v>0</v>
      </c>
      <c r="K281" s="392">
        <v>1149212</v>
      </c>
      <c r="L281" s="392">
        <v>1088</v>
      </c>
      <c r="M281" s="392">
        <v>0</v>
      </c>
      <c r="N281" s="392">
        <v>0</v>
      </c>
      <c r="O281" s="392">
        <v>44597</v>
      </c>
      <c r="P281" s="392">
        <v>8856</v>
      </c>
      <c r="Q281" s="392">
        <v>3888629</v>
      </c>
      <c r="R281" s="392">
        <v>2899566</v>
      </c>
      <c r="S281" s="392">
        <v>80714</v>
      </c>
      <c r="T281" s="392">
        <v>0</v>
      </c>
      <c r="U281" s="392">
        <v>433967</v>
      </c>
      <c r="V281" s="392">
        <v>25563</v>
      </c>
      <c r="W281" s="392">
        <v>147435</v>
      </c>
      <c r="X281" s="392">
        <v>158539</v>
      </c>
      <c r="Y281" s="392">
        <v>347810</v>
      </c>
      <c r="Z281" s="392">
        <v>1702</v>
      </c>
      <c r="AA281" s="392">
        <v>3708036</v>
      </c>
      <c r="AB281" s="392">
        <v>0</v>
      </c>
      <c r="AC281" s="392">
        <v>583574</v>
      </c>
      <c r="AD281" s="392">
        <v>47838</v>
      </c>
      <c r="AE281" s="392">
        <v>116191</v>
      </c>
      <c r="AF281" s="392">
        <v>602397</v>
      </c>
      <c r="AG281" s="392">
        <v>9153333</v>
      </c>
      <c r="AH281" s="392">
        <v>0</v>
      </c>
      <c r="AI281" s="392">
        <v>0</v>
      </c>
      <c r="AJ281" s="392">
        <v>11450</v>
      </c>
      <c r="AK281" s="392">
        <v>9164783</v>
      </c>
      <c r="AL281" s="392">
        <v>3194317</v>
      </c>
      <c r="AM281" s="392">
        <v>5237926</v>
      </c>
      <c r="AN281" s="392">
        <v>232755</v>
      </c>
      <c r="AO281" s="392">
        <v>256266</v>
      </c>
      <c r="AP281" s="392">
        <v>237608</v>
      </c>
      <c r="AQ281" s="392">
        <v>346702</v>
      </c>
      <c r="AR281" s="392">
        <v>191368</v>
      </c>
      <c r="AS281" s="392">
        <v>511603</v>
      </c>
      <c r="AT281" s="392">
        <v>365431</v>
      </c>
      <c r="AU281" s="392">
        <v>350712</v>
      </c>
      <c r="AV281" s="392">
        <v>461715</v>
      </c>
      <c r="AW281" s="392">
        <v>0</v>
      </c>
      <c r="AX281" s="392">
        <v>268635</v>
      </c>
      <c r="AY281" s="786">
        <v>9750</v>
      </c>
      <c r="AZ281" s="392">
        <v>3888629</v>
      </c>
      <c r="BA281" s="639">
        <f>SUM(SNAMEB[[#This Row],[Instruction Expenditures]:[Transfers Out/OtherFinancing]])+SUM(SNAMEB[[#This Row],[General Fund Balance]:[Other Enterprise FundBalance]])</f>
        <v>12359101</v>
      </c>
      <c r="BB281" s="639">
        <f>SUM(SNAMEB[[#This Row],[Property Tax Revenue]:[IDEA/Other Fed Revenue]])+SNAMEB[General Long-term DebtProceeds]+SNAMEB[TransfersIn/Other Financing]+SNAMEB[Fixed Asset Disposition]+SNAMEB[Beginning Fund Balance]</f>
        <v>12359099</v>
      </c>
    </row>
    <row r="282" spans="1:54" x14ac:dyDescent="0.2">
      <c r="A282" s="390">
        <v>5</v>
      </c>
      <c r="B282" s="391" t="s">
        <v>354</v>
      </c>
      <c r="C282" s="631">
        <v>6219</v>
      </c>
      <c r="D282" t="s">
        <v>1297</v>
      </c>
      <c r="E282" s="392">
        <v>6411289</v>
      </c>
      <c r="F282" s="392">
        <v>66276</v>
      </c>
      <c r="G282" s="392">
        <v>1817174</v>
      </c>
      <c r="H282" s="392">
        <v>0</v>
      </c>
      <c r="I282" s="392">
        <v>0</v>
      </c>
      <c r="J282" s="392">
        <v>0</v>
      </c>
      <c r="K282" s="392">
        <v>3993084</v>
      </c>
      <c r="L282" s="392">
        <v>1553208</v>
      </c>
      <c r="M282" s="392">
        <v>0</v>
      </c>
      <c r="N282" s="392">
        <v>1206176</v>
      </c>
      <c r="O282" s="392">
        <v>784443</v>
      </c>
      <c r="P282" s="392">
        <v>56034</v>
      </c>
      <c r="Q282" s="392">
        <v>15887684</v>
      </c>
      <c r="R282" s="392">
        <v>6576216</v>
      </c>
      <c r="S282" s="392">
        <v>236815</v>
      </c>
      <c r="T282" s="392">
        <v>309578</v>
      </c>
      <c r="U282" s="392">
        <v>1694549</v>
      </c>
      <c r="V282" s="392">
        <v>58066</v>
      </c>
      <c r="W282" s="392">
        <v>315775</v>
      </c>
      <c r="X282" s="392">
        <v>253019</v>
      </c>
      <c r="Y282" s="392">
        <v>864846</v>
      </c>
      <c r="Z282" s="392">
        <v>0</v>
      </c>
      <c r="AA282" s="392">
        <v>16038318</v>
      </c>
      <c r="AB282" s="392">
        <v>0</v>
      </c>
      <c r="AC282" s="392">
        <v>2368883</v>
      </c>
      <c r="AD282" s="392">
        <v>256774</v>
      </c>
      <c r="AE282" s="392">
        <v>1072113</v>
      </c>
      <c r="AF282" s="392">
        <v>2038484</v>
      </c>
      <c r="AG282" s="392">
        <v>32083435</v>
      </c>
      <c r="AH282" s="392">
        <v>0</v>
      </c>
      <c r="AI282" s="392">
        <v>1998293</v>
      </c>
      <c r="AJ282" s="392">
        <v>0</v>
      </c>
      <c r="AK282" s="392">
        <v>34081728</v>
      </c>
      <c r="AL282" s="392">
        <v>19689590</v>
      </c>
      <c r="AM282" s="392">
        <v>19086197</v>
      </c>
      <c r="AN282" s="392">
        <v>803947</v>
      </c>
      <c r="AO282" s="392">
        <v>941186</v>
      </c>
      <c r="AP282" s="392">
        <v>922855</v>
      </c>
      <c r="AQ282" s="392">
        <v>1527509</v>
      </c>
      <c r="AR282" s="392">
        <v>272401</v>
      </c>
      <c r="AS282" s="392">
        <v>1880549</v>
      </c>
      <c r="AT282" s="392">
        <v>667627</v>
      </c>
      <c r="AU282" s="392">
        <v>1740360</v>
      </c>
      <c r="AV282" s="392">
        <v>4707324</v>
      </c>
      <c r="AW282" s="392">
        <v>2318686</v>
      </c>
      <c r="AX282" s="392">
        <v>1011177</v>
      </c>
      <c r="AY282" s="786">
        <v>2003814</v>
      </c>
      <c r="AZ282" s="392">
        <v>15887684</v>
      </c>
      <c r="BA282" s="639">
        <f>SUM(SNAMEB[[#This Row],[Instruction Expenditures]:[Transfers Out/OtherFinancing]])+SUM(SNAMEB[[#This Row],[General Fund Balance]:[Other Enterprise FundBalance]])</f>
        <v>53771316</v>
      </c>
      <c r="BB282" s="639">
        <f>SUM(SNAMEB[[#This Row],[Property Tax Revenue]:[IDEA/Other Fed Revenue]])+SNAMEB[General Long-term DebtProceeds]+SNAMEB[TransfersIn/Other Financing]+SNAMEB[Fixed Asset Disposition]+SNAMEB[Beginning Fund Balance]</f>
        <v>53771319</v>
      </c>
    </row>
    <row r="283" spans="1:54" x14ac:dyDescent="0.2">
      <c r="A283" s="390">
        <v>5</v>
      </c>
      <c r="B283" s="391" t="s">
        <v>355</v>
      </c>
      <c r="C283" s="631">
        <v>6246</v>
      </c>
      <c r="D283" t="s">
        <v>1298</v>
      </c>
      <c r="E283" s="392">
        <v>847441</v>
      </c>
      <c r="F283" s="392">
        <v>0</v>
      </c>
      <c r="G283" s="392">
        <v>789149</v>
      </c>
      <c r="H283" s="392">
        <v>0</v>
      </c>
      <c r="I283" s="392">
        <v>0</v>
      </c>
      <c r="J283" s="392">
        <v>0</v>
      </c>
      <c r="K283" s="392">
        <v>464417</v>
      </c>
      <c r="L283" s="392">
        <v>126241</v>
      </c>
      <c r="M283" s="392">
        <v>0</v>
      </c>
      <c r="N283" s="392">
        <v>10358</v>
      </c>
      <c r="O283" s="392">
        <v>-23482</v>
      </c>
      <c r="P283" s="392">
        <v>-94647</v>
      </c>
      <c r="Q283" s="392">
        <v>2119477</v>
      </c>
      <c r="R283" s="392">
        <v>1020521</v>
      </c>
      <c r="S283" s="392">
        <v>12277</v>
      </c>
      <c r="T283" s="392">
        <v>86176</v>
      </c>
      <c r="U283" s="392">
        <v>78177</v>
      </c>
      <c r="V283" s="392">
        <v>2415</v>
      </c>
      <c r="W283" s="392">
        <v>35835</v>
      </c>
      <c r="X283" s="392">
        <v>0</v>
      </c>
      <c r="Y283" s="392">
        <v>113066</v>
      </c>
      <c r="Z283" s="392">
        <v>0</v>
      </c>
      <c r="AA283" s="392">
        <v>1066147</v>
      </c>
      <c r="AB283" s="392">
        <v>0</v>
      </c>
      <c r="AC283" s="392">
        <v>239872</v>
      </c>
      <c r="AD283" s="392">
        <v>4731</v>
      </c>
      <c r="AE283" s="392">
        <v>37919</v>
      </c>
      <c r="AF283" s="392">
        <v>57042</v>
      </c>
      <c r="AG283" s="392">
        <v>2754178</v>
      </c>
      <c r="AH283" s="392">
        <v>0</v>
      </c>
      <c r="AI283" s="392">
        <v>0</v>
      </c>
      <c r="AJ283" s="392">
        <v>4309</v>
      </c>
      <c r="AK283" s="392">
        <v>2758487</v>
      </c>
      <c r="AL283" s="392">
        <v>2027821</v>
      </c>
      <c r="AM283" s="392">
        <v>1476279</v>
      </c>
      <c r="AN283" s="392">
        <v>2827</v>
      </c>
      <c r="AO283" s="392">
        <v>72311</v>
      </c>
      <c r="AP283" s="392">
        <v>82809</v>
      </c>
      <c r="AQ283" s="392">
        <v>78667</v>
      </c>
      <c r="AR283" s="392">
        <v>79255</v>
      </c>
      <c r="AS283" s="392">
        <v>194545</v>
      </c>
      <c r="AT283" s="392">
        <v>94959</v>
      </c>
      <c r="AU283" s="392">
        <v>215613</v>
      </c>
      <c r="AV283" s="392">
        <v>104822</v>
      </c>
      <c r="AW283" s="392">
        <v>118615</v>
      </c>
      <c r="AX283" s="392">
        <v>81113</v>
      </c>
      <c r="AY283" s="786">
        <v>65017</v>
      </c>
      <c r="AZ283" s="392">
        <v>2119477</v>
      </c>
      <c r="BA283" s="639">
        <f>SUM(SNAMEB[[#This Row],[Instruction Expenditures]:[Transfers Out/OtherFinancing]])+SUM(SNAMEB[[#This Row],[General Fund Balance]:[Other Enterprise FundBalance]])</f>
        <v>4786309</v>
      </c>
      <c r="BB283" s="639">
        <f>SUM(SNAMEB[[#This Row],[Property Tax Revenue]:[IDEA/Other Fed Revenue]])+SNAMEB[General Long-term DebtProceeds]+SNAMEB[TransfersIn/Other Financing]+SNAMEB[Fixed Asset Disposition]+SNAMEB[Beginning Fund Balance]</f>
        <v>4786308</v>
      </c>
    </row>
    <row r="284" spans="1:54" x14ac:dyDescent="0.2">
      <c r="A284" s="390">
        <v>7</v>
      </c>
      <c r="B284" s="391" t="s">
        <v>357</v>
      </c>
      <c r="C284" s="631">
        <v>6273</v>
      </c>
      <c r="D284" t="s">
        <v>1640</v>
      </c>
      <c r="E284" s="392">
        <v>1888900</v>
      </c>
      <c r="F284" s="392">
        <v>175128</v>
      </c>
      <c r="G284" s="392">
        <v>444041</v>
      </c>
      <c r="H284" s="392">
        <v>0</v>
      </c>
      <c r="I284" s="392">
        <v>0</v>
      </c>
      <c r="J284" s="392">
        <v>0</v>
      </c>
      <c r="K284" s="392">
        <v>877699</v>
      </c>
      <c r="L284" s="392">
        <v>615630</v>
      </c>
      <c r="M284" s="392">
        <v>0</v>
      </c>
      <c r="N284" s="392">
        <v>1338722</v>
      </c>
      <c r="O284" s="392">
        <v>115456</v>
      </c>
      <c r="P284" s="392">
        <v>0</v>
      </c>
      <c r="Q284" s="392">
        <v>5455575</v>
      </c>
      <c r="R284" s="392">
        <v>3576220</v>
      </c>
      <c r="S284" s="392">
        <v>195242</v>
      </c>
      <c r="T284" s="392">
        <v>327908</v>
      </c>
      <c r="U284" s="392">
        <v>391178</v>
      </c>
      <c r="V284" s="392">
        <v>43850</v>
      </c>
      <c r="W284" s="392">
        <v>263392</v>
      </c>
      <c r="X284" s="392">
        <v>373372</v>
      </c>
      <c r="Y284" s="392">
        <v>165212</v>
      </c>
      <c r="Z284" s="392">
        <v>0</v>
      </c>
      <c r="AA284" s="392">
        <v>4820359</v>
      </c>
      <c r="AB284" s="392">
        <v>0</v>
      </c>
      <c r="AC284" s="392">
        <v>835399</v>
      </c>
      <c r="AD284" s="392">
        <v>41389</v>
      </c>
      <c r="AE284" s="392">
        <v>83421</v>
      </c>
      <c r="AF284" s="392">
        <v>297905</v>
      </c>
      <c r="AG284" s="392">
        <v>11414848</v>
      </c>
      <c r="AH284" s="392">
        <v>1210000</v>
      </c>
      <c r="AI284" s="392">
        <v>2235610</v>
      </c>
      <c r="AJ284" s="392">
        <v>0</v>
      </c>
      <c r="AK284" s="392">
        <v>14860459</v>
      </c>
      <c r="AL284" s="392">
        <v>5241340</v>
      </c>
      <c r="AM284" s="392">
        <v>6547021</v>
      </c>
      <c r="AN284" s="392">
        <v>160640</v>
      </c>
      <c r="AO284" s="392">
        <v>189553</v>
      </c>
      <c r="AP284" s="392">
        <v>233919</v>
      </c>
      <c r="AQ284" s="392">
        <v>532418</v>
      </c>
      <c r="AR284" s="392">
        <v>152935</v>
      </c>
      <c r="AS284" s="392">
        <v>1007234</v>
      </c>
      <c r="AT284" s="392">
        <v>462635</v>
      </c>
      <c r="AU284" s="392">
        <v>440620</v>
      </c>
      <c r="AV284" s="392">
        <v>35554</v>
      </c>
      <c r="AW284" s="392">
        <v>2293837</v>
      </c>
      <c r="AX284" s="392">
        <v>354248</v>
      </c>
      <c r="AY284" s="786">
        <v>2235610</v>
      </c>
      <c r="AZ284" s="392">
        <v>5455575</v>
      </c>
      <c r="BA284" s="639">
        <f>SUM(SNAMEB[[#This Row],[Instruction Expenditures]:[Transfers Out/OtherFinancing]])+SUM(SNAMEB[[#This Row],[General Fund Balance]:[Other Enterprise FundBalance]])</f>
        <v>20101800</v>
      </c>
      <c r="BB284" s="639">
        <f>SUM(SNAMEB[[#This Row],[Property Tax Revenue]:[IDEA/Other Fed Revenue]])+SNAMEB[General Long-term DebtProceeds]+SNAMEB[TransfersIn/Other Financing]+SNAMEB[Fixed Asset Disposition]+SNAMEB[Beginning Fund Balance]</f>
        <v>20101797</v>
      </c>
    </row>
    <row r="285" spans="1:54" x14ac:dyDescent="0.2">
      <c r="A285" s="390">
        <v>10</v>
      </c>
      <c r="B285" s="391" t="s">
        <v>358</v>
      </c>
      <c r="C285" s="631">
        <v>6408</v>
      </c>
      <c r="D285" t="s">
        <v>1300</v>
      </c>
      <c r="E285" s="392">
        <v>2453434</v>
      </c>
      <c r="F285" s="392">
        <v>150962</v>
      </c>
      <c r="G285" s="392">
        <v>240861</v>
      </c>
      <c r="H285" s="392">
        <v>0</v>
      </c>
      <c r="I285" s="392">
        <v>218065</v>
      </c>
      <c r="J285" s="392">
        <v>0</v>
      </c>
      <c r="K285" s="392">
        <v>1458349</v>
      </c>
      <c r="L285" s="392">
        <v>935307</v>
      </c>
      <c r="M285" s="392">
        <v>0</v>
      </c>
      <c r="N285" s="392">
        <v>531623</v>
      </c>
      <c r="O285" s="392">
        <v>-48855</v>
      </c>
      <c r="P285" s="392">
        <v>29946</v>
      </c>
      <c r="Q285" s="392">
        <v>5969692</v>
      </c>
      <c r="R285" s="392">
        <v>3496545</v>
      </c>
      <c r="S285" s="392">
        <v>76204</v>
      </c>
      <c r="T285" s="392">
        <v>515800</v>
      </c>
      <c r="U285" s="392">
        <v>653657</v>
      </c>
      <c r="V285" s="392">
        <v>3795</v>
      </c>
      <c r="W285" s="392">
        <v>324456</v>
      </c>
      <c r="X285" s="392">
        <v>279884</v>
      </c>
      <c r="Y285" s="392">
        <v>228340</v>
      </c>
      <c r="Z285" s="392">
        <v>0</v>
      </c>
      <c r="AA285" s="392">
        <v>5140553</v>
      </c>
      <c r="AB285" s="392">
        <v>0</v>
      </c>
      <c r="AC285" s="392">
        <v>890994</v>
      </c>
      <c r="AD285" s="392">
        <v>53056</v>
      </c>
      <c r="AE285" s="392">
        <v>91282</v>
      </c>
      <c r="AF285" s="392">
        <v>380577</v>
      </c>
      <c r="AG285" s="392">
        <v>12135143</v>
      </c>
      <c r="AH285" s="392">
        <v>0</v>
      </c>
      <c r="AI285" s="392">
        <v>473595</v>
      </c>
      <c r="AJ285" s="392">
        <v>13709</v>
      </c>
      <c r="AK285" s="392">
        <v>12622447</v>
      </c>
      <c r="AL285" s="392">
        <v>4909796</v>
      </c>
      <c r="AM285" s="392">
        <v>6208614</v>
      </c>
      <c r="AN285" s="392">
        <v>241446</v>
      </c>
      <c r="AO285" s="392">
        <v>484724</v>
      </c>
      <c r="AP285" s="392">
        <v>332012</v>
      </c>
      <c r="AQ285" s="392">
        <v>512290</v>
      </c>
      <c r="AR285" s="392">
        <v>188105</v>
      </c>
      <c r="AS285" s="392">
        <v>641749</v>
      </c>
      <c r="AT285" s="392">
        <v>423722</v>
      </c>
      <c r="AU285" s="392">
        <v>547056</v>
      </c>
      <c r="AV285" s="392">
        <v>207124</v>
      </c>
      <c r="AW285" s="392">
        <v>931345</v>
      </c>
      <c r="AX285" s="392">
        <v>370769</v>
      </c>
      <c r="AY285" s="786">
        <v>473595</v>
      </c>
      <c r="AZ285" s="392">
        <v>5969692</v>
      </c>
      <c r="BA285" s="639">
        <f>SUM(SNAMEB[[#This Row],[Instruction Expenditures]:[Transfers Out/OtherFinancing]])+SUM(SNAMEB[[#This Row],[General Fund Balance]:[Other Enterprise FundBalance]])</f>
        <v>17532243</v>
      </c>
      <c r="BB285" s="639">
        <f>SUM(SNAMEB[[#This Row],[Property Tax Revenue]:[IDEA/Other Fed Revenue]])+SNAMEB[General Long-term DebtProceeds]+SNAMEB[TransfersIn/Other Financing]+SNAMEB[Fixed Asset Disposition]+SNAMEB[Beginning Fund Balance]</f>
        <v>17532243</v>
      </c>
    </row>
    <row r="286" spans="1:54" x14ac:dyDescent="0.2">
      <c r="A286" s="390">
        <v>13</v>
      </c>
      <c r="B286" s="391" t="s">
        <v>359</v>
      </c>
      <c r="C286" s="631">
        <v>6453</v>
      </c>
      <c r="D286" t="s">
        <v>1301</v>
      </c>
      <c r="E286" s="392">
        <v>1973020</v>
      </c>
      <c r="F286" s="392">
        <v>38973</v>
      </c>
      <c r="G286" s="392">
        <v>516706</v>
      </c>
      <c r="H286" s="392">
        <v>0</v>
      </c>
      <c r="I286" s="392">
        <v>0</v>
      </c>
      <c r="J286" s="392">
        <v>0</v>
      </c>
      <c r="K286" s="392">
        <v>1387212</v>
      </c>
      <c r="L286" s="392">
        <v>217359</v>
      </c>
      <c r="M286" s="392">
        <v>0</v>
      </c>
      <c r="N286" s="392">
        <v>360007</v>
      </c>
      <c r="O286" s="392">
        <v>29504</v>
      </c>
      <c r="P286" s="392">
        <v>0</v>
      </c>
      <c r="Q286" s="392">
        <v>4522782</v>
      </c>
      <c r="R286" s="392">
        <v>2998883</v>
      </c>
      <c r="S286" s="392">
        <v>47932</v>
      </c>
      <c r="T286" s="392">
        <v>175648</v>
      </c>
      <c r="U286" s="392">
        <v>1828113</v>
      </c>
      <c r="V286" s="392">
        <v>437</v>
      </c>
      <c r="W286" s="392">
        <v>337240</v>
      </c>
      <c r="X286" s="392">
        <v>215666</v>
      </c>
      <c r="Y286" s="392">
        <v>141828</v>
      </c>
      <c r="Z286" s="392">
        <v>0</v>
      </c>
      <c r="AA286" s="392">
        <v>2902451</v>
      </c>
      <c r="AB286" s="392">
        <v>0</v>
      </c>
      <c r="AC286" s="392">
        <v>586920</v>
      </c>
      <c r="AD286" s="392">
        <v>11003</v>
      </c>
      <c r="AE286" s="392">
        <v>79959</v>
      </c>
      <c r="AF286" s="392">
        <v>188790</v>
      </c>
      <c r="AG286" s="392">
        <v>9514869</v>
      </c>
      <c r="AH286" s="392">
        <v>4184291</v>
      </c>
      <c r="AI286" s="392">
        <v>333398</v>
      </c>
      <c r="AJ286" s="392">
        <v>15500</v>
      </c>
      <c r="AK286" s="392">
        <v>14048056</v>
      </c>
      <c r="AL286" s="392">
        <v>4230206</v>
      </c>
      <c r="AM286" s="392">
        <v>4985901</v>
      </c>
      <c r="AN286" s="392">
        <v>199861</v>
      </c>
      <c r="AO286" s="392">
        <v>354213</v>
      </c>
      <c r="AP286" s="392">
        <v>285548</v>
      </c>
      <c r="AQ286" s="392">
        <v>415606</v>
      </c>
      <c r="AR286" s="392">
        <v>107277</v>
      </c>
      <c r="AS286" s="392">
        <v>690349</v>
      </c>
      <c r="AT286" s="392">
        <v>318691</v>
      </c>
      <c r="AU286" s="392">
        <v>450502</v>
      </c>
      <c r="AV286" s="392">
        <v>55252</v>
      </c>
      <c r="AW286" s="392">
        <v>5316517</v>
      </c>
      <c r="AX286" s="392">
        <v>242366</v>
      </c>
      <c r="AY286" s="786">
        <v>333398</v>
      </c>
      <c r="AZ286" s="392">
        <v>4522782</v>
      </c>
      <c r="BA286" s="639">
        <f>SUM(SNAMEB[[#This Row],[Instruction Expenditures]:[Transfers Out/OtherFinancing]])+SUM(SNAMEB[[#This Row],[General Fund Balance]:[Other Enterprise FundBalance]])</f>
        <v>18278262</v>
      </c>
      <c r="BB286" s="639">
        <f>SUM(SNAMEB[[#This Row],[Property Tax Revenue]:[IDEA/Other Fed Revenue]])+SNAMEB[General Long-term DebtProceeds]+SNAMEB[TransfersIn/Other Financing]+SNAMEB[Fixed Asset Disposition]+SNAMEB[Beginning Fund Balance]</f>
        <v>18278265</v>
      </c>
    </row>
    <row r="287" spans="1:54" x14ac:dyDescent="0.2">
      <c r="A287" s="390">
        <v>13</v>
      </c>
      <c r="B287" s="391" t="s">
        <v>360</v>
      </c>
      <c r="C287" s="631">
        <v>6460</v>
      </c>
      <c r="D287" t="s">
        <v>1302</v>
      </c>
      <c r="E287" s="392">
        <v>1376232</v>
      </c>
      <c r="F287" s="392">
        <v>69949</v>
      </c>
      <c r="G287" s="392">
        <v>317974</v>
      </c>
      <c r="H287" s="392">
        <v>0</v>
      </c>
      <c r="I287" s="392">
        <v>0</v>
      </c>
      <c r="J287" s="392">
        <v>0</v>
      </c>
      <c r="K287" s="392">
        <v>389480</v>
      </c>
      <c r="L287" s="392">
        <v>143135</v>
      </c>
      <c r="M287" s="392">
        <v>0</v>
      </c>
      <c r="N287" s="392">
        <v>131928</v>
      </c>
      <c r="O287" s="392">
        <v>4272</v>
      </c>
      <c r="P287" s="392">
        <v>0</v>
      </c>
      <c r="Q287" s="392">
        <v>2432970</v>
      </c>
      <c r="R287" s="392">
        <v>3245757</v>
      </c>
      <c r="S287" s="392">
        <v>125864</v>
      </c>
      <c r="T287" s="392">
        <v>304139</v>
      </c>
      <c r="U287" s="392">
        <v>706075</v>
      </c>
      <c r="V287" s="392">
        <v>7746</v>
      </c>
      <c r="W287" s="392">
        <v>208206</v>
      </c>
      <c r="X287" s="392">
        <v>77382</v>
      </c>
      <c r="Y287" s="392">
        <v>282050</v>
      </c>
      <c r="Z287" s="392">
        <v>0</v>
      </c>
      <c r="AA287" s="392">
        <v>3579633</v>
      </c>
      <c r="AB287" s="392">
        <v>0</v>
      </c>
      <c r="AC287" s="392">
        <v>657891</v>
      </c>
      <c r="AD287" s="392">
        <v>18104</v>
      </c>
      <c r="AE287" s="392">
        <v>55606</v>
      </c>
      <c r="AF287" s="392">
        <v>206365</v>
      </c>
      <c r="AG287" s="392">
        <v>9474820</v>
      </c>
      <c r="AH287" s="392">
        <v>4600000</v>
      </c>
      <c r="AI287" s="392">
        <v>446909</v>
      </c>
      <c r="AJ287" s="392">
        <v>0</v>
      </c>
      <c r="AK287" s="392">
        <v>14521729</v>
      </c>
      <c r="AL287" s="392">
        <v>1706176</v>
      </c>
      <c r="AM287" s="392">
        <v>4927221</v>
      </c>
      <c r="AN287" s="392">
        <v>169176</v>
      </c>
      <c r="AO287" s="392">
        <v>266925</v>
      </c>
      <c r="AP287" s="392">
        <v>278250</v>
      </c>
      <c r="AQ287" s="392">
        <v>356291</v>
      </c>
      <c r="AR287" s="392">
        <v>102920</v>
      </c>
      <c r="AS287" s="392">
        <v>730487</v>
      </c>
      <c r="AT287" s="392">
        <v>468266</v>
      </c>
      <c r="AU287" s="392">
        <v>304672</v>
      </c>
      <c r="AV287" s="392">
        <v>55736</v>
      </c>
      <c r="AW287" s="392">
        <v>5435940</v>
      </c>
      <c r="AX287" s="392">
        <v>275384</v>
      </c>
      <c r="AY287" s="786">
        <v>423668</v>
      </c>
      <c r="AZ287" s="392">
        <v>2432970</v>
      </c>
      <c r="BA287" s="639">
        <f>SUM(SNAMEB[[#This Row],[Instruction Expenditures]:[Transfers Out/OtherFinancing]])+SUM(SNAMEB[[#This Row],[General Fund Balance]:[Other Enterprise FundBalance]])</f>
        <v>16227906</v>
      </c>
      <c r="BB287" s="639">
        <f>SUM(SNAMEB[[#This Row],[Property Tax Revenue]:[IDEA/Other Fed Revenue]])+SNAMEB[General Long-term DebtProceeds]+SNAMEB[TransfersIn/Other Financing]+SNAMEB[Fixed Asset Disposition]+SNAMEB[Beginning Fund Balance]</f>
        <v>16227903</v>
      </c>
    </row>
    <row r="288" spans="1:54" x14ac:dyDescent="0.2">
      <c r="A288" s="390">
        <v>15</v>
      </c>
      <c r="B288" s="391" t="s">
        <v>361</v>
      </c>
      <c r="C288" s="631">
        <v>6462</v>
      </c>
      <c r="D288" t="s">
        <v>1303</v>
      </c>
      <c r="E288" s="392">
        <v>395068</v>
      </c>
      <c r="F288" s="392">
        <v>74422</v>
      </c>
      <c r="G288" s="392">
        <v>534242</v>
      </c>
      <c r="H288" s="392">
        <v>0</v>
      </c>
      <c r="I288" s="392">
        <v>0</v>
      </c>
      <c r="J288" s="392">
        <v>0</v>
      </c>
      <c r="K288" s="392">
        <v>623533</v>
      </c>
      <c r="L288" s="392">
        <v>166387</v>
      </c>
      <c r="M288" s="392">
        <v>0</v>
      </c>
      <c r="N288" s="392">
        <v>1203</v>
      </c>
      <c r="O288" s="392">
        <v>-21899</v>
      </c>
      <c r="P288" s="392">
        <v>0</v>
      </c>
      <c r="Q288" s="392">
        <v>1772956</v>
      </c>
      <c r="R288" s="392">
        <v>1463262</v>
      </c>
      <c r="S288" s="392">
        <v>56247</v>
      </c>
      <c r="T288" s="392">
        <v>146473</v>
      </c>
      <c r="U288" s="392">
        <v>101161</v>
      </c>
      <c r="V288" s="392">
        <v>1089</v>
      </c>
      <c r="W288" s="392">
        <v>56273</v>
      </c>
      <c r="X288" s="392">
        <v>125050</v>
      </c>
      <c r="Y288" s="392">
        <v>54368</v>
      </c>
      <c r="Z288" s="392">
        <v>0</v>
      </c>
      <c r="AA288" s="392">
        <v>1476960</v>
      </c>
      <c r="AB288" s="392">
        <v>0</v>
      </c>
      <c r="AC288" s="392">
        <v>360163</v>
      </c>
      <c r="AD288" s="392">
        <v>6863</v>
      </c>
      <c r="AE288" s="392">
        <v>63480</v>
      </c>
      <c r="AF288" s="392">
        <v>155819</v>
      </c>
      <c r="AG288" s="392">
        <v>4067209</v>
      </c>
      <c r="AH288" s="392">
        <v>0</v>
      </c>
      <c r="AI288" s="392">
        <v>150398</v>
      </c>
      <c r="AJ288" s="392">
        <v>0</v>
      </c>
      <c r="AK288" s="392">
        <v>4217607</v>
      </c>
      <c r="AL288" s="392">
        <v>1343078</v>
      </c>
      <c r="AM288" s="392">
        <v>2325366</v>
      </c>
      <c r="AN288" s="392">
        <v>18348</v>
      </c>
      <c r="AO288" s="392">
        <v>16800</v>
      </c>
      <c r="AP288" s="392">
        <v>73137</v>
      </c>
      <c r="AQ288" s="392">
        <v>234854</v>
      </c>
      <c r="AR288" s="392">
        <v>37123</v>
      </c>
      <c r="AS288" s="392">
        <v>310552</v>
      </c>
      <c r="AT288" s="392">
        <v>268027</v>
      </c>
      <c r="AU288" s="392">
        <v>98871</v>
      </c>
      <c r="AV288" s="392">
        <v>6067</v>
      </c>
      <c r="AW288" s="392">
        <v>136081</v>
      </c>
      <c r="AX288" s="392">
        <v>115067</v>
      </c>
      <c r="AY288" s="786">
        <v>147436</v>
      </c>
      <c r="AZ288" s="392">
        <v>1772956</v>
      </c>
      <c r="BA288" s="639">
        <f>SUM(SNAMEB[[#This Row],[Instruction Expenditures]:[Transfers Out/OtherFinancing]])+SUM(SNAMEB[[#This Row],[General Fund Balance]:[Other Enterprise FundBalance]])</f>
        <v>5560685</v>
      </c>
      <c r="BB288" s="639">
        <f>SUM(SNAMEB[[#This Row],[Property Tax Revenue]:[IDEA/Other Fed Revenue]])+SNAMEB[General Long-term DebtProceeds]+SNAMEB[TransfersIn/Other Financing]+SNAMEB[Fixed Asset Disposition]+SNAMEB[Beginning Fund Balance]</f>
        <v>5560684</v>
      </c>
    </row>
    <row r="289" spans="1:54" x14ac:dyDescent="0.2">
      <c r="A289" s="390">
        <v>7</v>
      </c>
      <c r="B289" s="391" t="s">
        <v>362</v>
      </c>
      <c r="C289" s="631">
        <v>6471</v>
      </c>
      <c r="D289" t="s">
        <v>1304</v>
      </c>
      <c r="E289" s="392">
        <v>366200</v>
      </c>
      <c r="F289" s="392">
        <v>154423</v>
      </c>
      <c r="G289" s="392">
        <v>101301</v>
      </c>
      <c r="H289" s="392">
        <v>0</v>
      </c>
      <c r="I289" s="392">
        <v>0</v>
      </c>
      <c r="J289" s="392">
        <v>0</v>
      </c>
      <c r="K289" s="392">
        <v>292204</v>
      </c>
      <c r="L289" s="392">
        <v>119354</v>
      </c>
      <c r="M289" s="392">
        <v>0</v>
      </c>
      <c r="N289" s="392">
        <v>0</v>
      </c>
      <c r="O289" s="392">
        <v>68803</v>
      </c>
      <c r="P289" s="392">
        <v>-17589</v>
      </c>
      <c r="Q289" s="392">
        <v>1084697</v>
      </c>
      <c r="R289" s="392">
        <v>1920270</v>
      </c>
      <c r="S289" s="392">
        <v>41650</v>
      </c>
      <c r="T289" s="392">
        <v>189467</v>
      </c>
      <c r="U289" s="392">
        <v>106330</v>
      </c>
      <c r="V289" s="392">
        <v>21811</v>
      </c>
      <c r="W289" s="392">
        <v>118339</v>
      </c>
      <c r="X289" s="392">
        <v>187517</v>
      </c>
      <c r="Y289" s="392">
        <v>145364</v>
      </c>
      <c r="Z289" s="392">
        <v>0</v>
      </c>
      <c r="AA289" s="392">
        <v>2625020</v>
      </c>
      <c r="AB289" s="392">
        <v>0</v>
      </c>
      <c r="AC289" s="392">
        <v>449932</v>
      </c>
      <c r="AD289" s="392">
        <v>12291</v>
      </c>
      <c r="AE289" s="392">
        <v>42584</v>
      </c>
      <c r="AF289" s="392">
        <v>174896</v>
      </c>
      <c r="AG289" s="392">
        <v>6035470</v>
      </c>
      <c r="AH289" s="392">
        <v>56551</v>
      </c>
      <c r="AI289" s="392">
        <v>339524</v>
      </c>
      <c r="AJ289" s="392">
        <v>0</v>
      </c>
      <c r="AK289" s="392">
        <v>6431545</v>
      </c>
      <c r="AL289" s="392">
        <v>719805</v>
      </c>
      <c r="AM289" s="392">
        <v>3431543</v>
      </c>
      <c r="AN289" s="392">
        <v>83260</v>
      </c>
      <c r="AO289" s="392">
        <v>163157</v>
      </c>
      <c r="AP289" s="392">
        <v>155694</v>
      </c>
      <c r="AQ289" s="392">
        <v>283723</v>
      </c>
      <c r="AR289" s="392">
        <v>79128</v>
      </c>
      <c r="AS289" s="392">
        <v>412567</v>
      </c>
      <c r="AT289" s="392">
        <v>244899</v>
      </c>
      <c r="AU289" s="392">
        <v>223915</v>
      </c>
      <c r="AV289" s="392">
        <v>120763</v>
      </c>
      <c r="AW289" s="392">
        <v>338950</v>
      </c>
      <c r="AX289" s="392">
        <v>189131</v>
      </c>
      <c r="AY289" s="786">
        <v>339924</v>
      </c>
      <c r="AZ289" s="392">
        <v>1084697</v>
      </c>
      <c r="BA289" s="639">
        <f>SUM(SNAMEB[[#This Row],[Instruction Expenditures]:[Transfers Out/OtherFinancing]])+SUM(SNAMEB[[#This Row],[General Fund Balance]:[Other Enterprise FundBalance]])</f>
        <v>7151350</v>
      </c>
      <c r="BB289" s="639">
        <f>SUM(SNAMEB[[#This Row],[Property Tax Revenue]:[IDEA/Other Fed Revenue]])+SNAMEB[General Long-term DebtProceeds]+SNAMEB[TransfersIn/Other Financing]+SNAMEB[Fixed Asset Disposition]+SNAMEB[Beginning Fund Balance]</f>
        <v>7151351</v>
      </c>
    </row>
    <row r="290" spans="1:54" x14ac:dyDescent="0.2">
      <c r="A290" s="390">
        <v>1</v>
      </c>
      <c r="B290" s="391" t="s">
        <v>363</v>
      </c>
      <c r="C290" s="631">
        <v>6509</v>
      </c>
      <c r="D290" t="s">
        <v>1305</v>
      </c>
      <c r="E290" s="392">
        <v>899650</v>
      </c>
      <c r="F290" s="392">
        <v>232518</v>
      </c>
      <c r="G290" s="392">
        <v>806440</v>
      </c>
      <c r="H290" s="392">
        <v>0</v>
      </c>
      <c r="I290" s="392">
        <v>0</v>
      </c>
      <c r="J290" s="392">
        <v>0</v>
      </c>
      <c r="K290" s="392">
        <v>317467</v>
      </c>
      <c r="L290" s="392">
        <v>172950</v>
      </c>
      <c r="M290" s="392">
        <v>0</v>
      </c>
      <c r="N290" s="392">
        <v>0</v>
      </c>
      <c r="O290" s="392">
        <v>46929</v>
      </c>
      <c r="P290" s="392">
        <v>-34666</v>
      </c>
      <c r="Q290" s="392">
        <v>2441288</v>
      </c>
      <c r="R290" s="392">
        <v>2372423</v>
      </c>
      <c r="S290" s="392">
        <v>45945</v>
      </c>
      <c r="T290" s="392">
        <v>0</v>
      </c>
      <c r="U290" s="392">
        <v>322779</v>
      </c>
      <c r="V290" s="392">
        <v>4220</v>
      </c>
      <c r="W290" s="392">
        <v>139160</v>
      </c>
      <c r="X290" s="392">
        <v>244335</v>
      </c>
      <c r="Y290" s="392">
        <v>390377</v>
      </c>
      <c r="Z290" s="392">
        <v>0</v>
      </c>
      <c r="AA290" s="392">
        <v>1876527</v>
      </c>
      <c r="AB290" s="392">
        <v>0</v>
      </c>
      <c r="AC290" s="392">
        <v>387912</v>
      </c>
      <c r="AD290" s="392">
        <v>21394</v>
      </c>
      <c r="AE290" s="392">
        <v>37412</v>
      </c>
      <c r="AF290" s="392">
        <v>240855</v>
      </c>
      <c r="AG290" s="392">
        <v>6083339</v>
      </c>
      <c r="AH290" s="392">
        <v>0</v>
      </c>
      <c r="AI290" s="392">
        <v>3335</v>
      </c>
      <c r="AJ290" s="392">
        <v>0</v>
      </c>
      <c r="AK290" s="392">
        <v>6086674</v>
      </c>
      <c r="AL290" s="392">
        <v>2326165</v>
      </c>
      <c r="AM290" s="392">
        <v>3437960</v>
      </c>
      <c r="AN290" s="392">
        <v>190207</v>
      </c>
      <c r="AO290" s="392">
        <v>60309</v>
      </c>
      <c r="AP290" s="392">
        <v>259260</v>
      </c>
      <c r="AQ290" s="392">
        <v>210757</v>
      </c>
      <c r="AR290" s="392">
        <v>100142</v>
      </c>
      <c r="AS290" s="392">
        <v>385569</v>
      </c>
      <c r="AT290" s="392">
        <v>369316</v>
      </c>
      <c r="AU290" s="392">
        <v>267147</v>
      </c>
      <c r="AV290" s="392">
        <v>513691</v>
      </c>
      <c r="AW290" s="392">
        <v>0</v>
      </c>
      <c r="AX290" s="392">
        <v>177105</v>
      </c>
      <c r="AY290" s="786">
        <v>88</v>
      </c>
      <c r="AZ290" s="392">
        <v>2441288</v>
      </c>
      <c r="BA290" s="639">
        <f>SUM(SNAMEB[[#This Row],[Instruction Expenditures]:[Transfers Out/OtherFinancing]])+SUM(SNAMEB[[#This Row],[General Fund Balance]:[Other Enterprise FundBalance]])</f>
        <v>8412839</v>
      </c>
      <c r="BB290" s="639">
        <f>SUM(SNAMEB[[#This Row],[Property Tax Revenue]:[IDEA/Other Fed Revenue]])+SNAMEB[General Long-term DebtProceeds]+SNAMEB[TransfersIn/Other Financing]+SNAMEB[Fixed Asset Disposition]+SNAMEB[Beginning Fund Balance]</f>
        <v>8412839</v>
      </c>
    </row>
    <row r="291" spans="1:54" x14ac:dyDescent="0.2">
      <c r="A291" s="390">
        <v>11</v>
      </c>
      <c r="B291" s="391" t="s">
        <v>364</v>
      </c>
      <c r="C291" s="631">
        <v>6512</v>
      </c>
      <c r="D291" t="s">
        <v>1306</v>
      </c>
      <c r="E291" s="392">
        <v>826780</v>
      </c>
      <c r="F291" s="392">
        <v>64952</v>
      </c>
      <c r="G291" s="392">
        <v>63983</v>
      </c>
      <c r="H291" s="392">
        <v>0</v>
      </c>
      <c r="I291" s="392">
        <v>0</v>
      </c>
      <c r="J291" s="392">
        <v>0</v>
      </c>
      <c r="K291" s="392">
        <v>639980</v>
      </c>
      <c r="L291" s="392">
        <v>561</v>
      </c>
      <c r="M291" s="392">
        <v>0</v>
      </c>
      <c r="N291" s="392">
        <v>0</v>
      </c>
      <c r="O291" s="392">
        <v>19510</v>
      </c>
      <c r="P291" s="392">
        <v>0</v>
      </c>
      <c r="Q291" s="392">
        <v>1615767</v>
      </c>
      <c r="R291" s="392">
        <v>1780645</v>
      </c>
      <c r="S291" s="392">
        <v>112777</v>
      </c>
      <c r="T291" s="392">
        <v>166711</v>
      </c>
      <c r="U291" s="392">
        <v>375448</v>
      </c>
      <c r="V291" s="392">
        <v>2257</v>
      </c>
      <c r="W291" s="392">
        <v>81696</v>
      </c>
      <c r="X291" s="392">
        <v>124078</v>
      </c>
      <c r="Y291" s="392">
        <v>141919</v>
      </c>
      <c r="Z291" s="392">
        <v>0</v>
      </c>
      <c r="AA291" s="392">
        <v>2189285</v>
      </c>
      <c r="AB291" s="392">
        <v>0</v>
      </c>
      <c r="AC291" s="392">
        <v>395302</v>
      </c>
      <c r="AD291" s="392">
        <v>10595</v>
      </c>
      <c r="AE291" s="392">
        <v>82891</v>
      </c>
      <c r="AF291" s="392">
        <v>198065</v>
      </c>
      <c r="AG291" s="392">
        <v>5661669</v>
      </c>
      <c r="AH291" s="392">
        <v>0</v>
      </c>
      <c r="AI291" s="392">
        <v>0</v>
      </c>
      <c r="AJ291" s="392">
        <v>0</v>
      </c>
      <c r="AK291" s="392">
        <v>5661669</v>
      </c>
      <c r="AL291" s="392">
        <v>803982</v>
      </c>
      <c r="AM291" s="392">
        <v>2877284</v>
      </c>
      <c r="AN291" s="392">
        <v>112936</v>
      </c>
      <c r="AO291" s="392">
        <v>134872</v>
      </c>
      <c r="AP291" s="392">
        <v>159490</v>
      </c>
      <c r="AQ291" s="392">
        <v>243212</v>
      </c>
      <c r="AR291" s="392">
        <v>51887</v>
      </c>
      <c r="AS291" s="392">
        <v>388992</v>
      </c>
      <c r="AT291" s="392">
        <v>193992</v>
      </c>
      <c r="AU291" s="392">
        <v>181911</v>
      </c>
      <c r="AV291" s="392">
        <v>274844</v>
      </c>
      <c r="AW291" s="392">
        <v>0</v>
      </c>
      <c r="AX291" s="392">
        <v>149397</v>
      </c>
      <c r="AY291" s="786">
        <v>81067</v>
      </c>
      <c r="AZ291" s="392">
        <v>1615767</v>
      </c>
      <c r="BA291" s="639">
        <f>SUM(SNAMEB[[#This Row],[Instruction Expenditures]:[Transfers Out/OtherFinancing]])+SUM(SNAMEB[[#This Row],[General Fund Balance]:[Other Enterprise FundBalance]])</f>
        <v>6465650</v>
      </c>
      <c r="BB291" s="639">
        <f>SUM(SNAMEB[[#This Row],[Property Tax Revenue]:[IDEA/Other Fed Revenue]])+SNAMEB[General Long-term DebtProceeds]+SNAMEB[TransfersIn/Other Financing]+SNAMEB[Fixed Asset Disposition]+SNAMEB[Beginning Fund Balance]</f>
        <v>6465651</v>
      </c>
    </row>
    <row r="292" spans="1:54" x14ac:dyDescent="0.2">
      <c r="A292" s="390">
        <v>5</v>
      </c>
      <c r="B292" s="391" t="s">
        <v>365</v>
      </c>
      <c r="C292" s="631">
        <v>6516</v>
      </c>
      <c r="D292" t="s">
        <v>1307</v>
      </c>
      <c r="E292" s="392">
        <v>2187969</v>
      </c>
      <c r="F292" s="392">
        <v>12324</v>
      </c>
      <c r="G292" s="392">
        <v>480815</v>
      </c>
      <c r="H292" s="392">
        <v>0</v>
      </c>
      <c r="I292" s="392">
        <v>0</v>
      </c>
      <c r="J292" s="392">
        <v>0</v>
      </c>
      <c r="K292" s="392">
        <v>357093</v>
      </c>
      <c r="L292" s="392">
        <v>150245</v>
      </c>
      <c r="M292" s="392">
        <v>0</v>
      </c>
      <c r="N292" s="392">
        <v>0</v>
      </c>
      <c r="O292" s="392">
        <v>3140</v>
      </c>
      <c r="P292" s="392">
        <v>0</v>
      </c>
      <c r="Q292" s="392">
        <v>3191586</v>
      </c>
      <c r="R292" s="392">
        <v>1142280</v>
      </c>
      <c r="S292" s="392">
        <v>26178</v>
      </c>
      <c r="T292" s="392">
        <v>83783</v>
      </c>
      <c r="U292" s="392">
        <v>4783</v>
      </c>
      <c r="V292" s="392">
        <v>8447</v>
      </c>
      <c r="W292" s="392">
        <v>9522</v>
      </c>
      <c r="X292" s="392">
        <v>0</v>
      </c>
      <c r="Y292" s="392">
        <v>1821</v>
      </c>
      <c r="Z292" s="392">
        <v>0</v>
      </c>
      <c r="AA292" s="392">
        <v>869909</v>
      </c>
      <c r="AB292" s="392">
        <v>0</v>
      </c>
      <c r="AC292" s="392">
        <v>183314</v>
      </c>
      <c r="AD292" s="392">
        <v>12910</v>
      </c>
      <c r="AE292" s="392">
        <v>38864</v>
      </c>
      <c r="AF292" s="392">
        <v>66862</v>
      </c>
      <c r="AG292" s="392">
        <v>2448673</v>
      </c>
      <c r="AH292" s="392">
        <v>0</v>
      </c>
      <c r="AI292" s="392">
        <v>958</v>
      </c>
      <c r="AJ292" s="392">
        <v>0</v>
      </c>
      <c r="AK292" s="392">
        <v>2449631</v>
      </c>
      <c r="AL292" s="392">
        <v>2969382</v>
      </c>
      <c r="AM292" s="392">
        <v>1400044</v>
      </c>
      <c r="AN292" s="392">
        <v>38499</v>
      </c>
      <c r="AO292" s="392">
        <v>55882</v>
      </c>
      <c r="AP292" s="392">
        <v>67007</v>
      </c>
      <c r="AQ292" s="392">
        <v>163533</v>
      </c>
      <c r="AR292" s="392">
        <v>47937</v>
      </c>
      <c r="AS292" s="392">
        <v>137646</v>
      </c>
      <c r="AT292" s="392">
        <v>96326</v>
      </c>
      <c r="AU292" s="392">
        <v>36620</v>
      </c>
      <c r="AV292" s="392">
        <v>108575</v>
      </c>
      <c r="AW292" s="392">
        <v>0</v>
      </c>
      <c r="AX292" s="392">
        <v>75358</v>
      </c>
      <c r="AY292" s="786">
        <v>0</v>
      </c>
      <c r="AZ292" s="392">
        <v>3191586</v>
      </c>
      <c r="BA292" s="639">
        <f>SUM(SNAMEB[[#This Row],[Instruction Expenditures]:[Transfers Out/OtherFinancing]])+SUM(SNAMEB[[#This Row],[General Fund Balance]:[Other Enterprise FundBalance]])</f>
        <v>5419013</v>
      </c>
      <c r="BB292" s="639">
        <f>SUM(SNAMEB[[#This Row],[Property Tax Revenue]:[IDEA/Other Fed Revenue]])+SNAMEB[General Long-term DebtProceeds]+SNAMEB[TransfersIn/Other Financing]+SNAMEB[Fixed Asset Disposition]+SNAMEB[Beginning Fund Balance]</f>
        <v>5419013</v>
      </c>
    </row>
    <row r="293" spans="1:54" x14ac:dyDescent="0.2">
      <c r="A293" s="390">
        <v>13</v>
      </c>
      <c r="B293" s="391" t="s">
        <v>366</v>
      </c>
      <c r="C293" s="631">
        <v>6534</v>
      </c>
      <c r="D293" t="s">
        <v>1312</v>
      </c>
      <c r="E293" s="392">
        <v>752276</v>
      </c>
      <c r="F293" s="392">
        <v>54440</v>
      </c>
      <c r="G293" s="392">
        <v>113227</v>
      </c>
      <c r="H293" s="392">
        <v>0</v>
      </c>
      <c r="I293" s="392">
        <v>0</v>
      </c>
      <c r="J293" s="392">
        <v>0</v>
      </c>
      <c r="K293" s="392">
        <v>293725</v>
      </c>
      <c r="L293" s="392">
        <v>16448</v>
      </c>
      <c r="M293" s="392">
        <v>0</v>
      </c>
      <c r="N293" s="392">
        <v>849445</v>
      </c>
      <c r="O293" s="392">
        <v>13550</v>
      </c>
      <c r="P293" s="392">
        <v>38902</v>
      </c>
      <c r="Q293" s="392">
        <v>2132013</v>
      </c>
      <c r="R293" s="392">
        <v>3345558</v>
      </c>
      <c r="S293" s="392">
        <v>162644</v>
      </c>
      <c r="T293" s="392">
        <v>0</v>
      </c>
      <c r="U293" s="392">
        <v>1146261</v>
      </c>
      <c r="V293" s="392">
        <v>3282</v>
      </c>
      <c r="W293" s="392">
        <v>271261</v>
      </c>
      <c r="X293" s="392">
        <v>358966</v>
      </c>
      <c r="Y293" s="392">
        <v>206159</v>
      </c>
      <c r="Z293" s="392">
        <v>0</v>
      </c>
      <c r="AA293" s="392">
        <v>3632793</v>
      </c>
      <c r="AB293" s="392">
        <v>0</v>
      </c>
      <c r="AC293" s="392">
        <v>698902</v>
      </c>
      <c r="AD293" s="392">
        <v>20451</v>
      </c>
      <c r="AE293" s="392">
        <v>33044</v>
      </c>
      <c r="AF293" s="392">
        <v>191308</v>
      </c>
      <c r="AG293" s="392">
        <v>10070629</v>
      </c>
      <c r="AH293" s="392">
        <v>0</v>
      </c>
      <c r="AI293" s="392">
        <v>467950</v>
      </c>
      <c r="AJ293" s="392">
        <v>1200</v>
      </c>
      <c r="AK293" s="392">
        <v>10539779</v>
      </c>
      <c r="AL293" s="392">
        <v>2106489</v>
      </c>
      <c r="AM293" s="392">
        <v>5406794</v>
      </c>
      <c r="AN293" s="392">
        <v>199922</v>
      </c>
      <c r="AO293" s="392">
        <v>298217</v>
      </c>
      <c r="AP293" s="392">
        <v>271345</v>
      </c>
      <c r="AQ293" s="392">
        <v>459492</v>
      </c>
      <c r="AR293" s="392">
        <v>219820</v>
      </c>
      <c r="AS293" s="392">
        <v>859487</v>
      </c>
      <c r="AT293" s="392">
        <v>455653</v>
      </c>
      <c r="AU293" s="392">
        <v>456434</v>
      </c>
      <c r="AV293" s="392">
        <v>272022</v>
      </c>
      <c r="AW293" s="392">
        <v>873579</v>
      </c>
      <c r="AX293" s="392">
        <v>287854</v>
      </c>
      <c r="AY293" s="786">
        <v>453637</v>
      </c>
      <c r="AZ293" s="392">
        <v>2132013</v>
      </c>
      <c r="BA293" s="639">
        <f>SUM(SNAMEB[[#This Row],[Instruction Expenditures]:[Transfers Out/OtherFinancing]])+SUM(SNAMEB[[#This Row],[General Fund Balance]:[Other Enterprise FundBalance]])</f>
        <v>12646269</v>
      </c>
      <c r="BB293" s="639">
        <f>SUM(SNAMEB[[#This Row],[Property Tax Revenue]:[IDEA/Other Fed Revenue]])+SNAMEB[General Long-term DebtProceeds]+SNAMEB[TransfersIn/Other Financing]+SNAMEB[Fixed Asset Disposition]+SNAMEB[Beginning Fund Balance]</f>
        <v>12646268</v>
      </c>
    </row>
    <row r="294" spans="1:54" x14ac:dyDescent="0.2">
      <c r="A294" s="390">
        <v>7</v>
      </c>
      <c r="B294" s="391" t="s">
        <v>170</v>
      </c>
      <c r="C294" s="631">
        <v>6536</v>
      </c>
      <c r="D294" t="s">
        <v>639</v>
      </c>
      <c r="E294" s="392">
        <v>1436830</v>
      </c>
      <c r="F294" s="392">
        <v>151367</v>
      </c>
      <c r="G294" s="392">
        <v>797721</v>
      </c>
      <c r="H294" s="392">
        <v>0</v>
      </c>
      <c r="I294" s="392">
        <v>28938</v>
      </c>
      <c r="J294" s="392">
        <v>0</v>
      </c>
      <c r="K294" s="392">
        <v>493341</v>
      </c>
      <c r="L294" s="392">
        <v>73395</v>
      </c>
      <c r="M294" s="392">
        <v>0</v>
      </c>
      <c r="N294" s="392">
        <v>905131</v>
      </c>
      <c r="O294" s="392">
        <v>-23859</v>
      </c>
      <c r="P294" s="392">
        <v>0</v>
      </c>
      <c r="Q294" s="392">
        <v>3862864</v>
      </c>
      <c r="R294" s="392">
        <v>4654343</v>
      </c>
      <c r="S294" s="392">
        <v>132596</v>
      </c>
      <c r="T294" s="392">
        <v>461672</v>
      </c>
      <c r="U294" s="392">
        <v>397711</v>
      </c>
      <c r="V294" s="392">
        <v>5898</v>
      </c>
      <c r="W294" s="392">
        <v>389282</v>
      </c>
      <c r="X294" s="392">
        <v>469932</v>
      </c>
      <c r="Y294" s="392">
        <v>179232</v>
      </c>
      <c r="Z294" s="392">
        <v>0</v>
      </c>
      <c r="AA294" s="392">
        <v>6728105</v>
      </c>
      <c r="AB294" s="392">
        <v>0</v>
      </c>
      <c r="AC294" s="392">
        <v>1522946</v>
      </c>
      <c r="AD294" s="392">
        <v>26782</v>
      </c>
      <c r="AE294" s="392">
        <v>108291</v>
      </c>
      <c r="AF294" s="392">
        <v>400658</v>
      </c>
      <c r="AG294" s="392">
        <v>15477450</v>
      </c>
      <c r="AH294" s="392">
        <v>0</v>
      </c>
      <c r="AI294" s="392">
        <v>801032</v>
      </c>
      <c r="AJ294" s="392">
        <v>21503</v>
      </c>
      <c r="AK294" s="392">
        <v>16299985</v>
      </c>
      <c r="AL294" s="392">
        <v>3881493</v>
      </c>
      <c r="AM294" s="392">
        <v>8799431</v>
      </c>
      <c r="AN294" s="392">
        <v>452286</v>
      </c>
      <c r="AO294" s="392">
        <v>666382</v>
      </c>
      <c r="AP294" s="392">
        <v>218189</v>
      </c>
      <c r="AQ294" s="392">
        <v>879143</v>
      </c>
      <c r="AR294" s="392">
        <v>236835</v>
      </c>
      <c r="AS294" s="392">
        <v>1146574</v>
      </c>
      <c r="AT294" s="392">
        <v>957637</v>
      </c>
      <c r="AU294" s="392">
        <v>657779</v>
      </c>
      <c r="AV294" s="392">
        <v>135394</v>
      </c>
      <c r="AW294" s="392">
        <v>698709</v>
      </c>
      <c r="AX294" s="392">
        <v>522613</v>
      </c>
      <c r="AY294" s="786">
        <v>947641</v>
      </c>
      <c r="AZ294" s="392">
        <v>3862864</v>
      </c>
      <c r="BA294" s="639">
        <f>SUM(SNAMEB[[#This Row],[Instruction Expenditures]:[Transfers Out/OtherFinancing]])+SUM(SNAMEB[[#This Row],[General Fund Balance]:[Other Enterprise FundBalance]])</f>
        <v>20181477</v>
      </c>
      <c r="BB294" s="639">
        <f>SUM(SNAMEB[[#This Row],[Property Tax Revenue]:[IDEA/Other Fed Revenue]])+SNAMEB[General Long-term DebtProceeds]+SNAMEB[TransfersIn/Other Financing]+SNAMEB[Fixed Asset Disposition]+SNAMEB[Beginning Fund Balance]</f>
        <v>20181476</v>
      </c>
    </row>
    <row r="295" spans="1:54" x14ac:dyDescent="0.2">
      <c r="A295" s="390">
        <v>11</v>
      </c>
      <c r="B295" s="391" t="s">
        <v>367</v>
      </c>
      <c r="C295" s="631">
        <v>6561</v>
      </c>
      <c r="D295" t="s">
        <v>1313</v>
      </c>
      <c r="E295" s="392">
        <v>714600</v>
      </c>
      <c r="F295" s="392">
        <v>9</v>
      </c>
      <c r="G295" s="392">
        <v>313218</v>
      </c>
      <c r="H295" s="392">
        <v>0</v>
      </c>
      <c r="I295" s="392">
        <v>0</v>
      </c>
      <c r="J295" s="392">
        <v>0</v>
      </c>
      <c r="K295" s="392">
        <v>1207344</v>
      </c>
      <c r="L295" s="392">
        <v>505639</v>
      </c>
      <c r="M295" s="392">
        <v>0</v>
      </c>
      <c r="N295" s="392">
        <v>0</v>
      </c>
      <c r="O295" s="392">
        <v>1410</v>
      </c>
      <c r="P295" s="392">
        <v>231001</v>
      </c>
      <c r="Q295" s="392">
        <v>2973222</v>
      </c>
      <c r="R295" s="392">
        <v>2032295</v>
      </c>
      <c r="S295" s="392">
        <v>41681</v>
      </c>
      <c r="T295" s="392">
        <v>167961</v>
      </c>
      <c r="U295" s="392">
        <v>972292</v>
      </c>
      <c r="V295" s="392">
        <v>1222</v>
      </c>
      <c r="W295" s="392">
        <v>63153</v>
      </c>
      <c r="X295" s="392">
        <v>0</v>
      </c>
      <c r="Y295" s="392">
        <v>384814</v>
      </c>
      <c r="Z295" s="392">
        <v>0</v>
      </c>
      <c r="AA295" s="392">
        <v>1231133</v>
      </c>
      <c r="AB295" s="392">
        <v>0</v>
      </c>
      <c r="AC295" s="392">
        <v>455940</v>
      </c>
      <c r="AD295" s="392">
        <v>30662</v>
      </c>
      <c r="AE295" s="392">
        <v>48678</v>
      </c>
      <c r="AF295" s="392">
        <v>147142</v>
      </c>
      <c r="AG295" s="392">
        <v>5576972</v>
      </c>
      <c r="AH295" s="392">
        <v>0</v>
      </c>
      <c r="AI295" s="392">
        <v>0</v>
      </c>
      <c r="AJ295" s="392">
        <v>5956</v>
      </c>
      <c r="AK295" s="392">
        <v>5582928</v>
      </c>
      <c r="AL295" s="392">
        <v>3125390</v>
      </c>
      <c r="AM295" s="392">
        <v>3829890</v>
      </c>
      <c r="AN295" s="392">
        <v>113088</v>
      </c>
      <c r="AO295" s="392">
        <v>298898</v>
      </c>
      <c r="AP295" s="392">
        <v>202162</v>
      </c>
      <c r="AQ295" s="392">
        <v>75578</v>
      </c>
      <c r="AR295" s="392">
        <v>120446</v>
      </c>
      <c r="AS295" s="392">
        <v>310901</v>
      </c>
      <c r="AT295" s="392">
        <v>235446</v>
      </c>
      <c r="AU295" s="392">
        <v>251035</v>
      </c>
      <c r="AV295" s="392">
        <v>167064</v>
      </c>
      <c r="AW295" s="392">
        <v>0</v>
      </c>
      <c r="AX295" s="392">
        <v>130587</v>
      </c>
      <c r="AY295" s="786">
        <v>0</v>
      </c>
      <c r="AZ295" s="392">
        <v>2973222</v>
      </c>
      <c r="BA295" s="639">
        <f>SUM(SNAMEB[[#This Row],[Instruction Expenditures]:[Transfers Out/OtherFinancing]])+SUM(SNAMEB[[#This Row],[General Fund Balance]:[Other Enterprise FundBalance]])</f>
        <v>8708316</v>
      </c>
      <c r="BB295" s="639">
        <f>SUM(SNAMEB[[#This Row],[Property Tax Revenue]:[IDEA/Other Fed Revenue]])+SNAMEB[General Long-term DebtProceeds]+SNAMEB[TransfersIn/Other Financing]+SNAMEB[Fixed Asset Disposition]+SNAMEB[Beginning Fund Balance]</f>
        <v>8708319</v>
      </c>
    </row>
    <row r="296" spans="1:54" x14ac:dyDescent="0.2">
      <c r="A296" s="390">
        <v>11</v>
      </c>
      <c r="B296" s="391" t="s">
        <v>368</v>
      </c>
      <c r="C296" s="631">
        <v>6579</v>
      </c>
      <c r="D296" t="s">
        <v>1314</v>
      </c>
      <c r="E296" s="392">
        <v>5326094</v>
      </c>
      <c r="F296" s="392">
        <v>191301</v>
      </c>
      <c r="G296" s="392">
        <v>928517</v>
      </c>
      <c r="H296" s="392">
        <v>108605</v>
      </c>
      <c r="I296" s="392">
        <v>0</v>
      </c>
      <c r="J296" s="392">
        <v>0</v>
      </c>
      <c r="K296" s="392">
        <v>5283916</v>
      </c>
      <c r="L296" s="392">
        <v>1034857</v>
      </c>
      <c r="M296" s="392">
        <v>0</v>
      </c>
      <c r="N296" s="392">
        <v>2027951</v>
      </c>
      <c r="O296" s="392">
        <v>1237447</v>
      </c>
      <c r="P296" s="392">
        <v>-545859</v>
      </c>
      <c r="Q296" s="392">
        <v>15592829</v>
      </c>
      <c r="R296" s="392">
        <v>19068756</v>
      </c>
      <c r="S296" s="392">
        <v>990329</v>
      </c>
      <c r="T296" s="392">
        <v>0</v>
      </c>
      <c r="U296" s="392">
        <v>6808022</v>
      </c>
      <c r="V296" s="392">
        <v>2222</v>
      </c>
      <c r="W296" s="392">
        <v>1098771</v>
      </c>
      <c r="X296" s="392">
        <v>614486</v>
      </c>
      <c r="Y296" s="392">
        <v>2733254</v>
      </c>
      <c r="Z296" s="392">
        <v>50283</v>
      </c>
      <c r="AA296" s="392">
        <v>18840764</v>
      </c>
      <c r="AB296" s="392">
        <v>0</v>
      </c>
      <c r="AC296" s="392">
        <v>4624635</v>
      </c>
      <c r="AD296" s="392">
        <v>709745</v>
      </c>
      <c r="AE296" s="392">
        <v>297995</v>
      </c>
      <c r="AF296" s="392">
        <v>1424806</v>
      </c>
      <c r="AG296" s="392">
        <v>57264068</v>
      </c>
      <c r="AH296" s="392">
        <v>0</v>
      </c>
      <c r="AI296" s="392">
        <v>2247321</v>
      </c>
      <c r="AJ296" s="392">
        <v>27862</v>
      </c>
      <c r="AK296" s="392">
        <v>59539251</v>
      </c>
      <c r="AL296" s="392">
        <v>16431141</v>
      </c>
      <c r="AM296" s="392">
        <v>29197896</v>
      </c>
      <c r="AN296" s="392">
        <v>1305528</v>
      </c>
      <c r="AO296" s="392">
        <v>2665705</v>
      </c>
      <c r="AP296" s="392">
        <v>766938</v>
      </c>
      <c r="AQ296" s="392">
        <v>2908549</v>
      </c>
      <c r="AR296" s="392">
        <v>1543227</v>
      </c>
      <c r="AS296" s="392">
        <v>4116125</v>
      </c>
      <c r="AT296" s="392">
        <v>1237607</v>
      </c>
      <c r="AU296" s="392">
        <v>3261091</v>
      </c>
      <c r="AV296" s="392">
        <v>3431534</v>
      </c>
      <c r="AW296" s="392">
        <v>6311565</v>
      </c>
      <c r="AX296" s="392">
        <v>1384477</v>
      </c>
      <c r="AY296" s="786">
        <v>2247321</v>
      </c>
      <c r="AZ296" s="392">
        <v>15592829</v>
      </c>
      <c r="BA296" s="639">
        <f>SUM(SNAMEB[[#This Row],[Instruction Expenditures]:[Transfers Out/OtherFinancing]])+SUM(SNAMEB[[#This Row],[General Fund Balance]:[Other Enterprise FundBalance]])</f>
        <v>75970392</v>
      </c>
      <c r="BB296" s="639">
        <f>SUM(SNAMEB[[#This Row],[Property Tax Revenue]:[IDEA/Other Fed Revenue]])+SNAMEB[General Long-term DebtProceeds]+SNAMEB[TransfersIn/Other Financing]+SNAMEB[Fixed Asset Disposition]+SNAMEB[Beginning Fund Balance]</f>
        <v>75970392</v>
      </c>
    </row>
    <row r="297" spans="1:54" x14ac:dyDescent="0.2">
      <c r="A297" s="390">
        <v>1</v>
      </c>
      <c r="B297" s="391" t="s">
        <v>369</v>
      </c>
      <c r="C297" s="631">
        <v>6591</v>
      </c>
      <c r="D297" t="s">
        <v>1333</v>
      </c>
      <c r="E297" s="392">
        <v>1035114</v>
      </c>
      <c r="F297" s="392">
        <v>41495</v>
      </c>
      <c r="G297" s="392">
        <v>164547</v>
      </c>
      <c r="H297" s="392">
        <v>0</v>
      </c>
      <c r="I297" s="392">
        <v>0</v>
      </c>
      <c r="J297" s="392">
        <v>0</v>
      </c>
      <c r="K297" s="392">
        <v>1353172</v>
      </c>
      <c r="L297" s="392">
        <v>207130</v>
      </c>
      <c r="M297" s="392">
        <v>0</v>
      </c>
      <c r="N297" s="392">
        <v>0</v>
      </c>
      <c r="O297" s="392">
        <v>-53453</v>
      </c>
      <c r="P297" s="392">
        <v>0</v>
      </c>
      <c r="Q297" s="392">
        <v>2748006</v>
      </c>
      <c r="R297" s="392">
        <v>1823024</v>
      </c>
      <c r="S297" s="392">
        <v>44133</v>
      </c>
      <c r="T297" s="392">
        <v>152622</v>
      </c>
      <c r="U297" s="392">
        <v>920037</v>
      </c>
      <c r="V297" s="392">
        <v>15351</v>
      </c>
      <c r="W297" s="392">
        <v>124278</v>
      </c>
      <c r="X297" s="392">
        <v>50040</v>
      </c>
      <c r="Y297" s="392">
        <v>484876</v>
      </c>
      <c r="Z297" s="392">
        <v>0</v>
      </c>
      <c r="AA297" s="392">
        <v>2558524</v>
      </c>
      <c r="AB297" s="392">
        <v>0</v>
      </c>
      <c r="AC297" s="392">
        <v>544245</v>
      </c>
      <c r="AD297" s="392">
        <v>12929</v>
      </c>
      <c r="AE297" s="392">
        <v>62290</v>
      </c>
      <c r="AF297" s="392">
        <v>256510</v>
      </c>
      <c r="AG297" s="392">
        <v>7048858</v>
      </c>
      <c r="AH297" s="392">
        <v>319244</v>
      </c>
      <c r="AI297" s="392">
        <v>145628</v>
      </c>
      <c r="AJ297" s="392">
        <v>0</v>
      </c>
      <c r="AK297" s="392">
        <v>7513730</v>
      </c>
      <c r="AL297" s="392">
        <v>2461187</v>
      </c>
      <c r="AM297" s="392">
        <v>4499890</v>
      </c>
      <c r="AN297" s="392">
        <v>129181</v>
      </c>
      <c r="AO297" s="392">
        <v>270800</v>
      </c>
      <c r="AP297" s="392">
        <v>158679</v>
      </c>
      <c r="AQ297" s="392">
        <v>217498</v>
      </c>
      <c r="AR297" s="392">
        <v>92120</v>
      </c>
      <c r="AS297" s="392">
        <v>918226</v>
      </c>
      <c r="AT297" s="392">
        <v>191590</v>
      </c>
      <c r="AU297" s="392">
        <v>251094</v>
      </c>
      <c r="AV297" s="392">
        <v>41694</v>
      </c>
      <c r="AW297" s="392">
        <v>65888</v>
      </c>
      <c r="AX297" s="392">
        <v>182556</v>
      </c>
      <c r="AY297" s="786">
        <v>207696</v>
      </c>
      <c r="AZ297" s="392">
        <v>2748006</v>
      </c>
      <c r="BA297" s="639">
        <f>SUM(SNAMEB[[#This Row],[Instruction Expenditures]:[Transfers Out/OtherFinancing]])+SUM(SNAMEB[[#This Row],[General Fund Balance]:[Other Enterprise FundBalance]])</f>
        <v>9974917</v>
      </c>
      <c r="BB297" s="639">
        <f>SUM(SNAMEB[[#This Row],[Property Tax Revenue]:[IDEA/Other Fed Revenue]])+SNAMEB[General Long-term DebtProceeds]+SNAMEB[TransfersIn/Other Financing]+SNAMEB[Fixed Asset Disposition]+SNAMEB[Beginning Fund Balance]</f>
        <v>9974918</v>
      </c>
    </row>
    <row r="298" spans="1:54" x14ac:dyDescent="0.2">
      <c r="A298" s="390">
        <v>15</v>
      </c>
      <c r="B298" s="391" t="s">
        <v>370</v>
      </c>
      <c r="C298" s="631">
        <v>6592</v>
      </c>
      <c r="D298" t="s">
        <v>658</v>
      </c>
      <c r="E298" s="392">
        <v>420041</v>
      </c>
      <c r="F298" s="392">
        <v>123299</v>
      </c>
      <c r="G298" s="392">
        <v>280157</v>
      </c>
      <c r="H298" s="392">
        <v>0</v>
      </c>
      <c r="I298" s="392">
        <v>0</v>
      </c>
      <c r="J298" s="392">
        <v>0</v>
      </c>
      <c r="K298" s="392">
        <v>2569728</v>
      </c>
      <c r="L298" s="392">
        <v>285846</v>
      </c>
      <c r="M298" s="392">
        <v>0</v>
      </c>
      <c r="N298" s="392">
        <v>1441</v>
      </c>
      <c r="O298" s="392">
        <v>-24899</v>
      </c>
      <c r="P298" s="392">
        <v>0</v>
      </c>
      <c r="Q298" s="392">
        <v>3655613</v>
      </c>
      <c r="R298" s="392">
        <v>2613691</v>
      </c>
      <c r="S298" s="392">
        <v>47488</v>
      </c>
      <c r="T298" s="392">
        <v>307736</v>
      </c>
      <c r="U298" s="392">
        <v>363551</v>
      </c>
      <c r="V298" s="392">
        <v>19211</v>
      </c>
      <c r="W298" s="392">
        <v>131297</v>
      </c>
      <c r="X298" s="392">
        <v>233311</v>
      </c>
      <c r="Y298" s="392">
        <v>195829</v>
      </c>
      <c r="Z298" s="392">
        <v>0</v>
      </c>
      <c r="AA298" s="392">
        <v>3663687</v>
      </c>
      <c r="AB298" s="392">
        <v>0</v>
      </c>
      <c r="AC298" s="392">
        <v>585383</v>
      </c>
      <c r="AD298" s="392">
        <v>13231</v>
      </c>
      <c r="AE298" s="392">
        <v>181259</v>
      </c>
      <c r="AF298" s="392">
        <v>588915</v>
      </c>
      <c r="AG298" s="392">
        <v>8944590</v>
      </c>
      <c r="AH298" s="392">
        <v>4030000</v>
      </c>
      <c r="AI298" s="392">
        <v>549688</v>
      </c>
      <c r="AJ298" s="392">
        <v>0</v>
      </c>
      <c r="AK298" s="392">
        <v>13524278</v>
      </c>
      <c r="AL298" s="392">
        <v>3569427</v>
      </c>
      <c r="AM298" s="392">
        <v>5269375</v>
      </c>
      <c r="AN298" s="392">
        <v>262757</v>
      </c>
      <c r="AO298" s="392">
        <v>284968</v>
      </c>
      <c r="AP298" s="392">
        <v>363020</v>
      </c>
      <c r="AQ298" s="392">
        <v>430483</v>
      </c>
      <c r="AR298" s="392">
        <v>276913</v>
      </c>
      <c r="AS298" s="392">
        <v>613822</v>
      </c>
      <c r="AT298" s="392">
        <v>724841</v>
      </c>
      <c r="AU298" s="392">
        <v>315815</v>
      </c>
      <c r="AV298" s="392">
        <v>3523985</v>
      </c>
      <c r="AW298" s="392">
        <v>500000</v>
      </c>
      <c r="AX298" s="392">
        <v>270775</v>
      </c>
      <c r="AY298" s="786">
        <v>601336</v>
      </c>
      <c r="AZ298" s="392">
        <v>3655613</v>
      </c>
      <c r="BA298" s="639">
        <f>SUM(SNAMEB[[#This Row],[Instruction Expenditures]:[Transfers Out/OtherFinancing]])+SUM(SNAMEB[[#This Row],[General Fund Balance]:[Other Enterprise FundBalance]])</f>
        <v>17093703</v>
      </c>
      <c r="BB298" s="639">
        <f>SUM(SNAMEB[[#This Row],[Property Tax Revenue]:[IDEA/Other Fed Revenue]])+SNAMEB[General Long-term DebtProceeds]+SNAMEB[TransfersIn/Other Financing]+SNAMEB[Fixed Asset Disposition]+SNAMEB[Beginning Fund Balance]</f>
        <v>17093704</v>
      </c>
    </row>
    <row r="299" spans="1:54" x14ac:dyDescent="0.2">
      <c r="A299" s="390">
        <v>11</v>
      </c>
      <c r="B299" s="391" t="s">
        <v>371</v>
      </c>
      <c r="C299" s="631">
        <v>6615</v>
      </c>
      <c r="D299" t="s">
        <v>1334</v>
      </c>
      <c r="E299" s="392">
        <v>1195372</v>
      </c>
      <c r="F299" s="392">
        <v>71342</v>
      </c>
      <c r="G299" s="392">
        <v>400263</v>
      </c>
      <c r="H299" s="392">
        <v>0</v>
      </c>
      <c r="I299" s="392">
        <v>0</v>
      </c>
      <c r="J299" s="392">
        <v>0</v>
      </c>
      <c r="K299" s="392">
        <v>1745968</v>
      </c>
      <c r="L299" s="392">
        <v>325311</v>
      </c>
      <c r="M299" s="392">
        <v>0</v>
      </c>
      <c r="N299" s="392">
        <v>32560</v>
      </c>
      <c r="O299" s="392">
        <v>13624</v>
      </c>
      <c r="P299" s="392">
        <v>0</v>
      </c>
      <c r="Q299" s="392">
        <v>3784441</v>
      </c>
      <c r="R299" s="392">
        <v>2850247</v>
      </c>
      <c r="S299" s="392">
        <v>267263</v>
      </c>
      <c r="T299" s="392">
        <v>251962</v>
      </c>
      <c r="U299" s="392">
        <v>1173831</v>
      </c>
      <c r="V299" s="392">
        <v>8507</v>
      </c>
      <c r="W299" s="392">
        <v>234492</v>
      </c>
      <c r="X299" s="392">
        <v>201154</v>
      </c>
      <c r="Y299" s="392">
        <v>257299</v>
      </c>
      <c r="Z299" s="392">
        <v>0</v>
      </c>
      <c r="AA299" s="392">
        <v>3186883</v>
      </c>
      <c r="AB299" s="392">
        <v>0</v>
      </c>
      <c r="AC299" s="392">
        <v>591837</v>
      </c>
      <c r="AD299" s="392">
        <v>18280</v>
      </c>
      <c r="AE299" s="392">
        <v>25909</v>
      </c>
      <c r="AF299" s="392">
        <v>141365</v>
      </c>
      <c r="AG299" s="392">
        <v>9209029</v>
      </c>
      <c r="AH299" s="392">
        <v>4885000</v>
      </c>
      <c r="AI299" s="392">
        <v>330124</v>
      </c>
      <c r="AJ299" s="392">
        <v>0</v>
      </c>
      <c r="AK299" s="392">
        <v>14424153</v>
      </c>
      <c r="AL299" s="392">
        <v>7660824</v>
      </c>
      <c r="AM299" s="392">
        <v>5009426</v>
      </c>
      <c r="AN299" s="392">
        <v>118634</v>
      </c>
      <c r="AO299" s="392">
        <v>440369</v>
      </c>
      <c r="AP299" s="392">
        <v>303450</v>
      </c>
      <c r="AQ299" s="392">
        <v>384445</v>
      </c>
      <c r="AR299" s="392">
        <v>215323</v>
      </c>
      <c r="AS299" s="392">
        <v>839328</v>
      </c>
      <c r="AT299" s="392">
        <v>283314</v>
      </c>
      <c r="AU299" s="392">
        <v>314213</v>
      </c>
      <c r="AV299" s="392">
        <v>8683845</v>
      </c>
      <c r="AW299" s="392">
        <v>1143257</v>
      </c>
      <c r="AX299" s="392">
        <v>227108</v>
      </c>
      <c r="AY299" s="786">
        <v>337824</v>
      </c>
      <c r="AZ299" s="392">
        <v>3784441</v>
      </c>
      <c r="BA299" s="639">
        <f>SUM(SNAMEB[[#This Row],[Instruction Expenditures]:[Transfers Out/OtherFinancing]])+SUM(SNAMEB[[#This Row],[General Fund Balance]:[Other Enterprise FundBalance]])</f>
        <v>22084976</v>
      </c>
      <c r="BB299" s="639">
        <f>SUM(SNAMEB[[#This Row],[Property Tax Revenue]:[IDEA/Other Fed Revenue]])+SNAMEB[General Long-term DebtProceeds]+SNAMEB[TransfersIn/Other Financing]+SNAMEB[Fixed Asset Disposition]+SNAMEB[Beginning Fund Balance]</f>
        <v>22084977</v>
      </c>
    </row>
    <row r="300" spans="1:54" x14ac:dyDescent="0.2">
      <c r="A300" s="390">
        <v>13</v>
      </c>
      <c r="B300" s="391" t="s">
        <v>372</v>
      </c>
      <c r="C300" s="631">
        <v>6651</v>
      </c>
      <c r="D300" t="s">
        <v>1335</v>
      </c>
      <c r="E300" s="392">
        <v>979424</v>
      </c>
      <c r="F300" s="392">
        <v>17954</v>
      </c>
      <c r="G300" s="392">
        <v>332079</v>
      </c>
      <c r="H300" s="392">
        <v>0</v>
      </c>
      <c r="I300" s="392">
        <v>146394</v>
      </c>
      <c r="J300" s="392">
        <v>0</v>
      </c>
      <c r="K300" s="392">
        <v>199910</v>
      </c>
      <c r="L300" s="392">
        <v>6056</v>
      </c>
      <c r="M300" s="392">
        <v>0</v>
      </c>
      <c r="N300" s="392">
        <v>633722</v>
      </c>
      <c r="O300" s="392">
        <v>-3249</v>
      </c>
      <c r="P300" s="392">
        <v>9847</v>
      </c>
      <c r="Q300" s="392">
        <v>2322136</v>
      </c>
      <c r="R300" s="392">
        <v>2015004</v>
      </c>
      <c r="S300" s="392">
        <v>67163</v>
      </c>
      <c r="T300" s="392">
        <v>14800</v>
      </c>
      <c r="U300" s="392">
        <v>705727</v>
      </c>
      <c r="V300" s="392">
        <v>8554</v>
      </c>
      <c r="W300" s="392">
        <v>62686</v>
      </c>
      <c r="X300" s="392">
        <v>28550</v>
      </c>
      <c r="Y300" s="392">
        <v>91129</v>
      </c>
      <c r="Z300" s="392">
        <v>0</v>
      </c>
      <c r="AA300" s="392">
        <v>2044930</v>
      </c>
      <c r="AB300" s="392">
        <v>0</v>
      </c>
      <c r="AC300" s="392">
        <v>368117</v>
      </c>
      <c r="AD300" s="392">
        <v>10358</v>
      </c>
      <c r="AE300" s="392">
        <v>81745</v>
      </c>
      <c r="AF300" s="392">
        <v>175406</v>
      </c>
      <c r="AG300" s="392">
        <v>5674168</v>
      </c>
      <c r="AH300" s="392">
        <v>0</v>
      </c>
      <c r="AI300" s="392">
        <v>210649</v>
      </c>
      <c r="AJ300" s="392">
        <v>5753</v>
      </c>
      <c r="AK300" s="392">
        <v>5890571</v>
      </c>
      <c r="AL300" s="392">
        <v>1559221</v>
      </c>
      <c r="AM300" s="392">
        <v>2857602</v>
      </c>
      <c r="AN300" s="392">
        <v>76296</v>
      </c>
      <c r="AO300" s="392">
        <v>72009</v>
      </c>
      <c r="AP300" s="392">
        <v>183937</v>
      </c>
      <c r="AQ300" s="392">
        <v>181608</v>
      </c>
      <c r="AR300" s="392">
        <v>113044</v>
      </c>
      <c r="AS300" s="392">
        <v>405534</v>
      </c>
      <c r="AT300" s="392">
        <v>260925</v>
      </c>
      <c r="AU300" s="392">
        <v>188746</v>
      </c>
      <c r="AV300" s="392">
        <v>87704</v>
      </c>
      <c r="AW300" s="392">
        <v>367779</v>
      </c>
      <c r="AX300" s="392">
        <v>141849</v>
      </c>
      <c r="AY300" s="786">
        <v>190623</v>
      </c>
      <c r="AZ300" s="392">
        <v>2322136</v>
      </c>
      <c r="BA300" s="639">
        <f>SUM(SNAMEB[[#This Row],[Instruction Expenditures]:[Transfers Out/OtherFinancing]])+SUM(SNAMEB[[#This Row],[General Fund Balance]:[Other Enterprise FundBalance]])</f>
        <v>7449793</v>
      </c>
      <c r="BB300" s="639">
        <f>SUM(SNAMEB[[#This Row],[Property Tax Revenue]:[IDEA/Other Fed Revenue]])+SNAMEB[General Long-term DebtProceeds]+SNAMEB[TransfersIn/Other Financing]+SNAMEB[Fixed Asset Disposition]+SNAMEB[Beginning Fund Balance]</f>
        <v>7449792</v>
      </c>
    </row>
    <row r="301" spans="1:54" x14ac:dyDescent="0.2">
      <c r="A301" s="390">
        <v>10</v>
      </c>
      <c r="B301" s="391" t="s">
        <v>373</v>
      </c>
      <c r="C301" s="631">
        <v>6660</v>
      </c>
      <c r="D301" t="s">
        <v>652</v>
      </c>
      <c r="E301" s="392">
        <v>2546384</v>
      </c>
      <c r="F301" s="392">
        <v>285363</v>
      </c>
      <c r="G301" s="392">
        <v>741731</v>
      </c>
      <c r="H301" s="392">
        <v>0</v>
      </c>
      <c r="I301" s="392">
        <v>0</v>
      </c>
      <c r="J301" s="392">
        <v>0</v>
      </c>
      <c r="K301" s="392">
        <v>3040471</v>
      </c>
      <c r="L301" s="392">
        <v>1461743</v>
      </c>
      <c r="M301" s="392">
        <v>0</v>
      </c>
      <c r="N301" s="392">
        <v>243062</v>
      </c>
      <c r="O301" s="392">
        <v>-150998</v>
      </c>
      <c r="P301" s="392">
        <v>3218</v>
      </c>
      <c r="Q301" s="392">
        <v>8170975</v>
      </c>
      <c r="R301" s="392">
        <v>7251054</v>
      </c>
      <c r="S301" s="392">
        <v>179000</v>
      </c>
      <c r="T301" s="392">
        <v>625528</v>
      </c>
      <c r="U301" s="392">
        <v>448189</v>
      </c>
      <c r="V301" s="392">
        <v>4888</v>
      </c>
      <c r="W301" s="392">
        <v>418415</v>
      </c>
      <c r="X301" s="392">
        <v>590065</v>
      </c>
      <c r="Y301" s="392">
        <v>570601</v>
      </c>
      <c r="Z301" s="392">
        <v>0</v>
      </c>
      <c r="AA301" s="392">
        <v>9575726</v>
      </c>
      <c r="AB301" s="392">
        <v>0</v>
      </c>
      <c r="AC301" s="392">
        <v>2103523</v>
      </c>
      <c r="AD301" s="392">
        <v>93739</v>
      </c>
      <c r="AE301" s="392">
        <v>236898</v>
      </c>
      <c r="AF301" s="392">
        <v>1042338</v>
      </c>
      <c r="AG301" s="392">
        <v>23139966</v>
      </c>
      <c r="AH301" s="392">
        <v>0</v>
      </c>
      <c r="AI301" s="392">
        <v>180319</v>
      </c>
      <c r="AJ301" s="392">
        <v>21608</v>
      </c>
      <c r="AK301" s="392">
        <v>23341892</v>
      </c>
      <c r="AL301" s="392">
        <v>7116606</v>
      </c>
      <c r="AM301" s="392">
        <v>13233765</v>
      </c>
      <c r="AN301" s="392">
        <v>738601</v>
      </c>
      <c r="AO301" s="392">
        <v>1004047</v>
      </c>
      <c r="AP301" s="392">
        <v>301810</v>
      </c>
      <c r="AQ301" s="392">
        <v>957974</v>
      </c>
      <c r="AR301" s="392">
        <v>314204</v>
      </c>
      <c r="AS301" s="392">
        <v>1300451</v>
      </c>
      <c r="AT301" s="392">
        <v>789737</v>
      </c>
      <c r="AU301" s="392">
        <v>906443</v>
      </c>
      <c r="AV301" s="392">
        <v>858237</v>
      </c>
      <c r="AW301" s="392">
        <v>1051659</v>
      </c>
      <c r="AX301" s="392">
        <v>680526</v>
      </c>
      <c r="AY301" s="786">
        <v>150070</v>
      </c>
      <c r="AZ301" s="392">
        <v>8170975</v>
      </c>
      <c r="BA301" s="639">
        <f>SUM(SNAMEB[[#This Row],[Instruction Expenditures]:[Transfers Out/OtherFinancing]])+SUM(SNAMEB[[#This Row],[General Fund Balance]:[Other Enterprise FundBalance]])</f>
        <v>30458498</v>
      </c>
      <c r="BB301" s="639">
        <f>SUM(SNAMEB[[#This Row],[Property Tax Revenue]:[IDEA/Other Fed Revenue]])+SNAMEB[General Long-term DebtProceeds]+SNAMEB[TransfersIn/Other Financing]+SNAMEB[Fixed Asset Disposition]+SNAMEB[Beginning Fund Balance]</f>
        <v>30458497</v>
      </c>
    </row>
    <row r="302" spans="1:54" x14ac:dyDescent="0.2">
      <c r="A302" s="390">
        <v>15</v>
      </c>
      <c r="B302" s="391" t="s">
        <v>374</v>
      </c>
      <c r="C302" s="631">
        <v>6700</v>
      </c>
      <c r="D302" t="s">
        <v>1336</v>
      </c>
      <c r="E302" s="392">
        <v>1904204</v>
      </c>
      <c r="F302" s="392">
        <v>36688</v>
      </c>
      <c r="G302" s="392">
        <v>517105</v>
      </c>
      <c r="H302" s="392">
        <v>0</v>
      </c>
      <c r="I302" s="392">
        <v>0</v>
      </c>
      <c r="J302" s="392">
        <v>0</v>
      </c>
      <c r="K302" s="392">
        <v>413411</v>
      </c>
      <c r="L302" s="392">
        <v>6509</v>
      </c>
      <c r="M302" s="392">
        <v>0</v>
      </c>
      <c r="N302" s="392">
        <v>435594</v>
      </c>
      <c r="O302" s="392">
        <v>51034</v>
      </c>
      <c r="P302" s="392">
        <v>0</v>
      </c>
      <c r="Q302" s="392">
        <v>3364546</v>
      </c>
      <c r="R302" s="392">
        <v>2239497</v>
      </c>
      <c r="S302" s="392">
        <v>71150</v>
      </c>
      <c r="T302" s="392">
        <v>0</v>
      </c>
      <c r="U302" s="392">
        <v>426926</v>
      </c>
      <c r="V302" s="392">
        <v>4315</v>
      </c>
      <c r="W302" s="392">
        <v>106665</v>
      </c>
      <c r="X302" s="392">
        <v>157640</v>
      </c>
      <c r="Y302" s="392">
        <v>135115</v>
      </c>
      <c r="Z302" s="392">
        <v>0</v>
      </c>
      <c r="AA302" s="392">
        <v>3059385</v>
      </c>
      <c r="AB302" s="392">
        <v>0</v>
      </c>
      <c r="AC302" s="392">
        <v>450061</v>
      </c>
      <c r="AD302" s="392">
        <v>17233</v>
      </c>
      <c r="AE302" s="392">
        <v>71889</v>
      </c>
      <c r="AF302" s="392">
        <v>250420</v>
      </c>
      <c r="AG302" s="392">
        <v>6990297</v>
      </c>
      <c r="AH302" s="392">
        <v>0</v>
      </c>
      <c r="AI302" s="392">
        <v>294562</v>
      </c>
      <c r="AJ302" s="392">
        <v>0</v>
      </c>
      <c r="AK302" s="392">
        <v>7284859</v>
      </c>
      <c r="AL302" s="392">
        <v>3752207</v>
      </c>
      <c r="AM302" s="392">
        <v>4110392</v>
      </c>
      <c r="AN302" s="392">
        <v>104229</v>
      </c>
      <c r="AO302" s="392">
        <v>37083</v>
      </c>
      <c r="AP302" s="392">
        <v>175574</v>
      </c>
      <c r="AQ302" s="392">
        <v>294513</v>
      </c>
      <c r="AR302" s="392">
        <v>257966</v>
      </c>
      <c r="AS302" s="392">
        <v>388908</v>
      </c>
      <c r="AT302" s="392">
        <v>320353</v>
      </c>
      <c r="AU302" s="392">
        <v>198745</v>
      </c>
      <c r="AV302" s="392">
        <v>683297</v>
      </c>
      <c r="AW302" s="392">
        <v>621498</v>
      </c>
      <c r="AX302" s="392">
        <v>202929</v>
      </c>
      <c r="AY302" s="786">
        <v>277033</v>
      </c>
      <c r="AZ302" s="392">
        <v>3364546</v>
      </c>
      <c r="BA302" s="639">
        <f>SUM(SNAMEB[[#This Row],[Instruction Expenditures]:[Transfers Out/OtherFinancing]])+SUM(SNAMEB[[#This Row],[General Fund Balance]:[Other Enterprise FundBalance]])</f>
        <v>11037065</v>
      </c>
      <c r="BB302" s="639">
        <f>SUM(SNAMEB[[#This Row],[Property Tax Revenue]:[IDEA/Other Fed Revenue]])+SNAMEB[General Long-term DebtProceeds]+SNAMEB[TransfersIn/Other Financing]+SNAMEB[Fixed Asset Disposition]+SNAMEB[Beginning Fund Balance]</f>
        <v>11037065</v>
      </c>
    </row>
    <row r="303" spans="1:54" x14ac:dyDescent="0.2">
      <c r="A303" s="390">
        <v>15</v>
      </c>
      <c r="B303" s="391" t="s">
        <v>376</v>
      </c>
      <c r="C303" s="631">
        <v>6759</v>
      </c>
      <c r="D303" t="s">
        <v>1337</v>
      </c>
      <c r="E303" s="392">
        <v>1323180</v>
      </c>
      <c r="F303" s="392">
        <v>168034</v>
      </c>
      <c r="G303" s="392">
        <v>521474</v>
      </c>
      <c r="H303" s="392">
        <v>0</v>
      </c>
      <c r="I303" s="392">
        <v>0</v>
      </c>
      <c r="J303" s="392">
        <v>0</v>
      </c>
      <c r="K303" s="392">
        <v>4067695</v>
      </c>
      <c r="L303" s="392">
        <v>190549</v>
      </c>
      <c r="M303" s="392">
        <v>0</v>
      </c>
      <c r="N303" s="392">
        <v>394178</v>
      </c>
      <c r="O303" s="392">
        <v>-151184</v>
      </c>
      <c r="P303" s="392">
        <v>-7981</v>
      </c>
      <c r="Q303" s="392">
        <v>6505946</v>
      </c>
      <c r="R303" s="392">
        <v>2669254</v>
      </c>
      <c r="S303" s="392">
        <v>123664</v>
      </c>
      <c r="T303" s="392">
        <v>197979</v>
      </c>
      <c r="U303" s="392">
        <v>235160</v>
      </c>
      <c r="V303" s="392">
        <v>3878</v>
      </c>
      <c r="W303" s="392">
        <v>91994</v>
      </c>
      <c r="X303" s="392">
        <v>363924</v>
      </c>
      <c r="Y303" s="392">
        <v>139377</v>
      </c>
      <c r="Z303" s="392">
        <v>0</v>
      </c>
      <c r="AA303" s="392">
        <v>4333227</v>
      </c>
      <c r="AB303" s="392">
        <v>0</v>
      </c>
      <c r="AC303" s="392">
        <v>848260</v>
      </c>
      <c r="AD303" s="392">
        <v>30305</v>
      </c>
      <c r="AE303" s="392">
        <v>119175</v>
      </c>
      <c r="AF303" s="392">
        <v>344149</v>
      </c>
      <c r="AG303" s="392">
        <v>9500347</v>
      </c>
      <c r="AH303" s="392">
        <v>3580000</v>
      </c>
      <c r="AI303" s="392">
        <v>383608</v>
      </c>
      <c r="AJ303" s="392">
        <v>0</v>
      </c>
      <c r="AK303" s="392">
        <v>13463954</v>
      </c>
      <c r="AL303" s="392">
        <v>3017094</v>
      </c>
      <c r="AM303" s="392">
        <v>6090195</v>
      </c>
      <c r="AN303" s="392">
        <v>165436</v>
      </c>
      <c r="AO303" s="392">
        <v>58862</v>
      </c>
      <c r="AP303" s="392">
        <v>280475</v>
      </c>
      <c r="AQ303" s="392">
        <v>352488</v>
      </c>
      <c r="AR303" s="392">
        <v>83125</v>
      </c>
      <c r="AS303" s="392">
        <v>626662</v>
      </c>
      <c r="AT303" s="392">
        <v>332430</v>
      </c>
      <c r="AU303" s="392">
        <v>316710</v>
      </c>
      <c r="AV303" s="392">
        <v>618044</v>
      </c>
      <c r="AW303" s="392">
        <v>307909</v>
      </c>
      <c r="AX303" s="392">
        <v>294736</v>
      </c>
      <c r="AY303" s="786">
        <v>448031</v>
      </c>
      <c r="AZ303" s="392">
        <v>6505946</v>
      </c>
      <c r="BA303" s="639">
        <f>SUM(SNAMEB[[#This Row],[Instruction Expenditures]:[Transfers Out/OtherFinancing]])+SUM(SNAMEB[[#This Row],[General Fund Balance]:[Other Enterprise FundBalance]])</f>
        <v>16481048</v>
      </c>
      <c r="BB303" s="639">
        <f>SUM(SNAMEB[[#This Row],[Property Tax Revenue]:[IDEA/Other Fed Revenue]])+SNAMEB[General Long-term DebtProceeds]+SNAMEB[TransfersIn/Other Financing]+SNAMEB[Fixed Asset Disposition]+SNAMEB[Beginning Fund Balance]</f>
        <v>16481048</v>
      </c>
    </row>
    <row r="304" spans="1:54" x14ac:dyDescent="0.2">
      <c r="A304" s="390">
        <v>7</v>
      </c>
      <c r="B304" s="391" t="s">
        <v>377</v>
      </c>
      <c r="C304" s="631">
        <v>6762</v>
      </c>
      <c r="D304" t="s">
        <v>1338</v>
      </c>
      <c r="E304" s="392">
        <v>897922</v>
      </c>
      <c r="F304" s="392">
        <v>72597</v>
      </c>
      <c r="G304" s="392">
        <v>45091</v>
      </c>
      <c r="H304" s="392">
        <v>0</v>
      </c>
      <c r="I304" s="392">
        <v>0</v>
      </c>
      <c r="J304" s="392">
        <v>0</v>
      </c>
      <c r="K304" s="392">
        <v>1004876</v>
      </c>
      <c r="L304" s="392">
        <v>102029</v>
      </c>
      <c r="M304" s="392">
        <v>33283</v>
      </c>
      <c r="N304" s="392">
        <v>5498262</v>
      </c>
      <c r="O304" s="392">
        <v>-210855</v>
      </c>
      <c r="P304" s="392">
        <v>0</v>
      </c>
      <c r="Q304" s="392">
        <v>7443205</v>
      </c>
      <c r="R304" s="392">
        <v>2594732</v>
      </c>
      <c r="S304" s="392">
        <v>34688</v>
      </c>
      <c r="T304" s="392">
        <v>385263</v>
      </c>
      <c r="U304" s="392">
        <v>391497</v>
      </c>
      <c r="V304" s="392">
        <v>29219</v>
      </c>
      <c r="W304" s="392">
        <v>196029</v>
      </c>
      <c r="X304" s="392">
        <v>442590</v>
      </c>
      <c r="Y304" s="392">
        <v>126383</v>
      </c>
      <c r="Z304" s="392">
        <v>0</v>
      </c>
      <c r="AA304" s="392">
        <v>4199042</v>
      </c>
      <c r="AB304" s="392">
        <v>0</v>
      </c>
      <c r="AC304" s="392">
        <v>696349</v>
      </c>
      <c r="AD304" s="392">
        <v>46678</v>
      </c>
      <c r="AE304" s="392">
        <v>75093</v>
      </c>
      <c r="AF304" s="392">
        <v>310058</v>
      </c>
      <c r="AG304" s="392">
        <v>9527622</v>
      </c>
      <c r="AH304" s="392">
        <v>5583228</v>
      </c>
      <c r="AI304" s="392">
        <v>947952</v>
      </c>
      <c r="AJ304" s="392">
        <v>0</v>
      </c>
      <c r="AK304" s="392">
        <v>16058801</v>
      </c>
      <c r="AL304" s="392">
        <v>1960298</v>
      </c>
      <c r="AM304" s="392">
        <v>5466368</v>
      </c>
      <c r="AN304" s="392">
        <v>172884</v>
      </c>
      <c r="AO304" s="392">
        <v>26231</v>
      </c>
      <c r="AP304" s="392">
        <v>230723</v>
      </c>
      <c r="AQ304" s="392">
        <v>476372</v>
      </c>
      <c r="AR304" s="392">
        <v>233486</v>
      </c>
      <c r="AS304" s="392">
        <v>772741</v>
      </c>
      <c r="AT304" s="392">
        <v>194053</v>
      </c>
      <c r="AU304" s="392">
        <v>302346</v>
      </c>
      <c r="AV304" s="392">
        <v>128599</v>
      </c>
      <c r="AW304" s="392">
        <v>1043738</v>
      </c>
      <c r="AX304" s="392">
        <v>301015</v>
      </c>
      <c r="AY304" s="786">
        <v>1227339</v>
      </c>
      <c r="AZ304" s="392">
        <v>7443205</v>
      </c>
      <c r="BA304" s="639">
        <f>SUM(SNAMEB[[#This Row],[Instruction Expenditures]:[Transfers Out/OtherFinancing]])+SUM(SNAMEB[[#This Row],[General Fund Balance]:[Other Enterprise FundBalance]])</f>
        <v>18019100</v>
      </c>
      <c r="BB304" s="639">
        <f>SUM(SNAMEB[[#This Row],[Property Tax Revenue]:[IDEA/Other Fed Revenue]])+SNAMEB[General Long-term DebtProceeds]+SNAMEB[TransfersIn/Other Financing]+SNAMEB[Fixed Asset Disposition]+SNAMEB[Beginning Fund Balance]</f>
        <v>18019099</v>
      </c>
    </row>
    <row r="305" spans="1:54" x14ac:dyDescent="0.2">
      <c r="A305" s="390">
        <v>10</v>
      </c>
      <c r="B305" s="391" t="s">
        <v>378</v>
      </c>
      <c r="C305" s="631">
        <v>6768</v>
      </c>
      <c r="D305" t="s">
        <v>1339</v>
      </c>
      <c r="E305" s="392">
        <v>4518444</v>
      </c>
      <c r="F305" s="392">
        <v>42238</v>
      </c>
      <c r="G305" s="392">
        <v>554051</v>
      </c>
      <c r="H305" s="392">
        <v>0</v>
      </c>
      <c r="I305" s="392">
        <v>0</v>
      </c>
      <c r="J305" s="392">
        <v>0</v>
      </c>
      <c r="K305" s="392">
        <v>1106804</v>
      </c>
      <c r="L305" s="392">
        <v>518578</v>
      </c>
      <c r="M305" s="392">
        <v>3033133</v>
      </c>
      <c r="N305" s="392">
        <v>11219509</v>
      </c>
      <c r="O305" s="392">
        <v>220888</v>
      </c>
      <c r="P305" s="392">
        <v>0</v>
      </c>
      <c r="Q305" s="392">
        <v>21213646</v>
      </c>
      <c r="R305" s="392">
        <v>5804747</v>
      </c>
      <c r="S305" s="392">
        <v>145786</v>
      </c>
      <c r="T305" s="392">
        <v>782297</v>
      </c>
      <c r="U305" s="392">
        <v>560251</v>
      </c>
      <c r="V305" s="392">
        <v>317099</v>
      </c>
      <c r="W305" s="392">
        <v>340017</v>
      </c>
      <c r="X305" s="392">
        <v>324097</v>
      </c>
      <c r="Y305" s="392">
        <v>5475959</v>
      </c>
      <c r="Z305" s="392">
        <v>0</v>
      </c>
      <c r="AA305" s="392">
        <v>11875691</v>
      </c>
      <c r="AB305" s="392">
        <v>0</v>
      </c>
      <c r="AC305" s="392">
        <v>1818143</v>
      </c>
      <c r="AD305" s="392">
        <v>113162</v>
      </c>
      <c r="AE305" s="392">
        <v>361716</v>
      </c>
      <c r="AF305" s="392">
        <v>976152</v>
      </c>
      <c r="AG305" s="392">
        <v>28895118</v>
      </c>
      <c r="AH305" s="392">
        <v>2365745</v>
      </c>
      <c r="AI305" s="392">
        <v>1579430</v>
      </c>
      <c r="AJ305" s="392">
        <v>0</v>
      </c>
      <c r="AK305" s="392">
        <v>32840293</v>
      </c>
      <c r="AL305" s="392">
        <v>20196376</v>
      </c>
      <c r="AM305" s="392">
        <v>13342923</v>
      </c>
      <c r="AN305" s="392">
        <v>624271</v>
      </c>
      <c r="AO305" s="392">
        <v>515711</v>
      </c>
      <c r="AP305" s="392">
        <v>362983</v>
      </c>
      <c r="AQ305" s="392">
        <v>1229358</v>
      </c>
      <c r="AR305" s="392">
        <v>629824</v>
      </c>
      <c r="AS305" s="392">
        <v>1441385</v>
      </c>
      <c r="AT305" s="392">
        <v>1096213</v>
      </c>
      <c r="AU305" s="392">
        <v>880279</v>
      </c>
      <c r="AV305" s="392">
        <v>7309536</v>
      </c>
      <c r="AW305" s="392">
        <v>2048174</v>
      </c>
      <c r="AX305" s="392">
        <v>762936</v>
      </c>
      <c r="AY305" s="786">
        <v>1579430</v>
      </c>
      <c r="AZ305" s="392">
        <v>21213646</v>
      </c>
      <c r="BA305" s="639">
        <f>SUM(SNAMEB[[#This Row],[Instruction Expenditures]:[Transfers Out/OtherFinancing]])+SUM(SNAMEB[[#This Row],[General Fund Balance]:[Other Enterprise FundBalance]])</f>
        <v>53036668</v>
      </c>
      <c r="BB305" s="639">
        <f>SUM(SNAMEB[[#This Row],[Property Tax Revenue]:[IDEA/Other Fed Revenue]])+SNAMEB[General Long-term DebtProceeds]+SNAMEB[TransfersIn/Other Financing]+SNAMEB[Fixed Asset Disposition]+SNAMEB[Beginning Fund Balance]</f>
        <v>53036668</v>
      </c>
    </row>
    <row r="306" spans="1:54" x14ac:dyDescent="0.2">
      <c r="A306" s="390">
        <v>7</v>
      </c>
      <c r="B306" s="391" t="s">
        <v>379</v>
      </c>
      <c r="C306" s="631">
        <v>6795</v>
      </c>
      <c r="D306" t="s">
        <v>1340</v>
      </c>
      <c r="E306" s="392">
        <v>11470366</v>
      </c>
      <c r="F306" s="392">
        <v>1182868</v>
      </c>
      <c r="G306" s="392">
        <v>1821752</v>
      </c>
      <c r="H306" s="392">
        <v>0</v>
      </c>
      <c r="I306" s="392">
        <v>0</v>
      </c>
      <c r="J306" s="392">
        <v>0</v>
      </c>
      <c r="K306" s="392">
        <v>6056342</v>
      </c>
      <c r="L306" s="392">
        <v>1544443</v>
      </c>
      <c r="M306" s="392">
        <v>0</v>
      </c>
      <c r="N306" s="392">
        <v>16537007</v>
      </c>
      <c r="O306" s="392">
        <v>0</v>
      </c>
      <c r="P306" s="392">
        <v>0</v>
      </c>
      <c r="Q306" s="392">
        <v>38612778</v>
      </c>
      <c r="R306" s="392">
        <v>39230838</v>
      </c>
      <c r="S306" s="392">
        <v>1583367</v>
      </c>
      <c r="T306" s="392">
        <v>0</v>
      </c>
      <c r="U306" s="392">
        <v>776660</v>
      </c>
      <c r="V306" s="392">
        <v>371365</v>
      </c>
      <c r="W306" s="392">
        <v>1275072</v>
      </c>
      <c r="X306" s="392">
        <v>1843613</v>
      </c>
      <c r="Y306" s="392">
        <v>987428</v>
      </c>
      <c r="Z306" s="392">
        <v>0</v>
      </c>
      <c r="AA306" s="392">
        <v>80054737</v>
      </c>
      <c r="AB306" s="392">
        <v>0</v>
      </c>
      <c r="AC306" s="392">
        <v>11524263</v>
      </c>
      <c r="AD306" s="392">
        <v>1418670</v>
      </c>
      <c r="AE306" s="392">
        <v>4411206</v>
      </c>
      <c r="AF306" s="392">
        <v>10131026</v>
      </c>
      <c r="AG306" s="392">
        <v>153608243</v>
      </c>
      <c r="AH306" s="392">
        <v>0</v>
      </c>
      <c r="AI306" s="392">
        <v>7385491</v>
      </c>
      <c r="AJ306" s="392">
        <v>18825</v>
      </c>
      <c r="AK306" s="392">
        <v>161012559</v>
      </c>
      <c r="AL306" s="392">
        <v>29196221</v>
      </c>
      <c r="AM306" s="392">
        <v>86140157</v>
      </c>
      <c r="AN306" s="392">
        <v>4825386</v>
      </c>
      <c r="AO306" s="392">
        <v>2843417</v>
      </c>
      <c r="AP306" s="392">
        <v>2741836</v>
      </c>
      <c r="AQ306" s="392">
        <v>7971747</v>
      </c>
      <c r="AR306" s="392">
        <v>3903061</v>
      </c>
      <c r="AS306" s="392">
        <v>11197993</v>
      </c>
      <c r="AT306" s="392">
        <v>4732893</v>
      </c>
      <c r="AU306" s="392">
        <v>6559996</v>
      </c>
      <c r="AV306" s="392">
        <v>1835138</v>
      </c>
      <c r="AW306" s="392">
        <v>6222109</v>
      </c>
      <c r="AX306" s="392">
        <v>5236777</v>
      </c>
      <c r="AY306" s="786">
        <v>7385491</v>
      </c>
      <c r="AZ306" s="392">
        <v>38612778</v>
      </c>
      <c r="BA306" s="639">
        <f>SUM(SNAMEB[[#This Row],[Instruction Expenditures]:[Transfers Out/OtherFinancing]])+SUM(SNAMEB[[#This Row],[General Fund Balance]:[Other Enterprise FundBalance]])</f>
        <v>190208779</v>
      </c>
      <c r="BB306" s="639">
        <f>SUM(SNAMEB[[#This Row],[Property Tax Revenue]:[IDEA/Other Fed Revenue]])+SNAMEB[General Long-term DebtProceeds]+SNAMEB[TransfersIn/Other Financing]+SNAMEB[Fixed Asset Disposition]+SNAMEB[Beginning Fund Balance]</f>
        <v>190208782</v>
      </c>
    </row>
    <row r="307" spans="1:54" x14ac:dyDescent="0.2">
      <c r="A307" s="390">
        <v>11</v>
      </c>
      <c r="B307" s="391" t="s">
        <v>380</v>
      </c>
      <c r="C307" s="631">
        <v>6822</v>
      </c>
      <c r="D307" t="s">
        <v>1341</v>
      </c>
      <c r="E307" s="392">
        <v>7827446</v>
      </c>
      <c r="F307" s="392">
        <v>567944</v>
      </c>
      <c r="G307" s="392">
        <v>2931464</v>
      </c>
      <c r="H307" s="392">
        <v>0</v>
      </c>
      <c r="I307" s="392">
        <v>0</v>
      </c>
      <c r="J307" s="392">
        <v>0</v>
      </c>
      <c r="K307" s="392">
        <v>31510559</v>
      </c>
      <c r="L307" s="392">
        <v>15214442</v>
      </c>
      <c r="M307" s="392">
        <v>579402</v>
      </c>
      <c r="N307" s="392">
        <v>921108</v>
      </c>
      <c r="O307" s="392">
        <v>2868047</v>
      </c>
      <c r="P307" s="392">
        <v>1232342</v>
      </c>
      <c r="Q307" s="392">
        <v>63652754</v>
      </c>
      <c r="R307" s="392">
        <v>51762194</v>
      </c>
      <c r="S307" s="392">
        <v>209555</v>
      </c>
      <c r="T307" s="392">
        <v>0</v>
      </c>
      <c r="U307" s="392">
        <v>1801997</v>
      </c>
      <c r="V307" s="392">
        <v>146860</v>
      </c>
      <c r="W307" s="392">
        <v>3609390</v>
      </c>
      <c r="X307" s="392">
        <v>1030226</v>
      </c>
      <c r="Y307" s="392">
        <v>4216929</v>
      </c>
      <c r="Z307" s="392">
        <v>0</v>
      </c>
      <c r="AA307" s="392">
        <v>44839010</v>
      </c>
      <c r="AB307" s="392">
        <v>0</v>
      </c>
      <c r="AC307" s="392">
        <v>11608003</v>
      </c>
      <c r="AD307" s="392">
        <v>2316036</v>
      </c>
      <c r="AE307" s="392">
        <v>223288</v>
      </c>
      <c r="AF307" s="392">
        <v>2652248</v>
      </c>
      <c r="AG307" s="392">
        <v>124415738</v>
      </c>
      <c r="AH307" s="392">
        <v>15208799</v>
      </c>
      <c r="AI307" s="392">
        <v>9590861</v>
      </c>
      <c r="AJ307" s="392">
        <v>0</v>
      </c>
      <c r="AK307" s="392">
        <v>149215398</v>
      </c>
      <c r="AL307" s="392">
        <v>70502026</v>
      </c>
      <c r="AM307" s="392">
        <v>59794621</v>
      </c>
      <c r="AN307" s="392">
        <v>3248902</v>
      </c>
      <c r="AO307" s="392">
        <v>7135086</v>
      </c>
      <c r="AP307" s="392">
        <v>322007</v>
      </c>
      <c r="AQ307" s="392">
        <v>3907597</v>
      </c>
      <c r="AR307" s="392">
        <v>2349323</v>
      </c>
      <c r="AS307" s="392">
        <v>7101560</v>
      </c>
      <c r="AT307" s="392">
        <v>3775422</v>
      </c>
      <c r="AU307" s="392">
        <v>7148159</v>
      </c>
      <c r="AV307" s="392">
        <v>26564964</v>
      </c>
      <c r="AW307" s="392">
        <v>21757896</v>
      </c>
      <c r="AX307" s="392">
        <v>3761743</v>
      </c>
      <c r="AY307" s="786">
        <v>9197391</v>
      </c>
      <c r="AZ307" s="392">
        <v>63652754</v>
      </c>
      <c r="BA307" s="639">
        <f>SUM(SNAMEB[[#This Row],[Instruction Expenditures]:[Transfers Out/OtherFinancing]])+SUM(SNAMEB[[#This Row],[General Fund Balance]:[Other Enterprise FundBalance]])</f>
        <v>219717425</v>
      </c>
      <c r="BB307" s="639">
        <f>SUM(SNAMEB[[#This Row],[Property Tax Revenue]:[IDEA/Other Fed Revenue]])+SNAMEB[General Long-term DebtProceeds]+SNAMEB[TransfersIn/Other Financing]+SNAMEB[Fixed Asset Disposition]+SNAMEB[Beginning Fund Balance]</f>
        <v>219717422</v>
      </c>
    </row>
    <row r="308" spans="1:54" x14ac:dyDescent="0.2">
      <c r="A308" s="390">
        <v>7</v>
      </c>
      <c r="B308" s="391" t="s">
        <v>381</v>
      </c>
      <c r="C308" s="631">
        <v>6840</v>
      </c>
      <c r="D308" t="s">
        <v>1342</v>
      </c>
      <c r="E308" s="392">
        <v>4222003</v>
      </c>
      <c r="F308" s="392">
        <v>389106</v>
      </c>
      <c r="G308" s="392">
        <v>537372</v>
      </c>
      <c r="H308" s="392">
        <v>0</v>
      </c>
      <c r="I308" s="392">
        <v>0</v>
      </c>
      <c r="J308" s="392">
        <v>0</v>
      </c>
      <c r="K308" s="392">
        <v>2782785</v>
      </c>
      <c r="L308" s="392">
        <v>1536398</v>
      </c>
      <c r="M308" s="392">
        <v>0</v>
      </c>
      <c r="N308" s="392">
        <v>1002349</v>
      </c>
      <c r="O308" s="392">
        <v>-52083</v>
      </c>
      <c r="P308" s="392">
        <v>0</v>
      </c>
      <c r="Q308" s="392">
        <v>10417929</v>
      </c>
      <c r="R308" s="392">
        <v>9738097</v>
      </c>
      <c r="S308" s="392">
        <v>356442</v>
      </c>
      <c r="T308" s="392">
        <v>849856</v>
      </c>
      <c r="U308" s="392">
        <v>2331156</v>
      </c>
      <c r="V308" s="392">
        <v>30987</v>
      </c>
      <c r="W308" s="392">
        <v>800663</v>
      </c>
      <c r="X308" s="392">
        <v>970032</v>
      </c>
      <c r="Y308" s="392">
        <v>696961</v>
      </c>
      <c r="Z308" s="392">
        <v>0</v>
      </c>
      <c r="AA308" s="392">
        <v>11761248</v>
      </c>
      <c r="AB308" s="392">
        <v>0</v>
      </c>
      <c r="AC308" s="392">
        <v>2822240</v>
      </c>
      <c r="AD308" s="392">
        <v>288934</v>
      </c>
      <c r="AE308" s="392">
        <v>212304</v>
      </c>
      <c r="AF308" s="392">
        <v>851298</v>
      </c>
      <c r="AG308" s="392">
        <v>31710218</v>
      </c>
      <c r="AH308" s="392">
        <v>1760000</v>
      </c>
      <c r="AI308" s="392">
        <v>905425</v>
      </c>
      <c r="AJ308" s="392">
        <v>3692</v>
      </c>
      <c r="AK308" s="392">
        <v>34379335</v>
      </c>
      <c r="AL308" s="392">
        <v>6975642</v>
      </c>
      <c r="AM308" s="392">
        <v>17049504</v>
      </c>
      <c r="AN308" s="392">
        <v>537573</v>
      </c>
      <c r="AO308" s="392">
        <v>718316</v>
      </c>
      <c r="AP308" s="392">
        <v>439623</v>
      </c>
      <c r="AQ308" s="392">
        <v>1056433</v>
      </c>
      <c r="AR308" s="392">
        <v>658279</v>
      </c>
      <c r="AS308" s="392">
        <v>1689674</v>
      </c>
      <c r="AT308" s="392">
        <v>911756</v>
      </c>
      <c r="AU308" s="392">
        <v>1095276</v>
      </c>
      <c r="AV308" s="392">
        <v>869889</v>
      </c>
      <c r="AW308" s="392">
        <v>4106952</v>
      </c>
      <c r="AX308" s="392">
        <v>895143</v>
      </c>
      <c r="AY308" s="786">
        <v>908630</v>
      </c>
      <c r="AZ308" s="392">
        <v>10417929</v>
      </c>
      <c r="BA308" s="639">
        <f>SUM(SNAMEB[[#This Row],[Instruction Expenditures]:[Transfers Out/OtherFinancing]])+SUM(SNAMEB[[#This Row],[General Fund Balance]:[Other Enterprise FundBalance]])</f>
        <v>41354978</v>
      </c>
      <c r="BB308" s="639">
        <f>SUM(SNAMEB[[#This Row],[Property Tax Revenue]:[IDEA/Other Fed Revenue]])+SNAMEB[General Long-term DebtProceeds]+SNAMEB[TransfersIn/Other Financing]+SNAMEB[Fixed Asset Disposition]+SNAMEB[Beginning Fund Balance]</f>
        <v>41354977</v>
      </c>
    </row>
    <row r="309" spans="1:54" x14ac:dyDescent="0.2">
      <c r="A309" s="390">
        <v>15</v>
      </c>
      <c r="B309" s="391" t="s">
        <v>382</v>
      </c>
      <c r="C309" s="631">
        <v>6854</v>
      </c>
      <c r="D309" t="s">
        <v>1343</v>
      </c>
      <c r="E309" s="392">
        <v>2516811</v>
      </c>
      <c r="F309" s="392">
        <v>94529</v>
      </c>
      <c r="G309" s="392">
        <v>657268</v>
      </c>
      <c r="H309" s="392">
        <v>0</v>
      </c>
      <c r="I309" s="392">
        <v>0</v>
      </c>
      <c r="J309" s="392">
        <v>0</v>
      </c>
      <c r="K309" s="392">
        <v>872250</v>
      </c>
      <c r="L309" s="392">
        <v>33548</v>
      </c>
      <c r="M309" s="392">
        <v>0</v>
      </c>
      <c r="N309" s="392">
        <v>268811</v>
      </c>
      <c r="O309" s="392">
        <v>115583</v>
      </c>
      <c r="P309" s="392">
        <v>1690</v>
      </c>
      <c r="Q309" s="392">
        <v>4560489</v>
      </c>
      <c r="R309" s="392">
        <v>2241975</v>
      </c>
      <c r="S309" s="392">
        <v>22421</v>
      </c>
      <c r="T309" s="392">
        <v>58557</v>
      </c>
      <c r="U309" s="392">
        <v>328388</v>
      </c>
      <c r="V309" s="392">
        <v>22652</v>
      </c>
      <c r="W309" s="392">
        <v>137776</v>
      </c>
      <c r="X309" s="392">
        <v>33944</v>
      </c>
      <c r="Y309" s="392">
        <v>382485</v>
      </c>
      <c r="Z309" s="392">
        <v>0</v>
      </c>
      <c r="AA309" s="392">
        <v>2947314</v>
      </c>
      <c r="AB309" s="392">
        <v>0</v>
      </c>
      <c r="AC309" s="392">
        <v>642627</v>
      </c>
      <c r="AD309" s="392">
        <v>21116</v>
      </c>
      <c r="AE309" s="392">
        <v>146439</v>
      </c>
      <c r="AF309" s="392">
        <v>385425</v>
      </c>
      <c r="AG309" s="392">
        <v>7371119</v>
      </c>
      <c r="AH309" s="392">
        <v>0</v>
      </c>
      <c r="AI309" s="392">
        <v>256259</v>
      </c>
      <c r="AJ309" s="392">
        <v>400</v>
      </c>
      <c r="AK309" s="392">
        <v>7627778</v>
      </c>
      <c r="AL309" s="392">
        <v>5282658</v>
      </c>
      <c r="AM309" s="392">
        <v>4662779</v>
      </c>
      <c r="AN309" s="392">
        <v>70825</v>
      </c>
      <c r="AO309" s="392">
        <v>161143</v>
      </c>
      <c r="AP309" s="392">
        <v>223544</v>
      </c>
      <c r="AQ309" s="392">
        <v>293330</v>
      </c>
      <c r="AR309" s="392">
        <v>75820</v>
      </c>
      <c r="AS309" s="392">
        <v>649756</v>
      </c>
      <c r="AT309" s="392">
        <v>390552</v>
      </c>
      <c r="AU309" s="392">
        <v>385649</v>
      </c>
      <c r="AV309" s="392">
        <v>212703</v>
      </c>
      <c r="AW309" s="392">
        <v>738704</v>
      </c>
      <c r="AX309" s="392">
        <v>228883</v>
      </c>
      <c r="AY309" s="786">
        <v>256259</v>
      </c>
      <c r="AZ309" s="392">
        <v>4560489</v>
      </c>
      <c r="BA309" s="639">
        <f>SUM(SNAMEB[[#This Row],[Instruction Expenditures]:[Transfers Out/OtherFinancing]])+SUM(SNAMEB[[#This Row],[General Fund Balance]:[Other Enterprise FundBalance]])</f>
        <v>12910437</v>
      </c>
      <c r="BB309" s="639">
        <f>SUM(SNAMEB[[#This Row],[Property Tax Revenue]:[IDEA/Other Fed Revenue]])+SNAMEB[General Long-term DebtProceeds]+SNAMEB[TransfersIn/Other Financing]+SNAMEB[Fixed Asset Disposition]+SNAMEB[Beginning Fund Balance]</f>
        <v>12910436</v>
      </c>
    </row>
    <row r="310" spans="1:54" x14ac:dyDescent="0.2">
      <c r="A310" s="390">
        <v>5</v>
      </c>
      <c r="B310" s="391" t="s">
        <v>383</v>
      </c>
      <c r="C310" s="631">
        <v>6867</v>
      </c>
      <c r="D310" t="s">
        <v>1344</v>
      </c>
      <c r="E310" s="392">
        <v>169166</v>
      </c>
      <c r="F310" s="392">
        <v>145807</v>
      </c>
      <c r="G310" s="392">
        <v>88946</v>
      </c>
      <c r="H310" s="392">
        <v>0</v>
      </c>
      <c r="I310" s="392">
        <v>0</v>
      </c>
      <c r="J310" s="392">
        <v>0</v>
      </c>
      <c r="K310" s="392">
        <v>461900</v>
      </c>
      <c r="L310" s="392">
        <v>16758</v>
      </c>
      <c r="M310" s="392">
        <v>0</v>
      </c>
      <c r="N310" s="392">
        <v>153625</v>
      </c>
      <c r="O310" s="392">
        <v>-226265</v>
      </c>
      <c r="P310" s="392">
        <v>0</v>
      </c>
      <c r="Q310" s="392">
        <v>809937</v>
      </c>
      <c r="R310" s="392">
        <v>5909695</v>
      </c>
      <c r="S310" s="392">
        <v>86283</v>
      </c>
      <c r="T310" s="392">
        <v>468196</v>
      </c>
      <c r="U310" s="392">
        <v>1000965</v>
      </c>
      <c r="V310" s="392">
        <v>32717</v>
      </c>
      <c r="W310" s="392">
        <v>346761</v>
      </c>
      <c r="X310" s="392">
        <v>590056</v>
      </c>
      <c r="Y310" s="392">
        <v>502216</v>
      </c>
      <c r="Z310" s="392">
        <v>0</v>
      </c>
      <c r="AA310" s="392">
        <v>9788656</v>
      </c>
      <c r="AB310" s="392">
        <v>0</v>
      </c>
      <c r="AC310" s="392">
        <v>1538400</v>
      </c>
      <c r="AD310" s="392">
        <v>137528</v>
      </c>
      <c r="AE310" s="392">
        <v>411181</v>
      </c>
      <c r="AF310" s="392">
        <v>958741</v>
      </c>
      <c r="AG310" s="392">
        <v>21771394</v>
      </c>
      <c r="AH310" s="392">
        <v>0</v>
      </c>
      <c r="AI310" s="392">
        <v>1254689</v>
      </c>
      <c r="AJ310" s="392">
        <v>6376</v>
      </c>
      <c r="AK310" s="392">
        <v>23032459</v>
      </c>
      <c r="AL310" s="392">
        <v>576375</v>
      </c>
      <c r="AM310" s="392">
        <v>12246692</v>
      </c>
      <c r="AN310" s="392">
        <v>736612</v>
      </c>
      <c r="AO310" s="392">
        <v>1316645</v>
      </c>
      <c r="AP310" s="392">
        <v>431556</v>
      </c>
      <c r="AQ310" s="392">
        <v>1223691</v>
      </c>
      <c r="AR310" s="392">
        <v>478878</v>
      </c>
      <c r="AS310" s="392">
        <v>1483372</v>
      </c>
      <c r="AT310" s="392">
        <v>571964</v>
      </c>
      <c r="AU310" s="392">
        <v>867233</v>
      </c>
      <c r="AV310" s="392">
        <v>264375</v>
      </c>
      <c r="AW310" s="392">
        <v>1238356</v>
      </c>
      <c r="AX310" s="392">
        <v>682850</v>
      </c>
      <c r="AY310" s="786">
        <v>1256673</v>
      </c>
      <c r="AZ310" s="392">
        <v>809937</v>
      </c>
      <c r="BA310" s="639">
        <f>SUM(SNAMEB[[#This Row],[Instruction Expenditures]:[Transfers Out/OtherFinancing]])+SUM(SNAMEB[[#This Row],[General Fund Balance]:[Other Enterprise FundBalance]])</f>
        <v>23608834</v>
      </c>
      <c r="BB310" s="639">
        <f>SUM(SNAMEB[[#This Row],[Property Tax Revenue]:[IDEA/Other Fed Revenue]])+SNAMEB[General Long-term DebtProceeds]+SNAMEB[TransfersIn/Other Financing]+SNAMEB[Fixed Asset Disposition]+SNAMEB[Beginning Fund Balance]</f>
        <v>23608835</v>
      </c>
    </row>
    <row r="311" spans="1:54" x14ac:dyDescent="0.2">
      <c r="A311" s="390">
        <v>5</v>
      </c>
      <c r="B311" s="391" t="s">
        <v>384</v>
      </c>
      <c r="C311" s="631">
        <v>6921</v>
      </c>
      <c r="D311" t="s">
        <v>653</v>
      </c>
      <c r="E311" s="392">
        <v>1605031</v>
      </c>
      <c r="F311" s="392">
        <v>83815</v>
      </c>
      <c r="G311" s="392">
        <v>485185</v>
      </c>
      <c r="H311" s="392">
        <v>50307</v>
      </c>
      <c r="I311" s="392">
        <v>0</v>
      </c>
      <c r="J311" s="392">
        <v>0</v>
      </c>
      <c r="K311" s="392">
        <v>1258957</v>
      </c>
      <c r="L311" s="392">
        <v>570827</v>
      </c>
      <c r="M311" s="392">
        <v>0</v>
      </c>
      <c r="N311" s="392">
        <v>0</v>
      </c>
      <c r="O311" s="392">
        <v>-26935</v>
      </c>
      <c r="P311" s="392">
        <v>0</v>
      </c>
      <c r="Q311" s="392">
        <v>4027186</v>
      </c>
      <c r="R311" s="392">
        <v>2143262</v>
      </c>
      <c r="S311" s="392">
        <v>22638</v>
      </c>
      <c r="T311" s="392">
        <v>0</v>
      </c>
      <c r="U311" s="392">
        <v>430507</v>
      </c>
      <c r="V311" s="392">
        <v>17931</v>
      </c>
      <c r="W311" s="392">
        <v>111199</v>
      </c>
      <c r="X311" s="392">
        <v>168486</v>
      </c>
      <c r="Y311" s="392">
        <v>124645</v>
      </c>
      <c r="Z311" s="392">
        <v>0</v>
      </c>
      <c r="AA311" s="392">
        <v>1638132</v>
      </c>
      <c r="AB311" s="392">
        <v>0</v>
      </c>
      <c r="AC311" s="392">
        <v>368083</v>
      </c>
      <c r="AD311" s="392">
        <v>27380</v>
      </c>
      <c r="AE311" s="392">
        <v>34826</v>
      </c>
      <c r="AF311" s="392">
        <v>157418</v>
      </c>
      <c r="AG311" s="392">
        <v>5244506</v>
      </c>
      <c r="AH311" s="392">
        <v>0</v>
      </c>
      <c r="AI311" s="392">
        <v>18363</v>
      </c>
      <c r="AJ311" s="392">
        <v>1179</v>
      </c>
      <c r="AK311" s="392">
        <v>5264048</v>
      </c>
      <c r="AL311" s="392">
        <v>3460742</v>
      </c>
      <c r="AM311" s="392">
        <v>2643950</v>
      </c>
      <c r="AN311" s="392">
        <v>117085</v>
      </c>
      <c r="AO311" s="392">
        <v>107405</v>
      </c>
      <c r="AP311" s="392">
        <v>179275</v>
      </c>
      <c r="AQ311" s="392">
        <v>211740</v>
      </c>
      <c r="AR311" s="392">
        <v>103858</v>
      </c>
      <c r="AS311" s="392">
        <v>356077</v>
      </c>
      <c r="AT311" s="392">
        <v>205005</v>
      </c>
      <c r="AU311" s="392">
        <v>213957</v>
      </c>
      <c r="AV311" s="392">
        <v>406564</v>
      </c>
      <c r="AW311" s="392">
        <v>0</v>
      </c>
      <c r="AX311" s="392">
        <v>152687</v>
      </c>
      <c r="AY311" s="786">
        <v>0</v>
      </c>
      <c r="AZ311" s="392">
        <v>4027186</v>
      </c>
      <c r="BA311" s="639">
        <f>SUM(SNAMEB[[#This Row],[Instruction Expenditures]:[Transfers Out/OtherFinancing]])+SUM(SNAMEB[[#This Row],[General Fund Balance]:[Other Enterprise FundBalance]])</f>
        <v>8724790</v>
      </c>
      <c r="BB311" s="639">
        <f>SUM(SNAMEB[[#This Row],[Property Tax Revenue]:[IDEA/Other Fed Revenue]])+SNAMEB[General Long-term DebtProceeds]+SNAMEB[TransfersIn/Other Financing]+SNAMEB[Fixed Asset Disposition]+SNAMEB[Beginning Fund Balance]</f>
        <v>8724791</v>
      </c>
    </row>
    <row r="312" spans="1:54" x14ac:dyDescent="0.2">
      <c r="A312" s="390">
        <v>10</v>
      </c>
      <c r="B312" s="391" t="s">
        <v>385</v>
      </c>
      <c r="C312" s="631">
        <v>6930</v>
      </c>
      <c r="D312" t="s">
        <v>1345</v>
      </c>
      <c r="E312" s="392">
        <v>2154048</v>
      </c>
      <c r="F312" s="392">
        <v>88497</v>
      </c>
      <c r="G312" s="392">
        <v>283973</v>
      </c>
      <c r="H312" s="392">
        <v>0</v>
      </c>
      <c r="I312" s="392">
        <v>0</v>
      </c>
      <c r="J312" s="392">
        <v>0</v>
      </c>
      <c r="K312" s="392">
        <v>1169073</v>
      </c>
      <c r="L312" s="392">
        <v>790212</v>
      </c>
      <c r="M312" s="392">
        <v>500</v>
      </c>
      <c r="N312" s="392">
        <v>53269</v>
      </c>
      <c r="O312" s="392">
        <v>51753</v>
      </c>
      <c r="P312" s="392">
        <v>0</v>
      </c>
      <c r="Q312" s="392">
        <v>4591325</v>
      </c>
      <c r="R312" s="392">
        <v>4477337</v>
      </c>
      <c r="S312" s="392">
        <v>110274</v>
      </c>
      <c r="T312" s="392">
        <v>489972</v>
      </c>
      <c r="U312" s="392">
        <v>421856</v>
      </c>
      <c r="V312" s="392">
        <v>18772</v>
      </c>
      <c r="W312" s="392">
        <v>129246</v>
      </c>
      <c r="X312" s="392">
        <v>374043</v>
      </c>
      <c r="Y312" s="392">
        <v>192987</v>
      </c>
      <c r="Z312" s="392">
        <v>0</v>
      </c>
      <c r="AA312" s="392">
        <v>4116591</v>
      </c>
      <c r="AB312" s="392">
        <v>0</v>
      </c>
      <c r="AC312" s="392">
        <v>1064042</v>
      </c>
      <c r="AD312" s="392">
        <v>113172</v>
      </c>
      <c r="AE312" s="392">
        <v>69796</v>
      </c>
      <c r="AF312" s="392">
        <v>306891</v>
      </c>
      <c r="AG312" s="392">
        <v>11884979</v>
      </c>
      <c r="AH312" s="392">
        <v>0</v>
      </c>
      <c r="AI312" s="392">
        <v>240418</v>
      </c>
      <c r="AJ312" s="392">
        <v>6920</v>
      </c>
      <c r="AK312" s="392">
        <v>12132317</v>
      </c>
      <c r="AL312" s="392">
        <v>4520080</v>
      </c>
      <c r="AM312" s="392">
        <v>6621733</v>
      </c>
      <c r="AN312" s="392">
        <v>219273</v>
      </c>
      <c r="AO312" s="392">
        <v>242830</v>
      </c>
      <c r="AP312" s="392">
        <v>302844</v>
      </c>
      <c r="AQ312" s="392">
        <v>647522</v>
      </c>
      <c r="AR312" s="392">
        <v>204901</v>
      </c>
      <c r="AS312" s="392">
        <v>897593</v>
      </c>
      <c r="AT312" s="392">
        <v>361609</v>
      </c>
      <c r="AU312" s="392">
        <v>261250</v>
      </c>
      <c r="AV312" s="392">
        <v>1113622</v>
      </c>
      <c r="AW312" s="392">
        <v>613960</v>
      </c>
      <c r="AX312" s="392">
        <v>333518</v>
      </c>
      <c r="AY312" s="786">
        <v>240418</v>
      </c>
      <c r="AZ312" s="392">
        <v>4591325</v>
      </c>
      <c r="BA312" s="639">
        <f>SUM(SNAMEB[[#This Row],[Instruction Expenditures]:[Transfers Out/OtherFinancing]])+SUM(SNAMEB[[#This Row],[General Fund Balance]:[Other Enterprise FundBalance]])</f>
        <v>16652398</v>
      </c>
      <c r="BB312" s="639">
        <f>SUM(SNAMEB[[#This Row],[Property Tax Revenue]:[IDEA/Other Fed Revenue]])+SNAMEB[General Long-term DebtProceeds]+SNAMEB[TransfersIn/Other Financing]+SNAMEB[Fixed Asset Disposition]+SNAMEB[Beginning Fund Balance]</f>
        <v>16652397</v>
      </c>
    </row>
    <row r="313" spans="1:54" x14ac:dyDescent="0.2">
      <c r="A313" s="390">
        <v>15</v>
      </c>
      <c r="B313" s="391" t="s">
        <v>386</v>
      </c>
      <c r="C313" s="631">
        <v>6937</v>
      </c>
      <c r="D313" t="s">
        <v>1346</v>
      </c>
      <c r="E313" s="392">
        <v>1654689</v>
      </c>
      <c r="F313" s="392">
        <v>89321</v>
      </c>
      <c r="G313" s="392">
        <v>275317</v>
      </c>
      <c r="H313" s="392">
        <v>0</v>
      </c>
      <c r="I313" s="392">
        <v>0</v>
      </c>
      <c r="J313" s="392">
        <v>0</v>
      </c>
      <c r="K313" s="392">
        <v>3543990</v>
      </c>
      <c r="L313" s="392">
        <v>363751</v>
      </c>
      <c r="M313" s="392">
        <v>0</v>
      </c>
      <c r="N313" s="392">
        <v>21539</v>
      </c>
      <c r="O313" s="392">
        <v>78452</v>
      </c>
      <c r="P313" s="392">
        <v>0</v>
      </c>
      <c r="Q313" s="392">
        <v>6027060</v>
      </c>
      <c r="R313" s="392">
        <v>2162589</v>
      </c>
      <c r="S313" s="392">
        <v>52050</v>
      </c>
      <c r="T313" s="392">
        <v>0</v>
      </c>
      <c r="U313" s="392">
        <v>3062327</v>
      </c>
      <c r="V313" s="392">
        <v>492</v>
      </c>
      <c r="W313" s="392">
        <v>199012</v>
      </c>
      <c r="X313" s="392">
        <v>102134</v>
      </c>
      <c r="Y313" s="392">
        <v>245874</v>
      </c>
      <c r="Z313" s="392">
        <v>0</v>
      </c>
      <c r="AA313" s="392">
        <v>2873859</v>
      </c>
      <c r="AB313" s="392">
        <v>0</v>
      </c>
      <c r="AC313" s="392">
        <v>472227</v>
      </c>
      <c r="AD313" s="392">
        <v>150931</v>
      </c>
      <c r="AE313" s="392">
        <v>153367</v>
      </c>
      <c r="AF313" s="392">
        <v>349539</v>
      </c>
      <c r="AG313" s="392">
        <v>9824401</v>
      </c>
      <c r="AH313" s="392">
        <v>3225000</v>
      </c>
      <c r="AI313" s="392">
        <v>499956</v>
      </c>
      <c r="AJ313" s="392">
        <v>1016</v>
      </c>
      <c r="AK313" s="392">
        <v>13550373</v>
      </c>
      <c r="AL313" s="392">
        <v>2848470</v>
      </c>
      <c r="AM313" s="392">
        <v>5793354</v>
      </c>
      <c r="AN313" s="392">
        <v>211069</v>
      </c>
      <c r="AO313" s="392">
        <v>524801</v>
      </c>
      <c r="AP313" s="392">
        <v>284286</v>
      </c>
      <c r="AQ313" s="392">
        <v>512418</v>
      </c>
      <c r="AR313" s="392">
        <v>86451</v>
      </c>
      <c r="AS313" s="392">
        <v>902211</v>
      </c>
      <c r="AT313" s="392">
        <v>146944</v>
      </c>
      <c r="AU313" s="392">
        <v>449976</v>
      </c>
      <c r="AV313" s="392">
        <v>274908</v>
      </c>
      <c r="AW313" s="392">
        <v>499956</v>
      </c>
      <c r="AX313" s="392">
        <v>196037</v>
      </c>
      <c r="AY313" s="786">
        <v>489373</v>
      </c>
      <c r="AZ313" s="392">
        <v>6027060</v>
      </c>
      <c r="BA313" s="639">
        <f>SUM(SNAMEB[[#This Row],[Instruction Expenditures]:[Transfers Out/OtherFinancing]])+SUM(SNAMEB[[#This Row],[General Fund Balance]:[Other Enterprise FundBalance]])</f>
        <v>16398843</v>
      </c>
      <c r="BB313" s="639">
        <f>SUM(SNAMEB[[#This Row],[Property Tax Revenue]:[IDEA/Other Fed Revenue]])+SNAMEB[General Long-term DebtProceeds]+SNAMEB[TransfersIn/Other Financing]+SNAMEB[Fixed Asset Disposition]+SNAMEB[Beginning Fund Balance]</f>
        <v>16398843</v>
      </c>
    </row>
    <row r="314" spans="1:54" x14ac:dyDescent="0.2">
      <c r="A314" s="390">
        <v>1</v>
      </c>
      <c r="B314" s="391" t="s">
        <v>387</v>
      </c>
      <c r="C314" s="631">
        <v>6943</v>
      </c>
      <c r="D314" t="s">
        <v>1347</v>
      </c>
      <c r="E314" s="392">
        <v>9823</v>
      </c>
      <c r="F314" s="392">
        <v>79785</v>
      </c>
      <c r="G314" s="392">
        <v>69069</v>
      </c>
      <c r="H314" s="392">
        <v>0</v>
      </c>
      <c r="I314" s="392">
        <v>0</v>
      </c>
      <c r="J314" s="392">
        <v>0</v>
      </c>
      <c r="K314" s="392">
        <v>506963</v>
      </c>
      <c r="L314" s="392">
        <v>215360</v>
      </c>
      <c r="M314" s="392">
        <v>0</v>
      </c>
      <c r="N314" s="392">
        <v>3360</v>
      </c>
      <c r="O314" s="392">
        <v>-9732</v>
      </c>
      <c r="P314" s="392">
        <v>-48599</v>
      </c>
      <c r="Q314" s="392">
        <v>826031</v>
      </c>
      <c r="R314" s="392">
        <v>2144969</v>
      </c>
      <c r="S314" s="392">
        <v>49377</v>
      </c>
      <c r="T314" s="392">
        <v>139068</v>
      </c>
      <c r="U314" s="392">
        <v>262880</v>
      </c>
      <c r="V314" s="392">
        <v>4129</v>
      </c>
      <c r="W314" s="392">
        <v>67020</v>
      </c>
      <c r="X314" s="392">
        <v>126492</v>
      </c>
      <c r="Y314" s="392">
        <v>102269</v>
      </c>
      <c r="Z314" s="392">
        <v>0</v>
      </c>
      <c r="AA314" s="392">
        <v>1280740</v>
      </c>
      <c r="AB314" s="392">
        <v>0</v>
      </c>
      <c r="AC314" s="392">
        <v>278505</v>
      </c>
      <c r="AD314" s="392">
        <v>8259</v>
      </c>
      <c r="AE314" s="392">
        <v>41965</v>
      </c>
      <c r="AF314" s="392">
        <v>144186</v>
      </c>
      <c r="AG314" s="392">
        <v>4649857</v>
      </c>
      <c r="AH314" s="392">
        <v>57390</v>
      </c>
      <c r="AI314" s="392">
        <v>654967</v>
      </c>
      <c r="AJ314" s="392">
        <v>0</v>
      </c>
      <c r="AK314" s="392">
        <v>5362214</v>
      </c>
      <c r="AL314" s="392">
        <v>1256522</v>
      </c>
      <c r="AM314" s="392">
        <v>2395640</v>
      </c>
      <c r="AN314" s="392">
        <v>90190</v>
      </c>
      <c r="AO314" s="392">
        <v>110739</v>
      </c>
      <c r="AP314" s="392">
        <v>129499</v>
      </c>
      <c r="AQ314" s="392">
        <v>207661</v>
      </c>
      <c r="AR314" s="392">
        <v>174563</v>
      </c>
      <c r="AS314" s="392">
        <v>236454</v>
      </c>
      <c r="AT314" s="392">
        <v>115478</v>
      </c>
      <c r="AU314" s="392">
        <v>161670</v>
      </c>
      <c r="AV314" s="392">
        <v>873553</v>
      </c>
      <c r="AW314" s="392">
        <v>514158</v>
      </c>
      <c r="AX314" s="392">
        <v>121460</v>
      </c>
      <c r="AY314" s="786">
        <v>661638</v>
      </c>
      <c r="AZ314" s="392">
        <v>826031</v>
      </c>
      <c r="BA314" s="639">
        <f>SUM(SNAMEB[[#This Row],[Instruction Expenditures]:[Transfers Out/OtherFinancing]])+SUM(SNAMEB[[#This Row],[General Fund Balance]:[Other Enterprise FundBalance]])</f>
        <v>6618732</v>
      </c>
      <c r="BB314" s="639">
        <f>SUM(SNAMEB[[#This Row],[Property Tax Revenue]:[IDEA/Other Fed Revenue]])+SNAMEB[General Long-term DebtProceeds]+SNAMEB[TransfersIn/Other Financing]+SNAMEB[Fixed Asset Disposition]+SNAMEB[Beginning Fund Balance]</f>
        <v>6618738</v>
      </c>
    </row>
    <row r="315" spans="1:54" x14ac:dyDescent="0.2">
      <c r="A315" s="390">
        <v>11</v>
      </c>
      <c r="B315" s="391" t="s">
        <v>356</v>
      </c>
      <c r="C315" s="631">
        <v>6264</v>
      </c>
      <c r="D315" t="s">
        <v>1299</v>
      </c>
      <c r="E315" s="392">
        <v>1819724</v>
      </c>
      <c r="F315" s="392">
        <v>37652</v>
      </c>
      <c r="G315" s="392">
        <v>463110</v>
      </c>
      <c r="H315" s="392">
        <v>0</v>
      </c>
      <c r="I315" s="392">
        <v>0</v>
      </c>
      <c r="J315" s="392">
        <v>0</v>
      </c>
      <c r="K315" s="392">
        <v>1379267</v>
      </c>
      <c r="L315" s="392">
        <v>126385</v>
      </c>
      <c r="M315" s="392">
        <v>1000</v>
      </c>
      <c r="N315" s="392">
        <v>552150</v>
      </c>
      <c r="O315" s="392">
        <v>-149009</v>
      </c>
      <c r="P315" s="392">
        <v>0</v>
      </c>
      <c r="Q315" s="392">
        <v>4230279</v>
      </c>
      <c r="R315" s="392">
        <v>5258355</v>
      </c>
      <c r="S315" s="392">
        <v>381386</v>
      </c>
      <c r="T315" s="392">
        <v>222878</v>
      </c>
      <c r="U315" s="392">
        <v>198343</v>
      </c>
      <c r="V315" s="392">
        <v>7424</v>
      </c>
      <c r="W315" s="392">
        <v>174790</v>
      </c>
      <c r="X315" s="392">
        <v>142829</v>
      </c>
      <c r="Y315" s="392">
        <v>165266</v>
      </c>
      <c r="Z315" s="392">
        <v>0</v>
      </c>
      <c r="AA315" s="392">
        <v>5045137</v>
      </c>
      <c r="AB315" s="392">
        <v>0</v>
      </c>
      <c r="AC315" s="392">
        <v>951423</v>
      </c>
      <c r="AD315" s="392">
        <v>126277</v>
      </c>
      <c r="AE315" s="392">
        <v>153245</v>
      </c>
      <c r="AF315" s="392">
        <v>483346</v>
      </c>
      <c r="AG315" s="392">
        <v>13310699</v>
      </c>
      <c r="AH315" s="392">
        <v>9995380</v>
      </c>
      <c r="AI315" s="392">
        <v>509987</v>
      </c>
      <c r="AJ315" s="392">
        <v>20678</v>
      </c>
      <c r="AK315" s="392">
        <v>23836745</v>
      </c>
      <c r="AL315" s="392">
        <v>6614704</v>
      </c>
      <c r="AM315" s="392">
        <v>7196677</v>
      </c>
      <c r="AN315" s="392">
        <v>141021</v>
      </c>
      <c r="AO315" s="392">
        <v>331345</v>
      </c>
      <c r="AP315" s="392">
        <v>198393</v>
      </c>
      <c r="AQ315" s="392">
        <v>595219</v>
      </c>
      <c r="AR315" s="392">
        <v>145876</v>
      </c>
      <c r="AS315" s="392">
        <v>1066765</v>
      </c>
      <c r="AT315" s="392">
        <v>564989</v>
      </c>
      <c r="AU315" s="392">
        <v>423994</v>
      </c>
      <c r="AV315" s="392">
        <v>661901</v>
      </c>
      <c r="AW315" s="392">
        <v>13882318</v>
      </c>
      <c r="AX315" s="392">
        <v>382030</v>
      </c>
      <c r="AY315" s="786">
        <v>630643</v>
      </c>
      <c r="AZ315" s="392">
        <v>4230279</v>
      </c>
      <c r="BA315" s="639">
        <f>SUM(SNAMEB[[#This Row],[Instruction Expenditures]:[Transfers Out/OtherFinancing]])+SUM(SNAMEB[[#This Row],[General Fund Balance]:[Other Enterprise FundBalance]])</f>
        <v>30451450</v>
      </c>
      <c r="BB315" s="639">
        <f>SUM(SNAMEB[[#This Row],[Property Tax Revenue]:[IDEA/Other Fed Revenue]])+SNAMEB[General Long-term DebtProceeds]+SNAMEB[TransfersIn/Other Financing]+SNAMEB[Fixed Asset Disposition]+SNAMEB[Beginning Fund Balance]</f>
        <v>30451448</v>
      </c>
    </row>
    <row r="316" spans="1:54" x14ac:dyDescent="0.2">
      <c r="A316" s="390">
        <v>1</v>
      </c>
      <c r="B316" s="391" t="s">
        <v>388</v>
      </c>
      <c r="C316" s="631">
        <v>6950</v>
      </c>
      <c r="D316" t="s">
        <v>1348</v>
      </c>
      <c r="E316" s="392">
        <v>4161188</v>
      </c>
      <c r="F316" s="392">
        <v>374721</v>
      </c>
      <c r="G316" s="392">
        <v>1076353</v>
      </c>
      <c r="H316" s="392">
        <v>0</v>
      </c>
      <c r="I316" s="392">
        <v>0</v>
      </c>
      <c r="J316" s="392">
        <v>0</v>
      </c>
      <c r="K316" s="392">
        <v>1369350</v>
      </c>
      <c r="L316" s="392">
        <v>517835</v>
      </c>
      <c r="M316" s="392">
        <v>111</v>
      </c>
      <c r="N316" s="392">
        <v>0</v>
      </c>
      <c r="O316" s="392">
        <v>382592</v>
      </c>
      <c r="P316" s="392">
        <v>0</v>
      </c>
      <c r="Q316" s="392">
        <v>7882151</v>
      </c>
      <c r="R316" s="392">
        <v>5955449</v>
      </c>
      <c r="S316" s="392">
        <v>154469</v>
      </c>
      <c r="T316" s="392">
        <v>446787</v>
      </c>
      <c r="U316" s="392">
        <v>457957</v>
      </c>
      <c r="V316" s="392">
        <v>75525</v>
      </c>
      <c r="W316" s="392">
        <v>431046</v>
      </c>
      <c r="X316" s="392">
        <v>508963</v>
      </c>
      <c r="Y316" s="392">
        <v>562313</v>
      </c>
      <c r="Z316" s="392">
        <v>2036</v>
      </c>
      <c r="AA316" s="392">
        <v>8585179</v>
      </c>
      <c r="AB316" s="392">
        <v>0</v>
      </c>
      <c r="AC316" s="392">
        <v>2046623</v>
      </c>
      <c r="AD316" s="392">
        <v>101881</v>
      </c>
      <c r="AE316" s="392">
        <v>195105</v>
      </c>
      <c r="AF316" s="392">
        <v>676405</v>
      </c>
      <c r="AG316" s="392">
        <v>20199739</v>
      </c>
      <c r="AH316" s="392">
        <v>0</v>
      </c>
      <c r="AI316" s="392">
        <v>838288</v>
      </c>
      <c r="AJ316" s="392">
        <v>82588</v>
      </c>
      <c r="AK316" s="392">
        <v>21120615</v>
      </c>
      <c r="AL316" s="392">
        <v>7042543</v>
      </c>
      <c r="AM316" s="392">
        <v>11565845</v>
      </c>
      <c r="AN316" s="392">
        <v>379256</v>
      </c>
      <c r="AO316" s="392">
        <v>907449</v>
      </c>
      <c r="AP316" s="392">
        <v>268636</v>
      </c>
      <c r="AQ316" s="392">
        <v>784633</v>
      </c>
      <c r="AR316" s="392">
        <v>320329</v>
      </c>
      <c r="AS316" s="392">
        <v>1393113</v>
      </c>
      <c r="AT316" s="392">
        <v>992874</v>
      </c>
      <c r="AU316" s="392">
        <v>840560</v>
      </c>
      <c r="AV316" s="392">
        <v>496012</v>
      </c>
      <c r="AW316" s="392">
        <v>838288</v>
      </c>
      <c r="AX316" s="392">
        <v>654938</v>
      </c>
      <c r="AY316" s="786">
        <v>839075</v>
      </c>
      <c r="AZ316" s="392">
        <v>7882151</v>
      </c>
      <c r="BA316" s="639">
        <f>SUM(SNAMEB[[#This Row],[Instruction Expenditures]:[Transfers Out/OtherFinancing]])+SUM(SNAMEB[[#This Row],[General Fund Balance]:[Other Enterprise FundBalance]])</f>
        <v>28163158</v>
      </c>
      <c r="BB316" s="639">
        <f>SUM(SNAMEB[[#This Row],[Property Tax Revenue]:[IDEA/Other Fed Revenue]])+SNAMEB[General Long-term DebtProceeds]+SNAMEB[TransfersIn/Other Financing]+SNAMEB[Fixed Asset Disposition]+SNAMEB[Beginning Fund Balance]</f>
        <v>28163157</v>
      </c>
    </row>
    <row r="317" spans="1:54" x14ac:dyDescent="0.2">
      <c r="A317" s="390">
        <v>11</v>
      </c>
      <c r="B317" s="391" t="s">
        <v>389</v>
      </c>
      <c r="C317" s="631">
        <v>6957</v>
      </c>
      <c r="D317" t="s">
        <v>1349</v>
      </c>
      <c r="E317" s="392">
        <v>20693214</v>
      </c>
      <c r="F317" s="392">
        <v>1121390</v>
      </c>
      <c r="G317" s="392">
        <v>11033998</v>
      </c>
      <c r="H317" s="392">
        <v>334061</v>
      </c>
      <c r="I317" s="392">
        <v>0</v>
      </c>
      <c r="J317" s="392">
        <v>0</v>
      </c>
      <c r="K317" s="392">
        <v>16572711</v>
      </c>
      <c r="L317" s="392">
        <v>5480909</v>
      </c>
      <c r="M317" s="392">
        <v>0</v>
      </c>
      <c r="N317" s="392">
        <v>0</v>
      </c>
      <c r="O317" s="392">
        <v>603529</v>
      </c>
      <c r="P317" s="392">
        <v>692509</v>
      </c>
      <c r="Q317" s="392">
        <v>56532321</v>
      </c>
      <c r="R317" s="392">
        <v>53605669</v>
      </c>
      <c r="S317" s="392">
        <v>888823</v>
      </c>
      <c r="T317" s="392">
        <v>0</v>
      </c>
      <c r="U317" s="392">
        <v>5447320</v>
      </c>
      <c r="V317" s="392">
        <v>549831</v>
      </c>
      <c r="W317" s="392">
        <v>2052807</v>
      </c>
      <c r="X317" s="392">
        <v>1429050</v>
      </c>
      <c r="Y317" s="392">
        <v>4975216</v>
      </c>
      <c r="Z317" s="392">
        <v>124544</v>
      </c>
      <c r="AA317" s="392">
        <v>47655651</v>
      </c>
      <c r="AB317" s="392">
        <v>0</v>
      </c>
      <c r="AC317" s="392">
        <v>9411212</v>
      </c>
      <c r="AD317" s="392">
        <v>2683670</v>
      </c>
      <c r="AE317" s="392">
        <v>810620</v>
      </c>
      <c r="AF317" s="392">
        <v>4071727</v>
      </c>
      <c r="AG317" s="392">
        <v>133706139</v>
      </c>
      <c r="AH317" s="392">
        <v>26817035</v>
      </c>
      <c r="AI317" s="392">
        <v>35868577</v>
      </c>
      <c r="AJ317" s="392">
        <v>570599</v>
      </c>
      <c r="AK317" s="392">
        <v>196962351</v>
      </c>
      <c r="AL317" s="392">
        <v>52886167</v>
      </c>
      <c r="AM317" s="392">
        <v>76854340</v>
      </c>
      <c r="AN317" s="392">
        <v>3316259</v>
      </c>
      <c r="AO317" s="392">
        <v>4197007</v>
      </c>
      <c r="AP317" s="392">
        <v>1638154</v>
      </c>
      <c r="AQ317" s="392">
        <v>4473670</v>
      </c>
      <c r="AR317" s="392">
        <v>3354861</v>
      </c>
      <c r="AS317" s="392">
        <v>9213044</v>
      </c>
      <c r="AT317" s="392">
        <v>3753401</v>
      </c>
      <c r="AU317" s="392">
        <v>7206412</v>
      </c>
      <c r="AV317" s="392">
        <v>3995790</v>
      </c>
      <c r="AW317" s="392">
        <v>35662765</v>
      </c>
      <c r="AX317" s="392">
        <v>3797243</v>
      </c>
      <c r="AY317" s="786">
        <v>35853251</v>
      </c>
      <c r="AZ317" s="392">
        <v>56532321</v>
      </c>
      <c r="BA317" s="639">
        <f>SUM(SNAMEB[[#This Row],[Instruction Expenditures]:[Transfers Out/OtherFinancing]])+SUM(SNAMEB[[#This Row],[General Fund Balance]:[Other Enterprise FundBalance]])</f>
        <v>249848518</v>
      </c>
      <c r="BB317" s="639">
        <f>SUM(SNAMEB[[#This Row],[Property Tax Revenue]:[IDEA/Other Fed Revenue]])+SNAMEB[General Long-term DebtProceeds]+SNAMEB[TransfersIn/Other Financing]+SNAMEB[Fixed Asset Disposition]+SNAMEB[Beginning Fund Balance]</f>
        <v>249848518</v>
      </c>
    </row>
    <row r="318" spans="1:54" x14ac:dyDescent="0.2">
      <c r="A318" s="390">
        <v>7</v>
      </c>
      <c r="B318" s="391" t="s">
        <v>333</v>
      </c>
      <c r="C318" s="631">
        <v>5922</v>
      </c>
      <c r="D318" t="s">
        <v>1483</v>
      </c>
      <c r="E318" s="392">
        <v>2153754</v>
      </c>
      <c r="F318" s="392">
        <v>43740</v>
      </c>
      <c r="G318" s="392">
        <v>645644</v>
      </c>
      <c r="H318" s="392">
        <v>0</v>
      </c>
      <c r="I318" s="392">
        <v>0</v>
      </c>
      <c r="J318" s="392">
        <v>0</v>
      </c>
      <c r="K318" s="392">
        <v>376404</v>
      </c>
      <c r="L318" s="392">
        <v>695884</v>
      </c>
      <c r="M318" s="392">
        <v>0</v>
      </c>
      <c r="N318" s="392">
        <v>115686</v>
      </c>
      <c r="O318" s="392">
        <v>-61980</v>
      </c>
      <c r="P318" s="392">
        <v>0</v>
      </c>
      <c r="Q318" s="392">
        <v>3969133</v>
      </c>
      <c r="R318" s="392">
        <v>3890857</v>
      </c>
      <c r="S318" s="392">
        <v>79314</v>
      </c>
      <c r="T318" s="392">
        <v>342311</v>
      </c>
      <c r="U318" s="392">
        <v>371509</v>
      </c>
      <c r="V318" s="392">
        <v>15447</v>
      </c>
      <c r="W318" s="392">
        <v>180703</v>
      </c>
      <c r="X318" s="392">
        <v>224970</v>
      </c>
      <c r="Y318" s="392">
        <v>94361</v>
      </c>
      <c r="Z318" s="392">
        <v>0</v>
      </c>
      <c r="AA318" s="392">
        <v>3520285</v>
      </c>
      <c r="AB318" s="392">
        <v>0</v>
      </c>
      <c r="AC318" s="392">
        <v>706348</v>
      </c>
      <c r="AD318" s="392">
        <v>17787</v>
      </c>
      <c r="AE318" s="392">
        <v>65978</v>
      </c>
      <c r="AF318" s="392">
        <v>278902</v>
      </c>
      <c r="AG318" s="392">
        <v>9788775</v>
      </c>
      <c r="AH318" s="392">
        <v>1149000</v>
      </c>
      <c r="AI318" s="392">
        <v>7582</v>
      </c>
      <c r="AJ318" s="392">
        <v>4800</v>
      </c>
      <c r="AK318" s="392">
        <v>10950157</v>
      </c>
      <c r="AL318" s="392">
        <v>4945084</v>
      </c>
      <c r="AM318" s="392">
        <v>5705668</v>
      </c>
      <c r="AN318" s="392">
        <v>200589</v>
      </c>
      <c r="AO318" s="392">
        <v>148723</v>
      </c>
      <c r="AP318" s="392">
        <v>373097</v>
      </c>
      <c r="AQ318" s="392">
        <v>345834</v>
      </c>
      <c r="AR318" s="392">
        <v>385446</v>
      </c>
      <c r="AS318" s="392">
        <v>534565</v>
      </c>
      <c r="AT318" s="392">
        <v>423302</v>
      </c>
      <c r="AU318" s="392">
        <v>373447</v>
      </c>
      <c r="AV318" s="392">
        <v>2994367</v>
      </c>
      <c r="AW318" s="392">
        <v>121146</v>
      </c>
      <c r="AX318" s="392">
        <v>312342</v>
      </c>
      <c r="AY318" s="786">
        <v>7582</v>
      </c>
      <c r="AZ318" s="392">
        <v>3969133</v>
      </c>
      <c r="BA318" s="639">
        <f>SUM(SNAMEB[[#This Row],[Instruction Expenditures]:[Transfers Out/OtherFinancing]])+SUM(SNAMEB[[#This Row],[General Fund Balance]:[Other Enterprise FundBalance]])</f>
        <v>15895240</v>
      </c>
      <c r="BB318" s="639">
        <f>SUM(SNAMEB[[#This Row],[Property Tax Revenue]:[IDEA/Other Fed Revenue]])+SNAMEB[General Long-term DebtProceeds]+SNAMEB[TransfersIn/Other Financing]+SNAMEB[Fixed Asset Disposition]+SNAMEB[Beginning Fund Balance]</f>
        <v>15895238</v>
      </c>
    </row>
    <row r="319" spans="1:54" x14ac:dyDescent="0.2">
      <c r="A319" s="390">
        <v>7</v>
      </c>
      <c r="B319" s="391" t="s">
        <v>113</v>
      </c>
      <c r="C319" s="631">
        <v>819</v>
      </c>
      <c r="D319" t="s">
        <v>1038</v>
      </c>
      <c r="E319" s="392">
        <v>1711794</v>
      </c>
      <c r="F319" s="392">
        <v>185501</v>
      </c>
      <c r="G319" s="392">
        <v>148157</v>
      </c>
      <c r="H319" s="392">
        <v>44561</v>
      </c>
      <c r="I319" s="392">
        <v>0</v>
      </c>
      <c r="J319" s="392">
        <v>0</v>
      </c>
      <c r="K319" s="392">
        <v>741370</v>
      </c>
      <c r="L319" s="392">
        <v>236388</v>
      </c>
      <c r="M319" s="392">
        <v>0</v>
      </c>
      <c r="N319" s="392">
        <v>294407</v>
      </c>
      <c r="O319" s="392">
        <v>-15488</v>
      </c>
      <c r="P319" s="392">
        <v>0</v>
      </c>
      <c r="Q319" s="392">
        <v>3346691</v>
      </c>
      <c r="R319" s="392">
        <v>2869818</v>
      </c>
      <c r="S319" s="392">
        <v>58114</v>
      </c>
      <c r="T319" s="392">
        <v>301169</v>
      </c>
      <c r="U319" s="392">
        <v>393640</v>
      </c>
      <c r="V319" s="392">
        <v>17578</v>
      </c>
      <c r="W319" s="392">
        <v>114372</v>
      </c>
      <c r="X319" s="392">
        <v>374183</v>
      </c>
      <c r="Y319" s="392">
        <v>101495</v>
      </c>
      <c r="Z319" s="392">
        <v>0</v>
      </c>
      <c r="AA319" s="392">
        <v>3097153</v>
      </c>
      <c r="AB319" s="392">
        <v>0</v>
      </c>
      <c r="AC319" s="392">
        <v>630174</v>
      </c>
      <c r="AD319" s="392">
        <v>59674</v>
      </c>
      <c r="AE319" s="392">
        <v>87531</v>
      </c>
      <c r="AF319" s="392">
        <v>457338</v>
      </c>
      <c r="AG319" s="392">
        <v>8562239</v>
      </c>
      <c r="AH319" s="392">
        <v>0</v>
      </c>
      <c r="AI319" s="392">
        <v>329414</v>
      </c>
      <c r="AJ319" s="392">
        <v>31807</v>
      </c>
      <c r="AK319" s="392">
        <v>8923459</v>
      </c>
      <c r="AL319" s="392">
        <v>3642393</v>
      </c>
      <c r="AM319" s="392">
        <v>4893037</v>
      </c>
      <c r="AN319" s="392">
        <v>136200</v>
      </c>
      <c r="AO319" s="392">
        <v>158875</v>
      </c>
      <c r="AP319" s="392">
        <v>200579</v>
      </c>
      <c r="AQ319" s="392">
        <v>475944</v>
      </c>
      <c r="AR319" s="392">
        <v>80946</v>
      </c>
      <c r="AS319" s="392">
        <v>769902</v>
      </c>
      <c r="AT319" s="392">
        <v>321030</v>
      </c>
      <c r="AU319" s="392">
        <v>313416</v>
      </c>
      <c r="AV319" s="392">
        <v>372160</v>
      </c>
      <c r="AW319" s="392">
        <v>932393</v>
      </c>
      <c r="AX319" s="392">
        <v>258967</v>
      </c>
      <c r="AY319" s="786">
        <v>305713</v>
      </c>
      <c r="AZ319" s="392">
        <v>3346691</v>
      </c>
      <c r="BA319" s="639">
        <f>SUM(SNAMEB[[#This Row],[Instruction Expenditures]:[Transfers Out/OtherFinancing]])+SUM(SNAMEB[[#This Row],[General Fund Balance]:[Other Enterprise FundBalance]])</f>
        <v>12565852</v>
      </c>
      <c r="BB319" s="639">
        <f>SUM(SNAMEB[[#This Row],[Property Tax Revenue]:[IDEA/Other Fed Revenue]])+SNAMEB[General Long-term DebtProceeds]+SNAMEB[TransfersIn/Other Financing]+SNAMEB[Fixed Asset Disposition]+SNAMEB[Beginning Fund Balance]</f>
        <v>12565853</v>
      </c>
    </row>
    <row r="320" spans="1:54" x14ac:dyDescent="0.2">
      <c r="A320" s="390">
        <v>13</v>
      </c>
      <c r="B320" s="391" t="s">
        <v>391</v>
      </c>
      <c r="C320" s="631">
        <v>6969</v>
      </c>
      <c r="D320" t="s">
        <v>1393</v>
      </c>
      <c r="E320" s="392">
        <v>1496511</v>
      </c>
      <c r="F320" s="392">
        <v>15145</v>
      </c>
      <c r="G320" s="392">
        <v>182939</v>
      </c>
      <c r="H320" s="392">
        <v>0</v>
      </c>
      <c r="I320" s="392">
        <v>0</v>
      </c>
      <c r="J320" s="392">
        <v>0</v>
      </c>
      <c r="K320" s="392">
        <v>141836</v>
      </c>
      <c r="L320" s="392">
        <v>137827</v>
      </c>
      <c r="M320" s="392">
        <v>0</v>
      </c>
      <c r="N320" s="392">
        <v>363850</v>
      </c>
      <c r="O320" s="392">
        <v>28992</v>
      </c>
      <c r="P320" s="392">
        <v>9255</v>
      </c>
      <c r="Q320" s="392">
        <v>2376356</v>
      </c>
      <c r="R320" s="392">
        <v>2435598</v>
      </c>
      <c r="S320" s="392">
        <v>48270</v>
      </c>
      <c r="T320" s="392">
        <v>103679</v>
      </c>
      <c r="U320" s="392">
        <v>200894</v>
      </c>
      <c r="V320" s="392">
        <v>8161</v>
      </c>
      <c r="W320" s="392">
        <v>95969</v>
      </c>
      <c r="X320" s="392">
        <v>81378</v>
      </c>
      <c r="Y320" s="392">
        <v>156101</v>
      </c>
      <c r="Z320" s="392">
        <v>0</v>
      </c>
      <c r="AA320" s="392">
        <v>1866270</v>
      </c>
      <c r="AB320" s="392">
        <v>0</v>
      </c>
      <c r="AC320" s="392">
        <v>379504</v>
      </c>
      <c r="AD320" s="392">
        <v>5684</v>
      </c>
      <c r="AE320" s="392">
        <v>64283</v>
      </c>
      <c r="AF320" s="392">
        <v>266487</v>
      </c>
      <c r="AG320" s="392">
        <v>5712277</v>
      </c>
      <c r="AH320" s="392">
        <v>0</v>
      </c>
      <c r="AI320" s="392">
        <v>82500</v>
      </c>
      <c r="AJ320" s="392">
        <v>2100</v>
      </c>
      <c r="AK320" s="392">
        <v>5796877</v>
      </c>
      <c r="AL320" s="392">
        <v>1957497</v>
      </c>
      <c r="AM320" s="392">
        <v>3176576</v>
      </c>
      <c r="AN320" s="392">
        <v>155240</v>
      </c>
      <c r="AO320" s="392">
        <v>136575</v>
      </c>
      <c r="AP320" s="392">
        <v>136942</v>
      </c>
      <c r="AQ320" s="392">
        <v>171252</v>
      </c>
      <c r="AR320" s="392">
        <v>94647</v>
      </c>
      <c r="AS320" s="392">
        <v>531305</v>
      </c>
      <c r="AT320" s="392">
        <v>350610</v>
      </c>
      <c r="AU320" s="392">
        <v>190605</v>
      </c>
      <c r="AV320" s="392">
        <v>198633</v>
      </c>
      <c r="AW320" s="392">
        <v>0</v>
      </c>
      <c r="AX320" s="392">
        <v>178131</v>
      </c>
      <c r="AY320" s="786">
        <v>57503</v>
      </c>
      <c r="AZ320" s="392">
        <v>2376356</v>
      </c>
      <c r="BA320" s="639">
        <f>SUM(SNAMEB[[#This Row],[Instruction Expenditures]:[Transfers Out/OtherFinancing]])+SUM(SNAMEB[[#This Row],[General Fund Balance]:[Other Enterprise FundBalance]])</f>
        <v>7754374</v>
      </c>
      <c r="BB320" s="639">
        <f>SUM(SNAMEB[[#This Row],[Property Tax Revenue]:[IDEA/Other Fed Revenue]])+SNAMEB[General Long-term DebtProceeds]+SNAMEB[TransfersIn/Other Financing]+SNAMEB[Fixed Asset Disposition]+SNAMEB[Beginning Fund Balance]</f>
        <v>7754375</v>
      </c>
    </row>
    <row r="321" spans="1:54" x14ac:dyDescent="0.2">
      <c r="A321" s="390">
        <v>9</v>
      </c>
      <c r="B321" s="391" t="s">
        <v>392</v>
      </c>
      <c r="C321" s="631">
        <v>6975</v>
      </c>
      <c r="D321" t="s">
        <v>1394</v>
      </c>
      <c r="E321" s="392">
        <v>1871539</v>
      </c>
      <c r="F321" s="392">
        <v>97791</v>
      </c>
      <c r="G321" s="392">
        <v>215492</v>
      </c>
      <c r="H321" s="392">
        <v>0</v>
      </c>
      <c r="I321" s="392">
        <v>0</v>
      </c>
      <c r="J321" s="392">
        <v>0</v>
      </c>
      <c r="K321" s="392">
        <v>1459453</v>
      </c>
      <c r="L321" s="392">
        <v>508604</v>
      </c>
      <c r="M321" s="392">
        <v>0</v>
      </c>
      <c r="N321" s="392">
        <v>667198</v>
      </c>
      <c r="O321" s="392">
        <v>23605</v>
      </c>
      <c r="P321" s="392">
        <v>4161</v>
      </c>
      <c r="Q321" s="392">
        <v>4847844</v>
      </c>
      <c r="R321" s="392">
        <v>4457823</v>
      </c>
      <c r="S321" s="392">
        <v>89276</v>
      </c>
      <c r="T321" s="392">
        <v>859396</v>
      </c>
      <c r="U321" s="392">
        <v>187173</v>
      </c>
      <c r="V321" s="392">
        <v>26635</v>
      </c>
      <c r="W321" s="392">
        <v>247013</v>
      </c>
      <c r="X321" s="392">
        <v>245107</v>
      </c>
      <c r="Y321" s="392">
        <v>338267</v>
      </c>
      <c r="Z321" s="392">
        <v>0</v>
      </c>
      <c r="AA321" s="392">
        <v>7970904</v>
      </c>
      <c r="AB321" s="392">
        <v>0</v>
      </c>
      <c r="AC321" s="392">
        <v>1256422</v>
      </c>
      <c r="AD321" s="392">
        <v>26439</v>
      </c>
      <c r="AE321" s="392">
        <v>277218</v>
      </c>
      <c r="AF321" s="392">
        <v>970993</v>
      </c>
      <c r="AG321" s="392">
        <v>16952666</v>
      </c>
      <c r="AH321" s="392">
        <v>0</v>
      </c>
      <c r="AI321" s="392">
        <v>709885</v>
      </c>
      <c r="AJ321" s="392">
        <v>6499</v>
      </c>
      <c r="AK321" s="392">
        <v>17669050</v>
      </c>
      <c r="AL321" s="392">
        <v>4549592</v>
      </c>
      <c r="AM321" s="392">
        <v>9542377</v>
      </c>
      <c r="AN321" s="392">
        <v>317389</v>
      </c>
      <c r="AO321" s="392">
        <v>752250</v>
      </c>
      <c r="AP321" s="392">
        <v>393396</v>
      </c>
      <c r="AQ321" s="392">
        <v>894403</v>
      </c>
      <c r="AR321" s="392">
        <v>234561</v>
      </c>
      <c r="AS321" s="392">
        <v>1089958</v>
      </c>
      <c r="AT321" s="392">
        <v>439305</v>
      </c>
      <c r="AU321" s="392">
        <v>807958</v>
      </c>
      <c r="AV321" s="392">
        <v>328237</v>
      </c>
      <c r="AW321" s="392">
        <v>1194890</v>
      </c>
      <c r="AX321" s="392">
        <v>503917</v>
      </c>
      <c r="AY321" s="786">
        <v>872158</v>
      </c>
      <c r="AZ321" s="392">
        <v>4847844</v>
      </c>
      <c r="BA321" s="639">
        <f>SUM(SNAMEB[[#This Row],[Instruction Expenditures]:[Transfers Out/OtherFinancing]])+SUM(SNAMEB[[#This Row],[General Fund Balance]:[Other Enterprise FundBalance]])</f>
        <v>22218642</v>
      </c>
      <c r="BB321" s="639">
        <f>SUM(SNAMEB[[#This Row],[Property Tax Revenue]:[IDEA/Other Fed Revenue]])+SNAMEB[General Long-term DebtProceeds]+SNAMEB[TransfersIn/Other Financing]+SNAMEB[Fixed Asset Disposition]+SNAMEB[Beginning Fund Balance]</f>
        <v>22218642</v>
      </c>
    </row>
    <row r="322" spans="1:54" x14ac:dyDescent="0.2">
      <c r="A322" s="390">
        <v>12</v>
      </c>
      <c r="B322" s="391" t="s">
        <v>393</v>
      </c>
      <c r="C322" s="631">
        <v>6983</v>
      </c>
      <c r="D322" t="s">
        <v>1395</v>
      </c>
      <c r="E322" s="392">
        <v>2307766</v>
      </c>
      <c r="F322" s="392">
        <v>86244</v>
      </c>
      <c r="G322" s="392">
        <v>109148</v>
      </c>
      <c r="H322" s="392">
        <v>0</v>
      </c>
      <c r="I322" s="392">
        <v>0</v>
      </c>
      <c r="J322" s="392">
        <v>0</v>
      </c>
      <c r="K322" s="392">
        <v>1323075</v>
      </c>
      <c r="L322" s="392">
        <v>280347</v>
      </c>
      <c r="M322" s="392">
        <v>0</v>
      </c>
      <c r="N322" s="392">
        <v>9578</v>
      </c>
      <c r="O322" s="392">
        <v>42780</v>
      </c>
      <c r="P322" s="392">
        <v>0</v>
      </c>
      <c r="Q322" s="392">
        <v>4158938</v>
      </c>
      <c r="R322" s="392">
        <v>3718658</v>
      </c>
      <c r="S322" s="392">
        <v>35470</v>
      </c>
      <c r="T322" s="392">
        <v>454465</v>
      </c>
      <c r="U322" s="392">
        <v>131726</v>
      </c>
      <c r="V322" s="392">
        <v>12934</v>
      </c>
      <c r="W322" s="392">
        <v>232560</v>
      </c>
      <c r="X322" s="392">
        <v>201877</v>
      </c>
      <c r="Y322" s="392">
        <v>375813</v>
      </c>
      <c r="Z322" s="392">
        <v>0</v>
      </c>
      <c r="AA322" s="392">
        <v>4477121</v>
      </c>
      <c r="AB322" s="392">
        <v>0</v>
      </c>
      <c r="AC322" s="392">
        <v>947071</v>
      </c>
      <c r="AD322" s="392">
        <v>96317</v>
      </c>
      <c r="AE322" s="392">
        <v>67972</v>
      </c>
      <c r="AF322" s="392">
        <v>284169</v>
      </c>
      <c r="AG322" s="392">
        <v>11036152</v>
      </c>
      <c r="AH322" s="392">
        <v>0</v>
      </c>
      <c r="AI322" s="392">
        <v>483777</v>
      </c>
      <c r="AJ322" s="392">
        <v>4234</v>
      </c>
      <c r="AK322" s="392">
        <v>11524163</v>
      </c>
      <c r="AL322" s="392">
        <v>5727897</v>
      </c>
      <c r="AM322" s="392">
        <v>6924622</v>
      </c>
      <c r="AN322" s="392">
        <v>252520</v>
      </c>
      <c r="AO322" s="392">
        <v>183171</v>
      </c>
      <c r="AP322" s="392">
        <v>162589</v>
      </c>
      <c r="AQ322" s="392">
        <v>342223</v>
      </c>
      <c r="AR322" s="392">
        <v>150508</v>
      </c>
      <c r="AS322" s="392">
        <v>731220</v>
      </c>
      <c r="AT322" s="392">
        <v>760334</v>
      </c>
      <c r="AU322" s="392">
        <v>410776</v>
      </c>
      <c r="AV322" s="392">
        <v>1821489</v>
      </c>
      <c r="AW322" s="392">
        <v>485614</v>
      </c>
      <c r="AX322" s="392">
        <v>384277</v>
      </c>
      <c r="AY322" s="786">
        <v>483777</v>
      </c>
      <c r="AZ322" s="392">
        <v>4158938</v>
      </c>
      <c r="BA322" s="639">
        <f>SUM(SNAMEB[[#This Row],[Instruction Expenditures]:[Transfers Out/OtherFinancing]])+SUM(SNAMEB[[#This Row],[General Fund Balance]:[Other Enterprise FundBalance]])</f>
        <v>17252058</v>
      </c>
      <c r="BB322" s="639">
        <f>SUM(SNAMEB[[#This Row],[Property Tax Revenue]:[IDEA/Other Fed Revenue]])+SNAMEB[General Long-term DebtProceeds]+SNAMEB[TransfersIn/Other Financing]+SNAMEB[Fixed Asset Disposition]+SNAMEB[Beginning Fund Balance]</f>
        <v>17252061</v>
      </c>
    </row>
    <row r="323" spans="1:54" x14ac:dyDescent="0.2">
      <c r="A323" s="390">
        <v>7</v>
      </c>
      <c r="B323" s="391" t="s">
        <v>394</v>
      </c>
      <c r="C323" s="631">
        <v>6985</v>
      </c>
      <c r="D323" t="s">
        <v>1396</v>
      </c>
      <c r="E323" s="392">
        <v>3736141</v>
      </c>
      <c r="F323" s="392">
        <v>83516</v>
      </c>
      <c r="G323" s="392">
        <v>198549</v>
      </c>
      <c r="H323" s="392">
        <v>0</v>
      </c>
      <c r="I323" s="392">
        <v>0</v>
      </c>
      <c r="J323" s="392">
        <v>0</v>
      </c>
      <c r="K323" s="392">
        <v>748592</v>
      </c>
      <c r="L323" s="392">
        <v>68699</v>
      </c>
      <c r="M323" s="392">
        <v>0</v>
      </c>
      <c r="N323" s="392">
        <v>477166</v>
      </c>
      <c r="O323" s="392">
        <v>136328</v>
      </c>
      <c r="P323" s="392">
        <v>-62186</v>
      </c>
      <c r="Q323" s="392">
        <v>5386806</v>
      </c>
      <c r="R323" s="392">
        <v>2733466</v>
      </c>
      <c r="S323" s="392">
        <v>34113</v>
      </c>
      <c r="T323" s="392">
        <v>410760</v>
      </c>
      <c r="U323" s="392">
        <v>898607</v>
      </c>
      <c r="V323" s="392">
        <v>50266</v>
      </c>
      <c r="W323" s="392">
        <v>285342</v>
      </c>
      <c r="X323" s="392">
        <v>156147</v>
      </c>
      <c r="Y323" s="392">
        <v>382486</v>
      </c>
      <c r="Z323" s="392">
        <v>7862</v>
      </c>
      <c r="AA323" s="392">
        <v>4926683</v>
      </c>
      <c r="AB323" s="392">
        <v>0</v>
      </c>
      <c r="AC323" s="392">
        <v>842393</v>
      </c>
      <c r="AD323" s="392">
        <v>16774</v>
      </c>
      <c r="AE323" s="392">
        <v>88347</v>
      </c>
      <c r="AF323" s="392">
        <v>321488</v>
      </c>
      <c r="AG323" s="392">
        <v>11154734</v>
      </c>
      <c r="AH323" s="392">
        <v>5515000</v>
      </c>
      <c r="AI323" s="392">
        <v>1533436</v>
      </c>
      <c r="AJ323" s="392">
        <v>23657</v>
      </c>
      <c r="AK323" s="392">
        <v>18226827</v>
      </c>
      <c r="AL323" s="392">
        <v>5307134</v>
      </c>
      <c r="AM323" s="392">
        <v>5472186</v>
      </c>
      <c r="AN323" s="392">
        <v>257909</v>
      </c>
      <c r="AO323" s="392">
        <v>317646</v>
      </c>
      <c r="AP323" s="392">
        <v>330675</v>
      </c>
      <c r="AQ323" s="392">
        <v>483842</v>
      </c>
      <c r="AR323" s="392">
        <v>285353</v>
      </c>
      <c r="AS323" s="392">
        <v>784141</v>
      </c>
      <c r="AT323" s="392">
        <v>523350</v>
      </c>
      <c r="AU323" s="392">
        <v>485072</v>
      </c>
      <c r="AV323" s="392">
        <v>601660</v>
      </c>
      <c r="AW323" s="392">
        <v>6712313</v>
      </c>
      <c r="AX323" s="392">
        <v>365010</v>
      </c>
      <c r="AY323" s="786">
        <v>1527997</v>
      </c>
      <c r="AZ323" s="392">
        <v>5386806</v>
      </c>
      <c r="BA323" s="639">
        <f>SUM(SNAMEB[[#This Row],[Instruction Expenditures]:[Transfers Out/OtherFinancing]])+SUM(SNAMEB[[#This Row],[General Fund Balance]:[Other Enterprise FundBalance]])</f>
        <v>23533959</v>
      </c>
      <c r="BB323" s="639">
        <f>SUM(SNAMEB[[#This Row],[Property Tax Revenue]:[IDEA/Other Fed Revenue]])+SNAMEB[General Long-term DebtProceeds]+SNAMEB[TransfersIn/Other Financing]+SNAMEB[Fixed Asset Disposition]+SNAMEB[Beginning Fund Balance]</f>
        <v>23533961</v>
      </c>
    </row>
    <row r="324" spans="1:54" x14ac:dyDescent="0.2">
      <c r="A324" s="390">
        <v>12</v>
      </c>
      <c r="B324" s="391" t="s">
        <v>395</v>
      </c>
      <c r="C324" s="631">
        <v>6987</v>
      </c>
      <c r="D324" t="s">
        <v>1397</v>
      </c>
      <c r="E324" s="392">
        <v>1532600</v>
      </c>
      <c r="F324" s="392">
        <v>30655</v>
      </c>
      <c r="G324" s="392">
        <v>338236</v>
      </c>
      <c r="H324" s="392">
        <v>0</v>
      </c>
      <c r="I324" s="392">
        <v>0</v>
      </c>
      <c r="J324" s="392">
        <v>0</v>
      </c>
      <c r="K324" s="392">
        <v>1066282</v>
      </c>
      <c r="L324" s="392">
        <v>443802</v>
      </c>
      <c r="M324" s="392">
        <v>0</v>
      </c>
      <c r="N324" s="392">
        <v>467543</v>
      </c>
      <c r="O324" s="392">
        <v>77649</v>
      </c>
      <c r="P324" s="392">
        <v>0</v>
      </c>
      <c r="Q324" s="392">
        <v>3956765</v>
      </c>
      <c r="R324" s="392">
        <v>3633961</v>
      </c>
      <c r="S324" s="392">
        <v>41380</v>
      </c>
      <c r="T324" s="392">
        <v>202661</v>
      </c>
      <c r="U324" s="392">
        <v>230469</v>
      </c>
      <c r="V324" s="392">
        <v>1680</v>
      </c>
      <c r="W324" s="392">
        <v>147887</v>
      </c>
      <c r="X324" s="392">
        <v>102221</v>
      </c>
      <c r="Y324" s="392">
        <v>409769</v>
      </c>
      <c r="Z324" s="392">
        <v>0</v>
      </c>
      <c r="AA324" s="392">
        <v>4097800</v>
      </c>
      <c r="AB324" s="392">
        <v>0</v>
      </c>
      <c r="AC324" s="392">
        <v>927989</v>
      </c>
      <c r="AD324" s="392">
        <v>48835</v>
      </c>
      <c r="AE324" s="392">
        <v>142813</v>
      </c>
      <c r="AF324" s="392">
        <v>310106</v>
      </c>
      <c r="AG324" s="392">
        <v>10297571</v>
      </c>
      <c r="AH324" s="392">
        <v>0</v>
      </c>
      <c r="AI324" s="392">
        <v>475794</v>
      </c>
      <c r="AJ324" s="392">
        <v>0</v>
      </c>
      <c r="AK324" s="392">
        <v>10773366</v>
      </c>
      <c r="AL324" s="392">
        <v>3180823</v>
      </c>
      <c r="AM324" s="392">
        <v>4673332</v>
      </c>
      <c r="AN324" s="392">
        <v>238928</v>
      </c>
      <c r="AO324" s="392">
        <v>458764</v>
      </c>
      <c r="AP324" s="392">
        <v>290545</v>
      </c>
      <c r="AQ324" s="392">
        <v>471950</v>
      </c>
      <c r="AR324" s="392">
        <v>340676</v>
      </c>
      <c r="AS324" s="392">
        <v>736878</v>
      </c>
      <c r="AT324" s="392">
        <v>334142</v>
      </c>
      <c r="AU324" s="392">
        <v>376538</v>
      </c>
      <c r="AV324" s="392">
        <v>440014</v>
      </c>
      <c r="AW324" s="392">
        <v>857898</v>
      </c>
      <c r="AX324" s="392">
        <v>301965</v>
      </c>
      <c r="AY324" s="786">
        <v>475794</v>
      </c>
      <c r="AZ324" s="392">
        <v>3956765</v>
      </c>
      <c r="BA324" s="639">
        <f>SUM(SNAMEB[[#This Row],[Instruction Expenditures]:[Transfers Out/OtherFinancing]])+SUM(SNAMEB[[#This Row],[General Fund Balance]:[Other Enterprise FundBalance]])</f>
        <v>13954191</v>
      </c>
      <c r="BB324" s="639">
        <f>SUM(SNAMEB[[#This Row],[Property Tax Revenue]:[IDEA/Other Fed Revenue]])+SNAMEB[General Long-term DebtProceeds]+SNAMEB[TransfersIn/Other Financing]+SNAMEB[Fixed Asset Disposition]+SNAMEB[Beginning Fund Balance]</f>
        <v>13954188</v>
      </c>
    </row>
    <row r="325" spans="1:54" x14ac:dyDescent="0.2">
      <c r="A325" s="390">
        <v>12</v>
      </c>
      <c r="B325" s="391" t="s">
        <v>396</v>
      </c>
      <c r="C325" s="631">
        <v>6990</v>
      </c>
      <c r="D325" t="s">
        <v>1398</v>
      </c>
      <c r="E325" s="392">
        <v>1474191</v>
      </c>
      <c r="F325" s="392">
        <v>75736</v>
      </c>
      <c r="G325" s="392">
        <v>297714</v>
      </c>
      <c r="H325" s="392">
        <v>0</v>
      </c>
      <c r="I325" s="392">
        <v>0</v>
      </c>
      <c r="J325" s="392">
        <v>0</v>
      </c>
      <c r="K325" s="392">
        <v>1126448</v>
      </c>
      <c r="L325" s="392">
        <v>270553</v>
      </c>
      <c r="M325" s="392">
        <v>0</v>
      </c>
      <c r="N325" s="392">
        <v>328677</v>
      </c>
      <c r="O325" s="392">
        <v>211347</v>
      </c>
      <c r="P325" s="392">
        <v>140840</v>
      </c>
      <c r="Q325" s="392">
        <v>3925506</v>
      </c>
      <c r="R325" s="392">
        <v>3201961</v>
      </c>
      <c r="S325" s="392">
        <v>57471</v>
      </c>
      <c r="T325" s="392">
        <v>193658</v>
      </c>
      <c r="U325" s="392">
        <v>101129</v>
      </c>
      <c r="V325" s="392">
        <v>77905</v>
      </c>
      <c r="W325" s="392">
        <v>182130</v>
      </c>
      <c r="X325" s="392">
        <v>479735</v>
      </c>
      <c r="Y325" s="392">
        <v>411043</v>
      </c>
      <c r="Z325" s="392">
        <v>0</v>
      </c>
      <c r="AA325" s="392">
        <v>5311038</v>
      </c>
      <c r="AB325" s="392">
        <v>0</v>
      </c>
      <c r="AC325" s="392">
        <v>833714</v>
      </c>
      <c r="AD325" s="392">
        <v>52470</v>
      </c>
      <c r="AE325" s="392">
        <v>152439</v>
      </c>
      <c r="AF325" s="392">
        <v>668124</v>
      </c>
      <c r="AG325" s="392">
        <v>11722816</v>
      </c>
      <c r="AH325" s="392">
        <v>58800</v>
      </c>
      <c r="AI325" s="392">
        <v>811296</v>
      </c>
      <c r="AJ325" s="392">
        <v>73025</v>
      </c>
      <c r="AK325" s="392">
        <v>12665938</v>
      </c>
      <c r="AL325" s="392">
        <v>3580508</v>
      </c>
      <c r="AM325" s="392">
        <v>6861470</v>
      </c>
      <c r="AN325" s="392">
        <v>252340</v>
      </c>
      <c r="AO325" s="392">
        <v>257466</v>
      </c>
      <c r="AP325" s="392">
        <v>362872</v>
      </c>
      <c r="AQ325" s="392">
        <v>365831</v>
      </c>
      <c r="AR325" s="392">
        <v>145146</v>
      </c>
      <c r="AS325" s="392">
        <v>781559</v>
      </c>
      <c r="AT325" s="392">
        <v>371678</v>
      </c>
      <c r="AU325" s="392">
        <v>719165</v>
      </c>
      <c r="AV325" s="392">
        <v>251598</v>
      </c>
      <c r="AW325" s="392">
        <v>1045273</v>
      </c>
      <c r="AX325" s="392">
        <v>347107</v>
      </c>
      <c r="AY325" s="786">
        <v>559434</v>
      </c>
      <c r="AZ325" s="392">
        <v>3925506</v>
      </c>
      <c r="BA325" s="639">
        <f>SUM(SNAMEB[[#This Row],[Instruction Expenditures]:[Transfers Out/OtherFinancing]])+SUM(SNAMEB[[#This Row],[General Fund Balance]:[Other Enterprise FundBalance]])</f>
        <v>16246445</v>
      </c>
      <c r="BB325" s="639">
        <f>SUM(SNAMEB[[#This Row],[Property Tax Revenue]:[IDEA/Other Fed Revenue]])+SNAMEB[General Long-term DebtProceeds]+SNAMEB[TransfersIn/Other Financing]+SNAMEB[Fixed Asset Disposition]+SNAMEB[Beginning Fund Balance]</f>
        <v>16246446</v>
      </c>
    </row>
    <row r="326" spans="1:54" x14ac:dyDescent="0.2">
      <c r="A326" s="390">
        <v>1</v>
      </c>
      <c r="B326" s="391" t="s">
        <v>390</v>
      </c>
      <c r="C326" s="631">
        <v>6961</v>
      </c>
      <c r="D326" t="s">
        <v>1350</v>
      </c>
      <c r="E326" s="392">
        <v>8760614</v>
      </c>
      <c r="F326" s="392">
        <v>842786</v>
      </c>
      <c r="G326" s="392">
        <v>1512847</v>
      </c>
      <c r="H326" s="392">
        <v>0</v>
      </c>
      <c r="I326" s="392">
        <v>0</v>
      </c>
      <c r="J326" s="392">
        <v>0</v>
      </c>
      <c r="K326" s="392">
        <v>2705346</v>
      </c>
      <c r="L326" s="392">
        <v>1851384</v>
      </c>
      <c r="M326" s="392">
        <v>0</v>
      </c>
      <c r="N326" s="392">
        <v>6636619</v>
      </c>
      <c r="O326" s="392">
        <v>154250</v>
      </c>
      <c r="P326" s="392">
        <v>0</v>
      </c>
      <c r="Q326" s="392">
        <v>22463847</v>
      </c>
      <c r="R326" s="392">
        <v>15581041</v>
      </c>
      <c r="S326" s="392">
        <v>290449</v>
      </c>
      <c r="T326" s="392">
        <v>1305859</v>
      </c>
      <c r="U326" s="392">
        <v>1742071</v>
      </c>
      <c r="V326" s="392">
        <v>261151</v>
      </c>
      <c r="W326" s="392">
        <v>1234561</v>
      </c>
      <c r="X326" s="392">
        <v>1265677</v>
      </c>
      <c r="Y326" s="392">
        <v>1159157</v>
      </c>
      <c r="Z326" s="392">
        <v>0</v>
      </c>
      <c r="AA326" s="392">
        <v>17455174</v>
      </c>
      <c r="AB326" s="392">
        <v>0</v>
      </c>
      <c r="AC326" s="392">
        <v>3629684</v>
      </c>
      <c r="AD326" s="392">
        <v>424746</v>
      </c>
      <c r="AE326" s="392">
        <v>431504</v>
      </c>
      <c r="AF326" s="392">
        <v>1510094</v>
      </c>
      <c r="AG326" s="392">
        <v>46291168</v>
      </c>
      <c r="AH326" s="392">
        <v>0</v>
      </c>
      <c r="AI326" s="392">
        <v>1905881</v>
      </c>
      <c r="AJ326" s="392">
        <v>463673</v>
      </c>
      <c r="AK326" s="392">
        <v>48660722</v>
      </c>
      <c r="AL326" s="392">
        <v>19941052</v>
      </c>
      <c r="AM326" s="392">
        <v>24641164</v>
      </c>
      <c r="AN326" s="392">
        <v>1220630</v>
      </c>
      <c r="AO326" s="392">
        <v>1696433</v>
      </c>
      <c r="AP326" s="392">
        <v>741490</v>
      </c>
      <c r="AQ326" s="392">
        <v>1999469</v>
      </c>
      <c r="AR326" s="392">
        <v>1353443</v>
      </c>
      <c r="AS326" s="392">
        <v>2709899</v>
      </c>
      <c r="AT326" s="392">
        <v>2340264</v>
      </c>
      <c r="AU326" s="392">
        <v>1966268</v>
      </c>
      <c r="AV326" s="392">
        <v>2771454</v>
      </c>
      <c r="AW326" s="392">
        <v>1327693</v>
      </c>
      <c r="AX326" s="392">
        <v>1462385</v>
      </c>
      <c r="AY326" s="786">
        <v>1907336</v>
      </c>
      <c r="AZ326" s="392">
        <v>22463847</v>
      </c>
      <c r="BA326" s="639">
        <f>SUM(SNAMEB[[#This Row],[Instruction Expenditures]:[Transfers Out/OtherFinancing]])+SUM(SNAMEB[[#This Row],[General Fund Balance]:[Other Enterprise FundBalance]])</f>
        <v>68601774</v>
      </c>
      <c r="BB326" s="639">
        <f>SUM(SNAMEB[[#This Row],[Property Tax Revenue]:[IDEA/Other Fed Revenue]])+SNAMEB[General Long-term DebtProceeds]+SNAMEB[TransfersIn/Other Financing]+SNAMEB[Fixed Asset Disposition]+SNAMEB[Beginning Fund Balance]</f>
        <v>68601774</v>
      </c>
    </row>
    <row r="327" spans="1:54" x14ac:dyDescent="0.2">
      <c r="A327" s="390">
        <v>12</v>
      </c>
      <c r="B327" s="391" t="s">
        <v>397</v>
      </c>
      <c r="C327" s="631">
        <v>6992</v>
      </c>
      <c r="D327" t="s">
        <v>1399</v>
      </c>
      <c r="E327" s="392">
        <v>1600093</v>
      </c>
      <c r="F327" s="392">
        <v>176235</v>
      </c>
      <c r="G327" s="392">
        <v>341370</v>
      </c>
      <c r="H327" s="392">
        <v>0</v>
      </c>
      <c r="I327" s="392">
        <v>0</v>
      </c>
      <c r="J327" s="392">
        <v>0</v>
      </c>
      <c r="K327" s="392">
        <v>295090</v>
      </c>
      <c r="L327" s="392">
        <v>451204</v>
      </c>
      <c r="M327" s="392">
        <v>0</v>
      </c>
      <c r="N327" s="392">
        <v>0</v>
      </c>
      <c r="O327" s="392">
        <v>-27542</v>
      </c>
      <c r="P327" s="392">
        <v>318</v>
      </c>
      <c r="Q327" s="392">
        <v>2836769</v>
      </c>
      <c r="R327" s="392">
        <v>2991726</v>
      </c>
      <c r="S327" s="392">
        <v>813644</v>
      </c>
      <c r="T327" s="392">
        <v>186882</v>
      </c>
      <c r="U327" s="392">
        <v>487086</v>
      </c>
      <c r="V327" s="392">
        <v>43373</v>
      </c>
      <c r="W327" s="392">
        <v>162805</v>
      </c>
      <c r="X327" s="392">
        <v>433649</v>
      </c>
      <c r="Y327" s="392">
        <v>126117</v>
      </c>
      <c r="Z327" s="392">
        <v>0</v>
      </c>
      <c r="AA327" s="392">
        <v>2265045</v>
      </c>
      <c r="AB327" s="392">
        <v>0</v>
      </c>
      <c r="AC327" s="392">
        <v>504189</v>
      </c>
      <c r="AD327" s="392">
        <v>33917</v>
      </c>
      <c r="AE327" s="392">
        <v>83027</v>
      </c>
      <c r="AF327" s="392">
        <v>233233</v>
      </c>
      <c r="AG327" s="392">
        <v>8364692</v>
      </c>
      <c r="AH327" s="392">
        <v>0</v>
      </c>
      <c r="AI327" s="392">
        <v>10625</v>
      </c>
      <c r="AJ327" s="392">
        <v>850</v>
      </c>
      <c r="AK327" s="392">
        <v>8376167</v>
      </c>
      <c r="AL327" s="392">
        <v>2818610</v>
      </c>
      <c r="AM327" s="392">
        <v>5384717</v>
      </c>
      <c r="AN327" s="392">
        <v>189221</v>
      </c>
      <c r="AO327" s="392">
        <v>173020</v>
      </c>
      <c r="AP327" s="392">
        <v>179707</v>
      </c>
      <c r="AQ327" s="392">
        <v>283009</v>
      </c>
      <c r="AR327" s="392">
        <v>96905</v>
      </c>
      <c r="AS327" s="392">
        <v>481693</v>
      </c>
      <c r="AT327" s="392">
        <v>450738</v>
      </c>
      <c r="AU327" s="392">
        <v>288765</v>
      </c>
      <c r="AV327" s="392">
        <v>604561</v>
      </c>
      <c r="AW327" s="392">
        <v>0</v>
      </c>
      <c r="AX327" s="392">
        <v>225149</v>
      </c>
      <c r="AY327" s="786">
        <v>522</v>
      </c>
      <c r="AZ327" s="392">
        <v>2836769</v>
      </c>
      <c r="BA327" s="639">
        <f>SUM(SNAMEB[[#This Row],[Instruction Expenditures]:[Transfers Out/OtherFinancing]])+SUM(SNAMEB[[#This Row],[General Fund Balance]:[Other Enterprise FundBalance]])</f>
        <v>11194775</v>
      </c>
      <c r="BB327" s="639">
        <f>SUM(SNAMEB[[#This Row],[Property Tax Revenue]:[IDEA/Other Fed Revenue]])+SNAMEB[General Long-term DebtProceeds]+SNAMEB[TransfersIn/Other Financing]+SNAMEB[Fixed Asset Disposition]+SNAMEB[Beginning Fund Balance]</f>
        <v>11194778</v>
      </c>
    </row>
    <row r="328" spans="1:54" x14ac:dyDescent="0.2">
      <c r="A328" s="390">
        <v>12</v>
      </c>
      <c r="B328" s="391" t="s">
        <v>398</v>
      </c>
      <c r="C328" s="631">
        <v>7002</v>
      </c>
      <c r="D328" t="s">
        <v>1400</v>
      </c>
      <c r="E328" s="392">
        <v>351155</v>
      </c>
      <c r="F328" s="392">
        <v>32049</v>
      </c>
      <c r="G328" s="392">
        <v>334655</v>
      </c>
      <c r="H328" s="392">
        <v>0</v>
      </c>
      <c r="I328" s="392">
        <v>0</v>
      </c>
      <c r="J328" s="392">
        <v>0</v>
      </c>
      <c r="K328" s="392">
        <v>622584</v>
      </c>
      <c r="L328" s="392">
        <v>250857</v>
      </c>
      <c r="M328" s="392">
        <v>0</v>
      </c>
      <c r="N328" s="392">
        <v>22808</v>
      </c>
      <c r="O328" s="392">
        <v>-31703</v>
      </c>
      <c r="P328" s="392">
        <v>0</v>
      </c>
      <c r="Q328" s="392">
        <v>1582405</v>
      </c>
      <c r="R328" s="392">
        <v>1216414</v>
      </c>
      <c r="S328" s="392">
        <v>12948</v>
      </c>
      <c r="T328" s="392">
        <v>87346</v>
      </c>
      <c r="U328" s="392">
        <v>421209</v>
      </c>
      <c r="V328" s="392">
        <v>860</v>
      </c>
      <c r="W328" s="392">
        <v>41004</v>
      </c>
      <c r="X328" s="392">
        <v>112929</v>
      </c>
      <c r="Y328" s="392">
        <v>215543</v>
      </c>
      <c r="Z328" s="392">
        <v>0</v>
      </c>
      <c r="AA328" s="392">
        <v>921592</v>
      </c>
      <c r="AB328" s="392">
        <v>0</v>
      </c>
      <c r="AC328" s="392">
        <v>192789</v>
      </c>
      <c r="AD328" s="392">
        <v>5371</v>
      </c>
      <c r="AE328" s="392">
        <v>33344</v>
      </c>
      <c r="AF328" s="392">
        <v>118960</v>
      </c>
      <c r="AG328" s="392">
        <v>3380309</v>
      </c>
      <c r="AH328" s="392">
        <v>0</v>
      </c>
      <c r="AI328" s="392">
        <v>0</v>
      </c>
      <c r="AJ328" s="392">
        <v>0</v>
      </c>
      <c r="AK328" s="392">
        <v>3380309</v>
      </c>
      <c r="AL328" s="392">
        <v>1524506</v>
      </c>
      <c r="AM328" s="392">
        <v>2046975</v>
      </c>
      <c r="AN328" s="392">
        <v>40166</v>
      </c>
      <c r="AO328" s="392">
        <v>57057</v>
      </c>
      <c r="AP328" s="392">
        <v>118422</v>
      </c>
      <c r="AQ328" s="392">
        <v>145022</v>
      </c>
      <c r="AR328" s="392">
        <v>80922</v>
      </c>
      <c r="AS328" s="392">
        <v>235917</v>
      </c>
      <c r="AT328" s="392">
        <v>90123</v>
      </c>
      <c r="AU328" s="392">
        <v>139443</v>
      </c>
      <c r="AV328" s="392">
        <v>289504</v>
      </c>
      <c r="AW328" s="392">
        <v>0</v>
      </c>
      <c r="AX328" s="392">
        <v>78859</v>
      </c>
      <c r="AY328" s="786">
        <v>0</v>
      </c>
      <c r="AZ328" s="392">
        <v>1582405</v>
      </c>
      <c r="BA328" s="639">
        <f>SUM(SNAMEB[[#This Row],[Instruction Expenditures]:[Transfers Out/OtherFinancing]])+SUM(SNAMEB[[#This Row],[General Fund Balance]:[Other Enterprise FundBalance]])</f>
        <v>4904815</v>
      </c>
      <c r="BB328" s="639">
        <f>SUM(SNAMEB[[#This Row],[Property Tax Revenue]:[IDEA/Other Fed Revenue]])+SNAMEB[General Long-term DebtProceeds]+SNAMEB[TransfersIn/Other Financing]+SNAMEB[Fixed Asset Disposition]+SNAMEB[Beginning Fund Balance]</f>
        <v>4904815</v>
      </c>
    </row>
    <row r="329" spans="1:54" x14ac:dyDescent="0.2">
      <c r="A329" s="390">
        <v>10</v>
      </c>
      <c r="B329" s="391" t="s">
        <v>399</v>
      </c>
      <c r="C329" s="631">
        <v>7029</v>
      </c>
      <c r="D329" t="s">
        <v>1401</v>
      </c>
      <c r="E329" s="392">
        <v>1467450</v>
      </c>
      <c r="F329" s="392">
        <v>196023</v>
      </c>
      <c r="G329" s="392">
        <v>453376</v>
      </c>
      <c r="H329" s="392">
        <v>0</v>
      </c>
      <c r="I329" s="392">
        <v>0</v>
      </c>
      <c r="J329" s="392">
        <v>0</v>
      </c>
      <c r="K329" s="392">
        <v>1306129</v>
      </c>
      <c r="L329" s="392">
        <v>346953</v>
      </c>
      <c r="M329" s="392">
        <v>1676551</v>
      </c>
      <c r="N329" s="392">
        <v>743355</v>
      </c>
      <c r="O329" s="392">
        <v>-73323</v>
      </c>
      <c r="P329" s="392">
        <v>0</v>
      </c>
      <c r="Q329" s="392">
        <v>6116514</v>
      </c>
      <c r="R329" s="392">
        <v>5178925</v>
      </c>
      <c r="S329" s="392">
        <v>116354</v>
      </c>
      <c r="T329" s="392">
        <v>223536</v>
      </c>
      <c r="U329" s="392">
        <v>661627</v>
      </c>
      <c r="V329" s="392">
        <v>19334</v>
      </c>
      <c r="W329" s="392">
        <v>372112</v>
      </c>
      <c r="X329" s="392">
        <v>631249</v>
      </c>
      <c r="Y329" s="392">
        <v>255608</v>
      </c>
      <c r="Z329" s="392">
        <v>0</v>
      </c>
      <c r="AA329" s="392">
        <v>6603158</v>
      </c>
      <c r="AB329" s="392">
        <v>0</v>
      </c>
      <c r="AC329" s="392">
        <v>1532062</v>
      </c>
      <c r="AD329" s="392">
        <v>133395</v>
      </c>
      <c r="AE329" s="392">
        <v>338174</v>
      </c>
      <c r="AF329" s="392">
        <v>365865</v>
      </c>
      <c r="AG329" s="392">
        <v>16431400</v>
      </c>
      <c r="AH329" s="392">
        <v>355556</v>
      </c>
      <c r="AI329" s="392">
        <v>1208460</v>
      </c>
      <c r="AJ329" s="392">
        <v>0</v>
      </c>
      <c r="AK329" s="392">
        <v>17995415</v>
      </c>
      <c r="AL329" s="392">
        <v>10021449</v>
      </c>
      <c r="AM329" s="392">
        <v>9422403</v>
      </c>
      <c r="AN329" s="392">
        <v>286001</v>
      </c>
      <c r="AO329" s="392">
        <v>327076</v>
      </c>
      <c r="AP329" s="392">
        <v>289542</v>
      </c>
      <c r="AQ329" s="392">
        <v>659089</v>
      </c>
      <c r="AR329" s="392">
        <v>419047</v>
      </c>
      <c r="AS329" s="392">
        <v>1094983</v>
      </c>
      <c r="AT329" s="392">
        <v>612411</v>
      </c>
      <c r="AU329" s="392">
        <v>608663</v>
      </c>
      <c r="AV329" s="392">
        <v>4937885</v>
      </c>
      <c r="AW329" s="392">
        <v>1562031</v>
      </c>
      <c r="AX329" s="392">
        <v>472309</v>
      </c>
      <c r="AY329" s="786">
        <v>1208911</v>
      </c>
      <c r="AZ329" s="392">
        <v>6116514</v>
      </c>
      <c r="BA329" s="639">
        <f>SUM(SNAMEB[[#This Row],[Instruction Expenditures]:[Transfers Out/OtherFinancing]])+SUM(SNAMEB[[#This Row],[General Fund Balance]:[Other Enterprise FundBalance]])</f>
        <v>28016865</v>
      </c>
      <c r="BB329" s="639">
        <f>SUM(SNAMEB[[#This Row],[Property Tax Revenue]:[IDEA/Other Fed Revenue]])+SNAMEB[General Long-term DebtProceeds]+SNAMEB[TransfersIn/Other Financing]+SNAMEB[Fixed Asset Disposition]+SNAMEB[Beginning Fund Balance]</f>
        <v>28016864</v>
      </c>
    </row>
    <row r="330" spans="1:54" x14ac:dyDescent="0.2">
      <c r="A330" s="390">
        <v>9</v>
      </c>
      <c r="B330" s="391" t="s">
        <v>400</v>
      </c>
      <c r="C330" s="631">
        <v>7038</v>
      </c>
      <c r="D330" t="s">
        <v>1402</v>
      </c>
      <c r="E330" s="392">
        <v>2295981</v>
      </c>
      <c r="F330" s="392">
        <v>204838</v>
      </c>
      <c r="G330" s="392">
        <v>511668</v>
      </c>
      <c r="H330" s="392">
        <v>0</v>
      </c>
      <c r="I330" s="392">
        <v>0</v>
      </c>
      <c r="J330" s="392">
        <v>0</v>
      </c>
      <c r="K330" s="392">
        <v>1926485</v>
      </c>
      <c r="L330" s="392">
        <v>100609</v>
      </c>
      <c r="M330" s="392">
        <v>406969</v>
      </c>
      <c r="N330" s="392">
        <v>26398</v>
      </c>
      <c r="O330" s="392">
        <v>95661</v>
      </c>
      <c r="P330" s="392">
        <v>97285</v>
      </c>
      <c r="Q330" s="392">
        <v>5665893</v>
      </c>
      <c r="R330" s="392">
        <v>3519880</v>
      </c>
      <c r="S330" s="392">
        <v>65994</v>
      </c>
      <c r="T330" s="392">
        <v>180018</v>
      </c>
      <c r="U330" s="392">
        <v>529477</v>
      </c>
      <c r="V330" s="392">
        <v>20093</v>
      </c>
      <c r="W330" s="392">
        <v>233226</v>
      </c>
      <c r="X330" s="392">
        <v>404117</v>
      </c>
      <c r="Y330" s="392">
        <v>448028</v>
      </c>
      <c r="Z330" s="392">
        <v>0</v>
      </c>
      <c r="AA330" s="392">
        <v>4514786</v>
      </c>
      <c r="AB330" s="392">
        <v>0</v>
      </c>
      <c r="AC330" s="392">
        <v>1046120</v>
      </c>
      <c r="AD330" s="392">
        <v>17451</v>
      </c>
      <c r="AE330" s="392">
        <v>84415</v>
      </c>
      <c r="AF330" s="392">
        <v>299438</v>
      </c>
      <c r="AG330" s="392">
        <v>11363043</v>
      </c>
      <c r="AH330" s="392">
        <v>5797677</v>
      </c>
      <c r="AI330" s="392">
        <v>5679804</v>
      </c>
      <c r="AJ330" s="392">
        <v>1000</v>
      </c>
      <c r="AK330" s="392">
        <v>22841524</v>
      </c>
      <c r="AL330" s="392">
        <v>6214325</v>
      </c>
      <c r="AM330" s="392">
        <v>5999634</v>
      </c>
      <c r="AN330" s="392">
        <v>224429</v>
      </c>
      <c r="AO330" s="392">
        <v>417746</v>
      </c>
      <c r="AP330" s="392">
        <v>270792</v>
      </c>
      <c r="AQ330" s="392">
        <v>357917</v>
      </c>
      <c r="AR330" s="392">
        <v>363879</v>
      </c>
      <c r="AS330" s="392">
        <v>806674</v>
      </c>
      <c r="AT330" s="392">
        <v>282083</v>
      </c>
      <c r="AU330" s="392">
        <v>580811</v>
      </c>
      <c r="AV330" s="392">
        <v>6829930</v>
      </c>
      <c r="AW330" s="392">
        <v>1261403</v>
      </c>
      <c r="AX330" s="392">
        <v>314659</v>
      </c>
      <c r="AY330" s="786">
        <v>5679999</v>
      </c>
      <c r="AZ330" s="392">
        <v>5665893</v>
      </c>
      <c r="BA330" s="639">
        <f>SUM(SNAMEB[[#This Row],[Instruction Expenditures]:[Transfers Out/OtherFinancing]])+SUM(SNAMEB[[#This Row],[General Fund Balance]:[Other Enterprise FundBalance]])</f>
        <v>29055850</v>
      </c>
      <c r="BB330" s="639">
        <f>SUM(SNAMEB[[#This Row],[Property Tax Revenue]:[IDEA/Other Fed Revenue]])+SNAMEB[General Long-term DebtProceeds]+SNAMEB[TransfersIn/Other Financing]+SNAMEB[Fixed Asset Disposition]+SNAMEB[Beginning Fund Balance]</f>
        <v>29055849</v>
      </c>
    </row>
    <row r="331" spans="1:54" x14ac:dyDescent="0.2">
      <c r="A331" s="390">
        <v>15</v>
      </c>
      <c r="B331" s="391" t="s">
        <v>401</v>
      </c>
      <c r="C331" s="631">
        <v>7047</v>
      </c>
      <c r="D331" t="s">
        <v>1403</v>
      </c>
      <c r="E331" s="392">
        <v>1020546</v>
      </c>
      <c r="F331" s="392">
        <v>81710</v>
      </c>
      <c r="G331" s="392">
        <v>286378</v>
      </c>
      <c r="H331" s="392">
        <v>0</v>
      </c>
      <c r="I331" s="392">
        <v>0</v>
      </c>
      <c r="J331" s="392">
        <v>0</v>
      </c>
      <c r="K331" s="392">
        <v>256447</v>
      </c>
      <c r="L331" s="392">
        <v>54746</v>
      </c>
      <c r="M331" s="392">
        <v>0</v>
      </c>
      <c r="N331" s="392">
        <v>290827</v>
      </c>
      <c r="O331" s="392">
        <v>93480</v>
      </c>
      <c r="P331" s="392">
        <v>0</v>
      </c>
      <c r="Q331" s="392">
        <v>2084133</v>
      </c>
      <c r="R331" s="392">
        <v>1453188</v>
      </c>
      <c r="S331" s="392">
        <v>25418</v>
      </c>
      <c r="T331" s="392">
        <v>104039</v>
      </c>
      <c r="U331" s="392">
        <v>655351</v>
      </c>
      <c r="V331" s="392">
        <v>2637</v>
      </c>
      <c r="W331" s="392">
        <v>85871</v>
      </c>
      <c r="X331" s="392">
        <v>171620</v>
      </c>
      <c r="Y331" s="392">
        <v>99283</v>
      </c>
      <c r="Z331" s="392">
        <v>0</v>
      </c>
      <c r="AA331" s="392">
        <v>2180318</v>
      </c>
      <c r="AB331" s="392">
        <v>0</v>
      </c>
      <c r="AC331" s="392">
        <v>495604</v>
      </c>
      <c r="AD331" s="392">
        <v>13475</v>
      </c>
      <c r="AE331" s="392">
        <v>71976</v>
      </c>
      <c r="AF331" s="392">
        <v>226906</v>
      </c>
      <c r="AG331" s="392">
        <v>5585687</v>
      </c>
      <c r="AH331" s="392">
        <v>155068</v>
      </c>
      <c r="AI331" s="392">
        <v>282234</v>
      </c>
      <c r="AJ331" s="392">
        <v>0</v>
      </c>
      <c r="AK331" s="392">
        <v>6022989</v>
      </c>
      <c r="AL331" s="392">
        <v>2086636</v>
      </c>
      <c r="AM331" s="392">
        <v>3292449</v>
      </c>
      <c r="AN331" s="392">
        <v>63995</v>
      </c>
      <c r="AO331" s="392">
        <v>129473</v>
      </c>
      <c r="AP331" s="392">
        <v>238194</v>
      </c>
      <c r="AQ331" s="392">
        <v>246702</v>
      </c>
      <c r="AR331" s="392">
        <v>446406</v>
      </c>
      <c r="AS331" s="392">
        <v>374101</v>
      </c>
      <c r="AT331" s="392">
        <v>139858</v>
      </c>
      <c r="AU331" s="392">
        <v>230398</v>
      </c>
      <c r="AV331" s="392">
        <v>167883</v>
      </c>
      <c r="AW331" s="392">
        <v>262793</v>
      </c>
      <c r="AX331" s="392">
        <v>151427</v>
      </c>
      <c r="AY331" s="786">
        <v>281811</v>
      </c>
      <c r="AZ331" s="392">
        <v>2084133</v>
      </c>
      <c r="BA331" s="639">
        <f>SUM(SNAMEB[[#This Row],[Instruction Expenditures]:[Transfers Out/OtherFinancing]])+SUM(SNAMEB[[#This Row],[General Fund Balance]:[Other Enterprise FundBalance]])</f>
        <v>8109624</v>
      </c>
      <c r="BB331" s="639">
        <f>SUM(SNAMEB[[#This Row],[Property Tax Revenue]:[IDEA/Other Fed Revenue]])+SNAMEB[General Long-term DebtProceeds]+SNAMEB[TransfersIn/Other Financing]+SNAMEB[Fixed Asset Disposition]+SNAMEB[Beginning Fund Balance]</f>
        <v>8109624</v>
      </c>
    </row>
    <row r="332" spans="1:54" x14ac:dyDescent="0.2">
      <c r="A332" s="390">
        <v>11</v>
      </c>
      <c r="B332" s="391" t="s">
        <v>402</v>
      </c>
      <c r="C332" s="631">
        <v>7056</v>
      </c>
      <c r="D332" t="s">
        <v>1404</v>
      </c>
      <c r="E332" s="392">
        <v>4567851</v>
      </c>
      <c r="F332" s="392">
        <v>186450</v>
      </c>
      <c r="G332" s="392">
        <v>1629537</v>
      </c>
      <c r="H332" s="392">
        <v>0</v>
      </c>
      <c r="I332" s="392">
        <v>0</v>
      </c>
      <c r="J332" s="392">
        <v>0</v>
      </c>
      <c r="K332" s="392">
        <v>2685279</v>
      </c>
      <c r="L332" s="392">
        <v>1220505</v>
      </c>
      <c r="M332" s="392">
        <v>0</v>
      </c>
      <c r="N332" s="392">
        <v>1278401</v>
      </c>
      <c r="O332" s="392">
        <v>391892</v>
      </c>
      <c r="P332" s="392">
        <v>0</v>
      </c>
      <c r="Q332" s="392">
        <v>11959914</v>
      </c>
      <c r="R332" s="392">
        <v>7252228</v>
      </c>
      <c r="S332" s="392">
        <v>209977</v>
      </c>
      <c r="T332" s="392">
        <v>401491</v>
      </c>
      <c r="U332" s="392">
        <v>829296</v>
      </c>
      <c r="V332" s="392">
        <v>26380</v>
      </c>
      <c r="W332" s="392">
        <v>378986</v>
      </c>
      <c r="X332" s="392">
        <v>369391</v>
      </c>
      <c r="Y332" s="392">
        <v>202358</v>
      </c>
      <c r="Z332" s="392">
        <v>0</v>
      </c>
      <c r="AA332" s="392">
        <v>11330052</v>
      </c>
      <c r="AB332" s="392">
        <v>0</v>
      </c>
      <c r="AC332" s="392">
        <v>1744431</v>
      </c>
      <c r="AD332" s="392">
        <v>126759</v>
      </c>
      <c r="AE332" s="392">
        <v>211205</v>
      </c>
      <c r="AF332" s="392">
        <v>694253</v>
      </c>
      <c r="AG332" s="392">
        <v>23776808</v>
      </c>
      <c r="AH332" s="392">
        <v>0</v>
      </c>
      <c r="AI332" s="392">
        <v>481388</v>
      </c>
      <c r="AJ332" s="392">
        <v>58333</v>
      </c>
      <c r="AK332" s="392">
        <v>24316529</v>
      </c>
      <c r="AL332" s="392">
        <v>10095306</v>
      </c>
      <c r="AM332" s="392">
        <v>12248516</v>
      </c>
      <c r="AN332" s="392">
        <v>609580</v>
      </c>
      <c r="AO332" s="392">
        <v>1512692</v>
      </c>
      <c r="AP332" s="392">
        <v>394875</v>
      </c>
      <c r="AQ332" s="392">
        <v>923458</v>
      </c>
      <c r="AR332" s="392">
        <v>293517</v>
      </c>
      <c r="AS332" s="392">
        <v>1720669</v>
      </c>
      <c r="AT332" s="392">
        <v>861733</v>
      </c>
      <c r="AU332" s="392">
        <v>691086</v>
      </c>
      <c r="AV332" s="392">
        <v>607162</v>
      </c>
      <c r="AW332" s="392">
        <v>1407570</v>
      </c>
      <c r="AX332" s="392">
        <v>699676</v>
      </c>
      <c r="AY332" s="786">
        <v>481388</v>
      </c>
      <c r="AZ332" s="392">
        <v>11959914</v>
      </c>
      <c r="BA332" s="639">
        <f>SUM(SNAMEB[[#This Row],[Instruction Expenditures]:[Transfers Out/OtherFinancing]])+SUM(SNAMEB[[#This Row],[General Fund Balance]:[Other Enterprise FundBalance]])</f>
        <v>34411837</v>
      </c>
      <c r="BB332" s="639">
        <f>SUM(SNAMEB[[#This Row],[Property Tax Revenue]:[IDEA/Other Fed Revenue]])+SNAMEB[General Long-term DebtProceeds]+SNAMEB[TransfersIn/Other Financing]+SNAMEB[Fixed Asset Disposition]+SNAMEB[Beginning Fund Balance]</f>
        <v>34411834</v>
      </c>
    </row>
    <row r="333" spans="1:54" x14ac:dyDescent="0.2">
      <c r="A333" s="390">
        <v>13</v>
      </c>
      <c r="B333" s="391" t="s">
        <v>403</v>
      </c>
      <c r="C333" s="631">
        <v>7092</v>
      </c>
      <c r="D333" t="s">
        <v>1405</v>
      </c>
      <c r="E333" s="392">
        <v>658138</v>
      </c>
      <c r="F333" s="392">
        <v>29268</v>
      </c>
      <c r="G333" s="392">
        <v>200832</v>
      </c>
      <c r="H333" s="392">
        <v>0</v>
      </c>
      <c r="I333" s="392">
        <v>0</v>
      </c>
      <c r="J333" s="392">
        <v>0</v>
      </c>
      <c r="K333" s="392">
        <v>644133</v>
      </c>
      <c r="L333" s="392">
        <v>388422</v>
      </c>
      <c r="M333" s="392">
        <v>0</v>
      </c>
      <c r="N333" s="392">
        <v>24150</v>
      </c>
      <c r="O333" s="392">
        <v>34965</v>
      </c>
      <c r="P333" s="392">
        <v>-58404</v>
      </c>
      <c r="Q333" s="392">
        <v>1921503</v>
      </c>
      <c r="R333" s="392">
        <v>2293924</v>
      </c>
      <c r="S333" s="392">
        <v>21093</v>
      </c>
      <c r="T333" s="392">
        <v>358678</v>
      </c>
      <c r="U333" s="392">
        <v>243851</v>
      </c>
      <c r="V333" s="392">
        <v>10819</v>
      </c>
      <c r="W333" s="392">
        <v>153206</v>
      </c>
      <c r="X333" s="392">
        <v>115891</v>
      </c>
      <c r="Y333" s="392">
        <v>210464</v>
      </c>
      <c r="Z333" s="392">
        <v>0</v>
      </c>
      <c r="AA333" s="392">
        <v>2740702</v>
      </c>
      <c r="AB333" s="392">
        <v>0</v>
      </c>
      <c r="AC333" s="392">
        <v>459858</v>
      </c>
      <c r="AD333" s="392">
        <v>5829</v>
      </c>
      <c r="AE333" s="392">
        <v>66864</v>
      </c>
      <c r="AF333" s="392">
        <v>229730</v>
      </c>
      <c r="AG333" s="392">
        <v>6910908</v>
      </c>
      <c r="AH333" s="392">
        <v>0</v>
      </c>
      <c r="AI333" s="392">
        <v>0</v>
      </c>
      <c r="AJ333" s="392">
        <v>0</v>
      </c>
      <c r="AK333" s="392">
        <v>6910908</v>
      </c>
      <c r="AL333" s="392">
        <v>1594669</v>
      </c>
      <c r="AM333" s="392">
        <v>3736927</v>
      </c>
      <c r="AN333" s="392">
        <v>151852</v>
      </c>
      <c r="AO333" s="392">
        <v>80019</v>
      </c>
      <c r="AP333" s="392">
        <v>163431</v>
      </c>
      <c r="AQ333" s="392">
        <v>292884</v>
      </c>
      <c r="AR333" s="392">
        <v>137138</v>
      </c>
      <c r="AS333" s="392">
        <v>454882</v>
      </c>
      <c r="AT333" s="392">
        <v>219693</v>
      </c>
      <c r="AU333" s="392">
        <v>351002</v>
      </c>
      <c r="AV333" s="392">
        <v>531199</v>
      </c>
      <c r="AW333" s="392">
        <v>280773</v>
      </c>
      <c r="AX333" s="392">
        <v>184275</v>
      </c>
      <c r="AY333" s="786">
        <v>0</v>
      </c>
      <c r="AZ333" s="392">
        <v>1921503</v>
      </c>
      <c r="BA333" s="639">
        <f>SUM(SNAMEB[[#This Row],[Instruction Expenditures]:[Transfers Out/OtherFinancing]])+SUM(SNAMEB[[#This Row],[General Fund Balance]:[Other Enterprise FundBalance]])</f>
        <v>8505579</v>
      </c>
      <c r="BB333" s="639">
        <f>SUM(SNAMEB[[#This Row],[Property Tax Revenue]:[IDEA/Other Fed Revenue]])+SNAMEB[General Long-term DebtProceeds]+SNAMEB[TransfersIn/Other Financing]+SNAMEB[Fixed Asset Disposition]+SNAMEB[Beginning Fund Balance]</f>
        <v>8505578</v>
      </c>
    </row>
    <row r="334" spans="1:54" x14ac:dyDescent="0.2">
      <c r="A334" s="390">
        <v>12</v>
      </c>
      <c r="B334" s="391" t="s">
        <v>404</v>
      </c>
      <c r="C334" s="631">
        <v>7098</v>
      </c>
      <c r="D334" t="s">
        <v>1406</v>
      </c>
      <c r="E334" s="392">
        <v>1291955</v>
      </c>
      <c r="F334" s="392">
        <v>283120</v>
      </c>
      <c r="G334" s="392">
        <v>201494</v>
      </c>
      <c r="H334" s="392">
        <v>0</v>
      </c>
      <c r="I334" s="392">
        <v>0</v>
      </c>
      <c r="J334" s="392">
        <v>0</v>
      </c>
      <c r="K334" s="392">
        <v>741469</v>
      </c>
      <c r="L334" s="392">
        <v>43361</v>
      </c>
      <c r="M334" s="392">
        <v>0</v>
      </c>
      <c r="N334" s="392">
        <v>0</v>
      </c>
      <c r="O334" s="392">
        <v>-41914</v>
      </c>
      <c r="P334" s="392">
        <v>0</v>
      </c>
      <c r="Q334" s="392">
        <v>2519484</v>
      </c>
      <c r="R334" s="392">
        <v>1994183</v>
      </c>
      <c r="S334" s="392">
        <v>43447</v>
      </c>
      <c r="T334" s="392">
        <v>168399</v>
      </c>
      <c r="U334" s="392">
        <v>473400</v>
      </c>
      <c r="V334" s="392">
        <v>8895</v>
      </c>
      <c r="W334" s="392">
        <v>201554</v>
      </c>
      <c r="X334" s="392">
        <v>242428</v>
      </c>
      <c r="Y334" s="392">
        <v>210621</v>
      </c>
      <c r="Z334" s="392">
        <v>0</v>
      </c>
      <c r="AA334" s="392">
        <v>3324624</v>
      </c>
      <c r="AB334" s="392">
        <v>0</v>
      </c>
      <c r="AC334" s="392">
        <v>559500</v>
      </c>
      <c r="AD334" s="392">
        <v>10943</v>
      </c>
      <c r="AE334" s="392">
        <v>83417</v>
      </c>
      <c r="AF334" s="392">
        <v>246510</v>
      </c>
      <c r="AG334" s="392">
        <v>7567920</v>
      </c>
      <c r="AH334" s="392">
        <v>0</v>
      </c>
      <c r="AI334" s="392">
        <v>240662</v>
      </c>
      <c r="AJ334" s="392">
        <v>650</v>
      </c>
      <c r="AK334" s="392">
        <v>7809232</v>
      </c>
      <c r="AL334" s="392">
        <v>2496289</v>
      </c>
      <c r="AM334" s="392">
        <v>4557733</v>
      </c>
      <c r="AN334" s="392">
        <v>158083</v>
      </c>
      <c r="AO334" s="392">
        <v>44456</v>
      </c>
      <c r="AP334" s="392">
        <v>233222</v>
      </c>
      <c r="AQ334" s="392">
        <v>270978</v>
      </c>
      <c r="AR334" s="392">
        <v>276939</v>
      </c>
      <c r="AS334" s="392">
        <v>680949</v>
      </c>
      <c r="AT334" s="392">
        <v>383564</v>
      </c>
      <c r="AU334" s="392">
        <v>296016</v>
      </c>
      <c r="AV334" s="392">
        <v>227227</v>
      </c>
      <c r="AW334" s="392">
        <v>209181</v>
      </c>
      <c r="AX334" s="392">
        <v>238506</v>
      </c>
      <c r="AY334" s="786">
        <v>209181</v>
      </c>
      <c r="AZ334" s="392">
        <v>2519484</v>
      </c>
      <c r="BA334" s="639">
        <f>SUM(SNAMEB[[#This Row],[Instruction Expenditures]:[Transfers Out/OtherFinancing]])+SUM(SNAMEB[[#This Row],[General Fund Balance]:[Other Enterprise FundBalance]])</f>
        <v>10305520</v>
      </c>
      <c r="BB334" s="639">
        <f>SUM(SNAMEB[[#This Row],[Property Tax Revenue]:[IDEA/Other Fed Revenue]])+SNAMEB[General Long-term DebtProceeds]+SNAMEB[TransfersIn/Other Financing]+SNAMEB[Fixed Asset Disposition]+SNAMEB[Beginning Fund Balance]</f>
        <v>10305522</v>
      </c>
    </row>
    <row r="335" spans="1:54" x14ac:dyDescent="0.2">
      <c r="A335" s="390">
        <v>11</v>
      </c>
      <c r="B335" s="391" t="s">
        <v>405</v>
      </c>
      <c r="C335" s="631">
        <v>7110</v>
      </c>
      <c r="D335" t="s">
        <v>1407</v>
      </c>
      <c r="E335" s="392">
        <v>1302786</v>
      </c>
      <c r="F335" s="392">
        <v>88615</v>
      </c>
      <c r="G335" s="392">
        <v>359357</v>
      </c>
      <c r="H335" s="392">
        <v>0</v>
      </c>
      <c r="I335" s="392">
        <v>0</v>
      </c>
      <c r="J335" s="392">
        <v>0</v>
      </c>
      <c r="K335" s="392">
        <v>1203949</v>
      </c>
      <c r="L335" s="392">
        <v>115121</v>
      </c>
      <c r="M335" s="392">
        <v>1844668</v>
      </c>
      <c r="N335" s="392">
        <v>50015</v>
      </c>
      <c r="O335" s="392">
        <v>248869</v>
      </c>
      <c r="P335" s="392">
        <v>53703</v>
      </c>
      <c r="Q335" s="392">
        <v>5267084</v>
      </c>
      <c r="R335" s="392">
        <v>4585952</v>
      </c>
      <c r="S335" s="392">
        <v>137179</v>
      </c>
      <c r="T335" s="392">
        <v>405311</v>
      </c>
      <c r="U335" s="392">
        <v>1079211</v>
      </c>
      <c r="V335" s="392">
        <v>3263</v>
      </c>
      <c r="W335" s="392">
        <v>235683</v>
      </c>
      <c r="X335" s="392">
        <v>282637</v>
      </c>
      <c r="Y335" s="392">
        <v>454963</v>
      </c>
      <c r="Z335" s="392">
        <v>693</v>
      </c>
      <c r="AA335" s="392">
        <v>5512045</v>
      </c>
      <c r="AB335" s="392">
        <v>0</v>
      </c>
      <c r="AC335" s="392">
        <v>1085118</v>
      </c>
      <c r="AD335" s="392">
        <v>48660</v>
      </c>
      <c r="AE335" s="392">
        <v>365390</v>
      </c>
      <c r="AF335" s="392">
        <v>328119</v>
      </c>
      <c r="AG335" s="392">
        <v>14524226</v>
      </c>
      <c r="AH335" s="392">
        <v>6001259</v>
      </c>
      <c r="AI335" s="392">
        <v>1087114</v>
      </c>
      <c r="AJ335" s="392">
        <v>11284</v>
      </c>
      <c r="AK335" s="392">
        <v>21623882</v>
      </c>
      <c r="AL335" s="392">
        <v>7168347</v>
      </c>
      <c r="AM335" s="392">
        <v>8100920</v>
      </c>
      <c r="AN335" s="392">
        <v>231904</v>
      </c>
      <c r="AO335" s="392">
        <v>172356</v>
      </c>
      <c r="AP335" s="392">
        <v>380229</v>
      </c>
      <c r="AQ335" s="392">
        <v>701770</v>
      </c>
      <c r="AR335" s="392">
        <v>323533</v>
      </c>
      <c r="AS335" s="392">
        <v>1120544</v>
      </c>
      <c r="AT335" s="392">
        <v>494659</v>
      </c>
      <c r="AU335" s="392">
        <v>442749</v>
      </c>
      <c r="AV335" s="392">
        <v>3965129</v>
      </c>
      <c r="AW335" s="392">
        <v>6403400</v>
      </c>
      <c r="AX335" s="392">
        <v>384384</v>
      </c>
      <c r="AY335" s="786">
        <v>803568</v>
      </c>
      <c r="AZ335" s="392">
        <v>5267084</v>
      </c>
      <c r="BA335" s="639">
        <f>SUM(SNAMEB[[#This Row],[Instruction Expenditures]:[Transfers Out/OtherFinancing]])+SUM(SNAMEB[[#This Row],[General Fund Balance]:[Other Enterprise FundBalance]])</f>
        <v>28792228</v>
      </c>
      <c r="BB335" s="639">
        <f>SUM(SNAMEB[[#This Row],[Property Tax Revenue]:[IDEA/Other Fed Revenue]])+SNAMEB[General Long-term DebtProceeds]+SNAMEB[TransfersIn/Other Financing]+SNAMEB[Fixed Asset Disposition]+SNAMEB[Beginning Fund Balance]</f>
        <v>28792228</v>
      </c>
    </row>
    <row r="336" spans="1:54" x14ac:dyDescent="0.2">
      <c r="A336" s="283"/>
    </row>
    <row r="337" spans="1:52" x14ac:dyDescent="0.2">
      <c r="A337" s="281"/>
      <c r="E337" s="284">
        <f>SUM(E3:E335)</f>
        <v>915223417</v>
      </c>
      <c r="F337" s="284">
        <f t="shared" ref="F337:AY337" si="0">SUM(F3:F335)</f>
        <v>52969456</v>
      </c>
      <c r="G337" s="284">
        <f t="shared" si="0"/>
        <v>219497479</v>
      </c>
      <c r="H337" s="284">
        <f t="shared" si="0"/>
        <v>2142131</v>
      </c>
      <c r="I337" s="284">
        <f t="shared" si="0"/>
        <v>7439751</v>
      </c>
      <c r="J337" s="284">
        <f t="shared" si="0"/>
        <v>11600</v>
      </c>
      <c r="K337" s="284">
        <f t="shared" si="0"/>
        <v>731035481</v>
      </c>
      <c r="L337" s="284">
        <f t="shared" si="0"/>
        <v>197173508</v>
      </c>
      <c r="M337" s="284">
        <f t="shared" si="0"/>
        <v>160520434</v>
      </c>
      <c r="N337" s="284">
        <f t="shared" si="0"/>
        <v>279352746</v>
      </c>
      <c r="O337" s="284">
        <f t="shared" si="0"/>
        <v>40350827</v>
      </c>
      <c r="P337" s="284">
        <f t="shared" si="0"/>
        <v>8054266</v>
      </c>
      <c r="Q337" s="284">
        <f t="shared" si="0"/>
        <v>2613771108</v>
      </c>
      <c r="R337" s="284">
        <f t="shared" si="0"/>
        <v>2097690156</v>
      </c>
      <c r="S337" s="284">
        <f t="shared" si="0"/>
        <v>76229615</v>
      </c>
      <c r="T337" s="284">
        <f t="shared" si="0"/>
        <v>102956949</v>
      </c>
      <c r="U337" s="284">
        <f t="shared" si="0"/>
        <v>284347665</v>
      </c>
      <c r="V337" s="284">
        <f t="shared" si="0"/>
        <v>12031599</v>
      </c>
      <c r="W337" s="284">
        <f t="shared" si="0"/>
        <v>111696958</v>
      </c>
      <c r="X337" s="284">
        <f t="shared" si="0"/>
        <v>112477476</v>
      </c>
      <c r="Y337" s="284">
        <f t="shared" si="0"/>
        <v>194896258</v>
      </c>
      <c r="Z337" s="284">
        <f t="shared" si="0"/>
        <v>2484362</v>
      </c>
      <c r="AA337" s="284">
        <f t="shared" si="0"/>
        <v>2945522813</v>
      </c>
      <c r="AB337" s="284">
        <f t="shared" si="0"/>
        <v>0</v>
      </c>
      <c r="AC337" s="284">
        <f t="shared" si="0"/>
        <v>550789708</v>
      </c>
      <c r="AD337" s="284">
        <f t="shared" si="0"/>
        <v>57593997</v>
      </c>
      <c r="AE337" s="284">
        <f t="shared" si="0"/>
        <v>90903102</v>
      </c>
      <c r="AF337" s="284">
        <f t="shared" si="0"/>
        <v>296087544</v>
      </c>
      <c r="AG337" s="284">
        <f t="shared" si="0"/>
        <v>6935708189</v>
      </c>
      <c r="AH337" s="284">
        <f t="shared" si="0"/>
        <v>677873139</v>
      </c>
      <c r="AI337" s="284">
        <f t="shared" si="0"/>
        <v>382212075</v>
      </c>
      <c r="AJ337" s="284">
        <f t="shared" si="0"/>
        <v>6507074</v>
      </c>
      <c r="AK337" s="284">
        <f t="shared" si="0"/>
        <v>8002300485</v>
      </c>
      <c r="AL337" s="284">
        <f t="shared" si="0"/>
        <v>2580573642</v>
      </c>
      <c r="AM337" s="284">
        <f t="shared" si="0"/>
        <v>3871106982</v>
      </c>
      <c r="AN337" s="284">
        <f t="shared" si="0"/>
        <v>191717844</v>
      </c>
      <c r="AO337" s="284">
        <f t="shared" si="0"/>
        <v>261384978</v>
      </c>
      <c r="AP337" s="284">
        <f t="shared" si="0"/>
        <v>135774518</v>
      </c>
      <c r="AQ337" s="284">
        <f t="shared" si="0"/>
        <v>306345429</v>
      </c>
      <c r="AR337" s="284">
        <f t="shared" si="0"/>
        <v>155185537</v>
      </c>
      <c r="AS337" s="284">
        <f t="shared" si="0"/>
        <v>487750108</v>
      </c>
      <c r="AT337" s="284">
        <f t="shared" si="0"/>
        <v>238970217</v>
      </c>
      <c r="AU337" s="284">
        <f t="shared" si="0"/>
        <v>291353810</v>
      </c>
      <c r="AV337" s="284">
        <f t="shared" si="0"/>
        <v>744726654</v>
      </c>
      <c r="AW337" s="284">
        <f t="shared" si="0"/>
        <v>673319659</v>
      </c>
      <c r="AX337" s="284">
        <f t="shared" si="0"/>
        <v>206864973</v>
      </c>
      <c r="AY337" s="785">
        <f t="shared" si="0"/>
        <v>406255307</v>
      </c>
      <c r="AZ337" s="284">
        <f>SUM(AZ3:AZ335)</f>
        <v>2613771108</v>
      </c>
    </row>
    <row r="339" spans="1:52" x14ac:dyDescent="0.2">
      <c r="W339" s="284">
        <f>SUM(E337:W337)</f>
        <v>7912495146</v>
      </c>
      <c r="AK339" s="284">
        <f>SUM(X337:AK337)</f>
        <v>20255356222</v>
      </c>
      <c r="AX339" s="284">
        <f>SUM(AL337:AX337)</f>
        <v>10145074351</v>
      </c>
    </row>
    <row r="340" spans="1:52" x14ac:dyDescent="0.2">
      <c r="D340" s="644" t="s">
        <v>2049</v>
      </c>
      <c r="E340" s="284">
        <v>916528874.06000042</v>
      </c>
      <c r="F340" s="284">
        <v>53023795.510000013</v>
      </c>
      <c r="G340" s="284">
        <v>219500051.95000017</v>
      </c>
      <c r="H340" s="284">
        <v>2142132.25</v>
      </c>
      <c r="I340" s="284">
        <v>7439751.4200000009</v>
      </c>
      <c r="J340" s="284">
        <v>11599.82</v>
      </c>
      <c r="K340" s="284">
        <v>731035485.91000032</v>
      </c>
      <c r="L340" s="284">
        <v>197173510.89999992</v>
      </c>
      <c r="M340" s="284">
        <v>160520434.12</v>
      </c>
      <c r="N340" s="284">
        <v>279352744.28999984</v>
      </c>
      <c r="O340" s="284">
        <v>40273262.569999993</v>
      </c>
      <c r="P340" s="284">
        <v>8054263.7699999996</v>
      </c>
      <c r="Q340" s="284">
        <v>2615055906.5700002</v>
      </c>
      <c r="R340" s="284">
        <v>2099098080.049999</v>
      </c>
      <c r="S340" s="284">
        <v>76270169.530000001</v>
      </c>
      <c r="T340" s="284">
        <v>103047764</v>
      </c>
      <c r="U340" s="284">
        <v>284796916.84999985</v>
      </c>
      <c r="V340" s="284">
        <v>12033704.030000005</v>
      </c>
      <c r="W340" s="284">
        <v>111719308.66000003</v>
      </c>
      <c r="X340" s="284">
        <v>112559404.96000004</v>
      </c>
      <c r="Y340" s="284">
        <v>195138084.28999987</v>
      </c>
      <c r="Z340" s="284">
        <v>2484365.1700000004</v>
      </c>
      <c r="AA340" s="284">
        <v>2946449705</v>
      </c>
      <c r="AB340" s="284">
        <v>0</v>
      </c>
      <c r="AC340" s="284">
        <v>551005744.20000029</v>
      </c>
      <c r="AD340" s="284">
        <v>57603379.659999944</v>
      </c>
      <c r="AE340" s="284">
        <v>90957388.979999974</v>
      </c>
      <c r="AF340" s="284">
        <v>296167397.23000008</v>
      </c>
      <c r="AG340" s="284">
        <v>6939331412.6099939</v>
      </c>
      <c r="AH340" s="284">
        <v>677873136.84000015</v>
      </c>
      <c r="AI340" s="284">
        <v>382957500.05000007</v>
      </c>
      <c r="AJ340" s="284">
        <v>6607073.540000001</v>
      </c>
      <c r="AK340" s="284">
        <v>8006769123.0399981</v>
      </c>
      <c r="AL340" s="284">
        <v>2582341427.2200031</v>
      </c>
      <c r="AM340" s="284">
        <v>3873358008.0600042</v>
      </c>
      <c r="AN340" s="284">
        <v>191799826.07999998</v>
      </c>
      <c r="AO340" s="284">
        <v>261533047.10000005</v>
      </c>
      <c r="AP340" s="284">
        <v>135933205.23999998</v>
      </c>
      <c r="AQ340" s="284">
        <v>306500796.51000017</v>
      </c>
      <c r="AR340" s="284">
        <v>155291702.28999993</v>
      </c>
      <c r="AS340" s="284">
        <v>487960879.64000022</v>
      </c>
      <c r="AT340" s="284">
        <v>239099192.32000002</v>
      </c>
      <c r="AU340" s="284">
        <v>291422800.23999995</v>
      </c>
      <c r="AV340" s="284">
        <v>744736140.03000009</v>
      </c>
      <c r="AW340" s="284">
        <v>674117567.96999979</v>
      </c>
      <c r="AX340" s="284">
        <v>206954018</v>
      </c>
      <c r="AY340" s="785">
        <v>407000394.22999978</v>
      </c>
      <c r="AZ340" s="284">
        <v>2615055906.5700002</v>
      </c>
    </row>
    <row r="341" spans="1:52" x14ac:dyDescent="0.2">
      <c r="D341" s="644" t="s">
        <v>1966</v>
      </c>
      <c r="E341" s="284">
        <f>E337+E342-E340</f>
        <v>-6.0000419616699219E-2</v>
      </c>
      <c r="F341" s="284">
        <f t="shared" ref="F341:AY341" si="1">F337+F342-F340</f>
        <v>-8.5100000128149986</v>
      </c>
      <c r="G341" s="284">
        <f t="shared" si="1"/>
        <v>-1.9500001668930054</v>
      </c>
      <c r="H341" s="284">
        <f t="shared" si="1"/>
        <v>-1.25</v>
      </c>
      <c r="I341" s="284">
        <f t="shared" si="1"/>
        <v>-0.42000000085681677</v>
      </c>
      <c r="J341" s="284">
        <f t="shared" si="1"/>
        <v>0.18000000000029104</v>
      </c>
      <c r="K341" s="284">
        <f t="shared" si="1"/>
        <v>-4.9100003242492676</v>
      </c>
      <c r="L341" s="284">
        <f t="shared" si="1"/>
        <v>-2.8999999165534973</v>
      </c>
      <c r="M341" s="284">
        <f t="shared" si="1"/>
        <v>-0.12000000476837158</v>
      </c>
      <c r="N341" s="284">
        <f t="shared" si="1"/>
        <v>1.7100001573562622</v>
      </c>
      <c r="O341" s="284">
        <f t="shared" si="1"/>
        <v>1.4300000071525574</v>
      </c>
      <c r="P341" s="284">
        <f t="shared" si="1"/>
        <v>2.2300000004470348</v>
      </c>
      <c r="Q341" s="284">
        <f t="shared" si="1"/>
        <v>-1.570000171661377</v>
      </c>
      <c r="R341" s="284">
        <f t="shared" si="1"/>
        <v>-4.9998998641967773E-2</v>
      </c>
      <c r="S341" s="284">
        <f t="shared" si="1"/>
        <v>7.4699999988079071</v>
      </c>
      <c r="T341" s="284">
        <f t="shared" si="1"/>
        <v>0</v>
      </c>
      <c r="U341" s="284">
        <f t="shared" si="1"/>
        <v>0.15000015497207642</v>
      </c>
      <c r="V341" s="284">
        <f t="shared" si="1"/>
        <v>4.9699999950826168</v>
      </c>
      <c r="W341" s="284">
        <f t="shared" si="1"/>
        <v>0.3399999737739563</v>
      </c>
      <c r="X341" s="284">
        <f t="shared" si="1"/>
        <v>1.0399999618530273</v>
      </c>
      <c r="Y341" s="284">
        <f t="shared" si="1"/>
        <v>8.7100001275539398</v>
      </c>
      <c r="Z341" s="284">
        <f t="shared" si="1"/>
        <v>-3.1700000003911555</v>
      </c>
      <c r="AA341" s="284">
        <f t="shared" si="1"/>
        <v>0</v>
      </c>
      <c r="AB341" s="284">
        <f t="shared" si="1"/>
        <v>0</v>
      </c>
      <c r="AC341" s="284">
        <f t="shared" si="1"/>
        <v>-5.2000002861022949</v>
      </c>
      <c r="AD341" s="284">
        <f t="shared" si="1"/>
        <v>-0.65999994426965714</v>
      </c>
      <c r="AE341" s="284">
        <f t="shared" si="1"/>
        <v>2.0000025629997253E-2</v>
      </c>
      <c r="AF341" s="284">
        <f t="shared" si="1"/>
        <v>-9.2300000786781311</v>
      </c>
      <c r="AG341" s="284">
        <f t="shared" si="1"/>
        <v>-8.6099939346313477</v>
      </c>
      <c r="AH341" s="284">
        <f t="shared" si="1"/>
        <v>2.1599998474121094</v>
      </c>
      <c r="AI341" s="284">
        <f t="shared" si="1"/>
        <v>0.94999992847442627</v>
      </c>
      <c r="AJ341" s="284">
        <f t="shared" si="1"/>
        <v>0.45999999903142452</v>
      </c>
      <c r="AK341" s="284">
        <f t="shared" si="1"/>
        <v>3.9600019454956055</v>
      </c>
      <c r="AL341" s="284">
        <f t="shared" si="1"/>
        <v>2.7799968719482422</v>
      </c>
      <c r="AM341" s="284">
        <f t="shared" si="1"/>
        <v>3.9399957656860352</v>
      </c>
      <c r="AN341" s="284">
        <f t="shared" si="1"/>
        <v>-6.0799999833106995</v>
      </c>
      <c r="AO341" s="284">
        <f t="shared" si="1"/>
        <v>12.89999994635582</v>
      </c>
      <c r="AP341" s="284">
        <f t="shared" si="1"/>
        <v>8.7600000202655792</v>
      </c>
      <c r="AQ341" s="284">
        <f t="shared" si="1"/>
        <v>7.4899998307228088</v>
      </c>
      <c r="AR341" s="284">
        <f t="shared" si="1"/>
        <v>8.710000067949295</v>
      </c>
      <c r="AS341" s="284">
        <f t="shared" si="1"/>
        <v>5.3599997758865356</v>
      </c>
      <c r="AT341" s="284">
        <f t="shared" si="1"/>
        <v>4.679999977350235</v>
      </c>
      <c r="AU341" s="284">
        <f t="shared" si="1"/>
        <v>1.7600000500679016</v>
      </c>
      <c r="AV341" s="284">
        <f t="shared" si="1"/>
        <v>1.9699999094009399</v>
      </c>
      <c r="AW341" s="284">
        <f t="shared" si="1"/>
        <v>15.03000020980835</v>
      </c>
      <c r="AX341" s="284">
        <f t="shared" si="1"/>
        <v>0</v>
      </c>
      <c r="AY341" s="785">
        <f t="shared" si="1"/>
        <v>5.7700002193450928</v>
      </c>
      <c r="AZ341" s="284">
        <f>AZ337+AZ342-AZ340</f>
        <v>-1.570000171661377</v>
      </c>
    </row>
    <row r="342" spans="1:52" x14ac:dyDescent="0.2">
      <c r="A342" s="282">
        <v>13</v>
      </c>
      <c r="B342" s="305" t="s">
        <v>186</v>
      </c>
      <c r="C342" s="305">
        <v>2205</v>
      </c>
      <c r="D342" s="282" t="s">
        <v>1108</v>
      </c>
      <c r="E342" s="392">
        <v>1305457</v>
      </c>
      <c r="F342" s="392">
        <v>54331</v>
      </c>
      <c r="G342" s="392">
        <v>2571</v>
      </c>
      <c r="H342" s="392">
        <v>0</v>
      </c>
      <c r="I342" s="392">
        <v>0</v>
      </c>
      <c r="J342" s="392">
        <v>0</v>
      </c>
      <c r="K342" s="392">
        <v>0</v>
      </c>
      <c r="L342" s="392">
        <v>0</v>
      </c>
      <c r="M342" s="392">
        <v>0</v>
      </c>
      <c r="N342" s="392">
        <v>0</v>
      </c>
      <c r="O342" s="392">
        <v>-77563</v>
      </c>
      <c r="P342" s="392">
        <v>0</v>
      </c>
      <c r="Q342" s="392">
        <v>1284797</v>
      </c>
      <c r="R342" s="392">
        <v>1407924</v>
      </c>
      <c r="S342" s="392">
        <v>40562</v>
      </c>
      <c r="T342" s="392">
        <v>90815</v>
      </c>
      <c r="U342" s="392">
        <v>449252</v>
      </c>
      <c r="V342" s="392">
        <v>2110</v>
      </c>
      <c r="W342" s="392">
        <v>22351</v>
      </c>
      <c r="X342" s="392">
        <v>81930</v>
      </c>
      <c r="Y342" s="392">
        <v>241835</v>
      </c>
      <c r="Z342" s="392">
        <v>0</v>
      </c>
      <c r="AA342" s="392">
        <v>926892</v>
      </c>
      <c r="AB342" s="392">
        <v>0</v>
      </c>
      <c r="AC342" s="392">
        <v>216031</v>
      </c>
      <c r="AD342" s="392">
        <v>9382</v>
      </c>
      <c r="AE342" s="392">
        <v>54287</v>
      </c>
      <c r="AF342" s="392">
        <v>79844</v>
      </c>
      <c r="AG342" s="392">
        <v>3623215</v>
      </c>
      <c r="AH342" s="392">
        <v>0</v>
      </c>
      <c r="AI342" s="392">
        <v>745426</v>
      </c>
      <c r="AJ342" s="392">
        <v>100000</v>
      </c>
      <c r="AK342" s="392">
        <v>4468642</v>
      </c>
      <c r="AL342" s="392">
        <v>1767788</v>
      </c>
      <c r="AM342" s="392">
        <v>2251030</v>
      </c>
      <c r="AN342" s="392">
        <v>81976</v>
      </c>
      <c r="AO342" s="392">
        <v>148082</v>
      </c>
      <c r="AP342" s="392">
        <v>158696</v>
      </c>
      <c r="AQ342" s="392">
        <v>155375</v>
      </c>
      <c r="AR342" s="392">
        <v>106174</v>
      </c>
      <c r="AS342" s="392">
        <v>210777</v>
      </c>
      <c r="AT342" s="392">
        <v>128980</v>
      </c>
      <c r="AU342" s="392">
        <v>68992</v>
      </c>
      <c r="AV342" s="392">
        <v>9488</v>
      </c>
      <c r="AW342" s="392">
        <v>797924</v>
      </c>
      <c r="AX342" s="392">
        <v>89045</v>
      </c>
      <c r="AY342" s="786">
        <v>745093</v>
      </c>
      <c r="AZ342" s="392">
        <v>1284797</v>
      </c>
    </row>
    <row r="343" spans="1:52" x14ac:dyDescent="0.2">
      <c r="B343" s="305" t="s">
        <v>2100</v>
      </c>
      <c r="C343" s="305">
        <v>5328</v>
      </c>
      <c r="D343" s="305" t="s">
        <v>1917</v>
      </c>
      <c r="E343" s="392">
        <v>422316</v>
      </c>
      <c r="F343" s="392">
        <v>0</v>
      </c>
      <c r="G343" s="392">
        <v>106873</v>
      </c>
      <c r="H343" s="392">
        <v>0</v>
      </c>
      <c r="I343" s="392">
        <v>0</v>
      </c>
      <c r="J343" s="392">
        <v>0</v>
      </c>
      <c r="K343" s="392">
        <v>394066</v>
      </c>
      <c r="L343" s="392">
        <v>139990</v>
      </c>
      <c r="M343" s="392">
        <v>0</v>
      </c>
      <c r="N343" s="392">
        <v>0</v>
      </c>
      <c r="O343" s="392">
        <v>0</v>
      </c>
      <c r="P343" s="392">
        <v>0</v>
      </c>
      <c r="Q343" s="392">
        <v>1063245</v>
      </c>
      <c r="R343" s="392">
        <v>490655</v>
      </c>
      <c r="S343" s="392">
        <v>18878</v>
      </c>
      <c r="T343" s="392">
        <v>0</v>
      </c>
      <c r="U343" s="392">
        <v>0</v>
      </c>
      <c r="V343" s="392">
        <v>1443</v>
      </c>
      <c r="W343" s="392">
        <v>19</v>
      </c>
      <c r="X343" s="392">
        <v>0</v>
      </c>
      <c r="Y343" s="392">
        <v>17537</v>
      </c>
      <c r="Z343" s="392">
        <v>0</v>
      </c>
      <c r="AA343" s="392">
        <v>493660</v>
      </c>
      <c r="AB343" s="392">
        <v>0</v>
      </c>
      <c r="AC343" s="392">
        <v>100877</v>
      </c>
      <c r="AD343" s="392">
        <v>160</v>
      </c>
      <c r="AE343" s="392">
        <v>0</v>
      </c>
      <c r="AF343" s="392">
        <v>4706</v>
      </c>
      <c r="AG343" s="392">
        <v>1127935</v>
      </c>
      <c r="AH343" s="392">
        <v>0</v>
      </c>
      <c r="AI343" s="392">
        <v>71848</v>
      </c>
      <c r="AJ343" s="392">
        <v>49966</v>
      </c>
      <c r="AK343" s="392">
        <v>1249749</v>
      </c>
      <c r="AL343" s="392">
        <v>761869</v>
      </c>
      <c r="AM343" s="392">
        <v>597261</v>
      </c>
      <c r="AN343" s="392">
        <v>0</v>
      </c>
      <c r="AO343" s="392">
        <v>0</v>
      </c>
      <c r="AP343" s="392">
        <v>49875</v>
      </c>
      <c r="AQ343" s="392">
        <v>5131</v>
      </c>
      <c r="AR343" s="392">
        <v>44738</v>
      </c>
      <c r="AS343" s="392">
        <v>33405</v>
      </c>
      <c r="AT343" s="392">
        <v>57150</v>
      </c>
      <c r="AU343" s="392">
        <v>-6580</v>
      </c>
      <c r="AV343" s="392">
        <v>60995</v>
      </c>
      <c r="AW343" s="392">
        <v>0</v>
      </c>
      <c r="AX343" s="392">
        <v>37182</v>
      </c>
      <c r="AY343" s="786">
        <v>69216</v>
      </c>
      <c r="AZ343" s="392">
        <v>1063245</v>
      </c>
    </row>
    <row r="344" spans="1:52" x14ac:dyDescent="0.2">
      <c r="B344" s="305" t="s">
        <v>2099</v>
      </c>
      <c r="C344" s="305">
        <v>6750</v>
      </c>
      <c r="D344" s="282" t="s">
        <v>1918</v>
      </c>
      <c r="E344" s="392">
        <v>670600</v>
      </c>
      <c r="F344" s="392">
        <v>18074</v>
      </c>
      <c r="G344" s="392">
        <v>163141</v>
      </c>
      <c r="H344" s="392">
        <v>0</v>
      </c>
      <c r="I344" s="392">
        <v>0</v>
      </c>
      <c r="J344" s="392">
        <v>0</v>
      </c>
      <c r="K344" s="392">
        <v>888559</v>
      </c>
      <c r="L344" s="392">
        <v>497634</v>
      </c>
      <c r="M344" s="392">
        <v>0</v>
      </c>
      <c r="N344" s="392">
        <v>0</v>
      </c>
      <c r="O344" s="392">
        <v>-44400</v>
      </c>
      <c r="P344" s="392">
        <v>0</v>
      </c>
      <c r="Q344" s="392">
        <v>2193609</v>
      </c>
      <c r="R344" s="392">
        <v>1908900</v>
      </c>
      <c r="S344" s="392">
        <v>137233</v>
      </c>
      <c r="T344" s="392">
        <v>106681</v>
      </c>
      <c r="U344" s="392">
        <v>0</v>
      </c>
      <c r="V344" s="392">
        <v>735</v>
      </c>
      <c r="W344" s="392">
        <v>20025</v>
      </c>
      <c r="X344" s="392">
        <v>2187</v>
      </c>
      <c r="Y344" s="392">
        <v>66556</v>
      </c>
      <c r="Z344" s="392">
        <v>40742</v>
      </c>
      <c r="AA344" s="392">
        <v>325870</v>
      </c>
      <c r="AB344" s="392">
        <v>0</v>
      </c>
      <c r="AC344" s="392">
        <v>171855</v>
      </c>
      <c r="AD344" s="392">
        <v>114418</v>
      </c>
      <c r="AE344" s="392">
        <v>28996</v>
      </c>
      <c r="AF344" s="392">
        <v>62745</v>
      </c>
      <c r="AG344" s="392">
        <v>2986943</v>
      </c>
      <c r="AH344" s="392">
        <v>0</v>
      </c>
      <c r="AI344" s="392">
        <v>42583</v>
      </c>
      <c r="AJ344" s="392">
        <v>0</v>
      </c>
      <c r="AK344" s="392">
        <v>3029526</v>
      </c>
      <c r="AL344" s="392">
        <v>1564254</v>
      </c>
      <c r="AM344" s="392">
        <v>1560840</v>
      </c>
      <c r="AN344" s="392">
        <v>28304</v>
      </c>
      <c r="AO344" s="392">
        <v>31403</v>
      </c>
      <c r="AP344" s="392">
        <v>110255</v>
      </c>
      <c r="AQ344" s="392">
        <v>74871</v>
      </c>
      <c r="AR344" s="392">
        <v>81243</v>
      </c>
      <c r="AS344" s="392">
        <v>197491</v>
      </c>
      <c r="AT344" s="392">
        <v>115204</v>
      </c>
      <c r="AU344" s="392">
        <v>49163</v>
      </c>
      <c r="AV344" s="392">
        <v>37496</v>
      </c>
      <c r="AW344" s="392">
        <v>19352</v>
      </c>
      <c r="AX344" s="392">
        <v>75197</v>
      </c>
      <c r="AY344" s="786">
        <v>19352</v>
      </c>
      <c r="AZ344" s="392">
        <v>2193609</v>
      </c>
    </row>
    <row r="348" spans="1:52" x14ac:dyDescent="0.2">
      <c r="AL348" s="784"/>
      <c r="AM348" s="784"/>
      <c r="AN348" s="784"/>
      <c r="AO348" s="784"/>
      <c r="AP348" s="784"/>
      <c r="AQ348" s="784"/>
      <c r="AR348" s="784"/>
      <c r="AS348" s="784"/>
      <c r="AT348" s="784"/>
      <c r="AU348" s="784"/>
      <c r="AV348" s="784"/>
      <c r="AW348" s="784"/>
      <c r="AX348" s="784"/>
      <c r="AY348" s="787"/>
      <c r="AZ348" s="784"/>
    </row>
    <row r="349" spans="1:52" x14ac:dyDescent="0.2">
      <c r="AL349" s="284"/>
      <c r="AM349" s="284"/>
      <c r="AN349" s="284"/>
      <c r="AO349" s="284"/>
      <c r="AP349" s="284"/>
      <c r="AQ349" s="284"/>
      <c r="AR349" s="284"/>
      <c r="AS349" s="284"/>
      <c r="AT349" s="284"/>
      <c r="AU349" s="284"/>
      <c r="AV349" s="284"/>
      <c r="AW349" s="284"/>
      <c r="AX349" s="284"/>
      <c r="AY349" s="785"/>
      <c r="AZ349" s="284"/>
    </row>
  </sheetData>
  <sheetProtection password="C47C" sheet="1" objects="1" scenarios="1"/>
  <customSheetViews>
    <customSheetView guid="{53CC1FF8-69F4-40AB-9E52-A9F35D642996}" state="hidden">
      <pane xSplit="2" ySplit="2" topLeftCell="C3" activePane="bottomRight" state="frozen"/>
      <selection pane="bottomRight" activeCell="A2" sqref="A2"/>
      <pageMargins left="0.25" right="0.25" top="0.25" bottom="0.25" header="0.5" footer="0.5"/>
      <pageSetup paperSize="5" scale="75" orientation="landscape" horizontalDpi="1200" verticalDpi="1200" r:id="rId1"/>
      <headerFooter alignWithMargins="0"/>
    </customSheetView>
  </customSheetViews>
  <mergeCells count="1">
    <mergeCell ref="BA1:BB1"/>
  </mergeCells>
  <phoneticPr fontId="37" type="noConversion"/>
  <pageMargins left="0.25" right="0.25" top="0.25" bottom="0.25" header="0.5" footer="0.5"/>
  <pageSetup paperSize="5" scale="75" orientation="landscape" horizontalDpi="1200" verticalDpi="1200" r:id="rId2"/>
  <headerFooter alignWithMargins="0"/>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P1701"/>
  <sheetViews>
    <sheetView workbookViewId="0">
      <pane xSplit="5" ySplit="1" topLeftCell="F2" activePane="bottomRight" state="frozen"/>
      <selection activeCell="A2" sqref="A2"/>
      <selection pane="topRight" activeCell="A2" sqref="A2"/>
      <selection pane="bottomLeft" activeCell="A2" sqref="A2"/>
      <selection pane="bottomRight" activeCell="A2" sqref="A2:A1666 A1673 AB2:AB1666"/>
    </sheetView>
  </sheetViews>
  <sheetFormatPr defaultRowHeight="11.25" x14ac:dyDescent="0.2"/>
  <cols>
    <col min="1" max="1" width="13.140625" style="648" customWidth="1"/>
    <col min="2" max="3" width="9.140625" style="648"/>
    <col min="4" max="5" width="10.140625" style="648" customWidth="1"/>
    <col min="6" max="6" width="16.140625" style="655" bestFit="1" customWidth="1"/>
    <col min="7" max="7" width="14.140625" style="655" bestFit="1" customWidth="1"/>
    <col min="8" max="8" width="11.140625" style="655" customWidth="1"/>
    <col min="9" max="10" width="12" style="655" bestFit="1" customWidth="1"/>
    <col min="11" max="12" width="11.140625" style="655" customWidth="1"/>
    <col min="13" max="13" width="12" style="655" customWidth="1"/>
    <col min="14" max="14" width="12" style="655" bestFit="1" customWidth="1"/>
    <col min="15" max="20" width="11.140625" style="655" customWidth="1"/>
    <col min="21" max="21" width="12.42578125" style="655" customWidth="1"/>
    <col min="22" max="23" width="17.140625" style="655" customWidth="1"/>
    <col min="24" max="25" width="21.140625" style="655" customWidth="1"/>
    <col min="26" max="26" width="25.140625" style="655" customWidth="1"/>
    <col min="27" max="27" width="20.140625" style="655" customWidth="1"/>
    <col min="28" max="28" width="21.140625" style="655" customWidth="1"/>
    <col min="29" max="30" width="11.140625" style="655" customWidth="1"/>
    <col min="31" max="31" width="16.140625" style="655" customWidth="1"/>
    <col min="32" max="32" width="11.140625" style="655" customWidth="1"/>
    <col min="33" max="34" width="12.140625" style="655" customWidth="1"/>
    <col min="35" max="35" width="18.140625" style="655" customWidth="1"/>
    <col min="36" max="36" width="23.140625" style="655" customWidth="1"/>
    <col min="37" max="37" width="17.140625" style="655" customWidth="1"/>
    <col min="38" max="39" width="14.140625" style="655" bestFit="1" customWidth="1"/>
    <col min="40" max="16384" width="9.140625" style="648"/>
  </cols>
  <sheetData>
    <row r="1" spans="1:39" x14ac:dyDescent="0.2">
      <c r="A1" s="645" t="s">
        <v>1799</v>
      </c>
      <c r="B1" s="646" t="s">
        <v>999</v>
      </c>
      <c r="C1" s="646" t="s">
        <v>1000</v>
      </c>
      <c r="D1" s="647" t="s">
        <v>1916</v>
      </c>
      <c r="E1" s="648" t="s">
        <v>1001</v>
      </c>
      <c r="F1" s="655" t="s">
        <v>1971</v>
      </c>
      <c r="G1" s="655" t="s">
        <v>1972</v>
      </c>
      <c r="H1" s="655" t="s">
        <v>1973</v>
      </c>
      <c r="I1" s="655" t="s">
        <v>1974</v>
      </c>
      <c r="J1" s="655" t="s">
        <v>1975</v>
      </c>
      <c r="K1" s="655" t="s">
        <v>1976</v>
      </c>
      <c r="L1" s="655" t="s">
        <v>1977</v>
      </c>
      <c r="M1" s="655" t="s">
        <v>1978</v>
      </c>
      <c r="N1" s="655" t="s">
        <v>1979</v>
      </c>
      <c r="O1" s="655" t="s">
        <v>1980</v>
      </c>
      <c r="P1" s="655" t="s">
        <v>1981</v>
      </c>
      <c r="Q1" s="655" t="s">
        <v>1982</v>
      </c>
      <c r="R1" s="655" t="s">
        <v>1983</v>
      </c>
      <c r="S1" s="655" t="s">
        <v>1984</v>
      </c>
      <c r="T1" s="655" t="s">
        <v>1985</v>
      </c>
      <c r="U1" s="655" t="s">
        <v>1986</v>
      </c>
      <c r="V1" s="655" t="s">
        <v>1987</v>
      </c>
      <c r="W1" s="655" t="s">
        <v>1988</v>
      </c>
      <c r="X1" s="655" t="s">
        <v>1989</v>
      </c>
      <c r="Y1" s="655" t="s">
        <v>1990</v>
      </c>
      <c r="Z1" s="655" t="s">
        <v>1991</v>
      </c>
      <c r="AA1" s="655" t="s">
        <v>1992</v>
      </c>
      <c r="AB1" s="655" t="s">
        <v>1993</v>
      </c>
      <c r="AC1" s="655" t="s">
        <v>1994</v>
      </c>
      <c r="AD1" s="655" t="s">
        <v>1995</v>
      </c>
      <c r="AE1" s="655" t="s">
        <v>1996</v>
      </c>
      <c r="AF1" s="655" t="s">
        <v>1997</v>
      </c>
      <c r="AG1" s="655" t="s">
        <v>1998</v>
      </c>
      <c r="AH1" s="655" t="s">
        <v>1999</v>
      </c>
      <c r="AI1" s="655" t="s">
        <v>2000</v>
      </c>
      <c r="AJ1" s="655" t="s">
        <v>2001</v>
      </c>
      <c r="AK1" s="655" t="s">
        <v>2002</v>
      </c>
      <c r="AL1" s="655" t="s">
        <v>2003</v>
      </c>
      <c r="AM1" s="655" t="s">
        <v>2004</v>
      </c>
    </row>
    <row r="2" spans="1:39" x14ac:dyDescent="0.2">
      <c r="A2" s="649">
        <v>2013</v>
      </c>
      <c r="B2" s="650">
        <v>7</v>
      </c>
      <c r="C2" s="656" t="s">
        <v>77</v>
      </c>
      <c r="D2" s="651">
        <v>9</v>
      </c>
      <c r="E2" s="648" t="s">
        <v>998</v>
      </c>
      <c r="F2" s="655">
        <v>3903707</v>
      </c>
      <c r="G2" s="655">
        <v>59151</v>
      </c>
      <c r="H2" s="655">
        <v>135817</v>
      </c>
      <c r="I2" s="655">
        <v>623811</v>
      </c>
      <c r="J2" s="655">
        <v>348108</v>
      </c>
      <c r="K2" s="655">
        <v>37338</v>
      </c>
      <c r="L2" s="655">
        <v>31704</v>
      </c>
      <c r="M2" s="655">
        <v>0</v>
      </c>
      <c r="N2" s="655">
        <v>197948</v>
      </c>
      <c r="O2" s="655">
        <v>10635</v>
      </c>
      <c r="P2" s="655">
        <v>32364</v>
      </c>
      <c r="Q2" s="655">
        <v>36182</v>
      </c>
      <c r="R2" s="655">
        <v>0</v>
      </c>
      <c r="S2" s="655">
        <v>25697</v>
      </c>
      <c r="T2" s="655">
        <v>2950</v>
      </c>
      <c r="U2" s="655">
        <v>146389</v>
      </c>
      <c r="V2" s="655">
        <v>0</v>
      </c>
      <c r="W2" s="655">
        <v>76479</v>
      </c>
      <c r="X2" s="655">
        <v>62381</v>
      </c>
      <c r="Y2" s="655">
        <v>0</v>
      </c>
      <c r="Z2" s="655">
        <v>0</v>
      </c>
      <c r="AA2" s="655">
        <v>0</v>
      </c>
      <c r="AB2" s="655">
        <v>0</v>
      </c>
      <c r="AC2" s="655">
        <v>0</v>
      </c>
      <c r="AD2" s="655">
        <v>50409</v>
      </c>
      <c r="AE2" s="655">
        <v>5680252</v>
      </c>
      <c r="AF2" s="655">
        <v>78013</v>
      </c>
      <c r="AG2" s="655">
        <v>336130</v>
      </c>
      <c r="AH2" s="655">
        <v>0</v>
      </c>
      <c r="AI2" s="655">
        <v>544920</v>
      </c>
      <c r="AJ2" s="655">
        <v>1883038</v>
      </c>
      <c r="AK2" s="655">
        <v>8522353</v>
      </c>
      <c r="AL2" s="655">
        <v>6915313</v>
      </c>
      <c r="AM2" s="655">
        <v>1607040</v>
      </c>
    </row>
    <row r="3" spans="1:39" x14ac:dyDescent="0.2">
      <c r="A3" s="649">
        <v>2013</v>
      </c>
      <c r="B3" s="650">
        <v>11</v>
      </c>
      <c r="C3" s="656" t="s">
        <v>75</v>
      </c>
      <c r="D3" s="651">
        <v>18</v>
      </c>
      <c r="E3" s="648" t="s">
        <v>1007</v>
      </c>
      <c r="F3" s="655">
        <v>2124354</v>
      </c>
      <c r="G3" s="655">
        <v>0</v>
      </c>
      <c r="H3" s="655">
        <v>47366</v>
      </c>
      <c r="I3" s="655">
        <v>337016</v>
      </c>
      <c r="J3" s="655">
        <v>201702</v>
      </c>
      <c r="K3" s="655">
        <v>19803</v>
      </c>
      <c r="L3" s="655">
        <v>21913</v>
      </c>
      <c r="M3" s="655">
        <v>0</v>
      </c>
      <c r="N3" s="655">
        <v>104919</v>
      </c>
      <c r="O3" s="655">
        <v>0</v>
      </c>
      <c r="P3" s="655">
        <v>17339</v>
      </c>
      <c r="Q3" s="655">
        <v>19024</v>
      </c>
      <c r="R3" s="655">
        <v>0</v>
      </c>
      <c r="S3" s="655">
        <v>8433</v>
      </c>
      <c r="T3" s="655">
        <v>1083</v>
      </c>
      <c r="U3" s="655">
        <v>23654</v>
      </c>
      <c r="V3" s="655">
        <v>0</v>
      </c>
      <c r="W3" s="655">
        <v>35687</v>
      </c>
      <c r="X3" s="655">
        <v>0</v>
      </c>
      <c r="Y3" s="655">
        <v>51281</v>
      </c>
      <c r="Z3" s="655">
        <v>0</v>
      </c>
      <c r="AA3" s="655">
        <v>0</v>
      </c>
      <c r="AB3" s="655">
        <v>0</v>
      </c>
      <c r="AC3" s="655">
        <v>0</v>
      </c>
      <c r="AD3" s="655">
        <v>20665</v>
      </c>
      <c r="AE3" s="655">
        <v>2890347</v>
      </c>
      <c r="AF3" s="655">
        <v>42007</v>
      </c>
      <c r="AG3" s="655">
        <v>172115</v>
      </c>
      <c r="AH3" s="655">
        <v>0</v>
      </c>
      <c r="AI3" s="655">
        <v>353539</v>
      </c>
      <c r="AJ3" s="655">
        <v>616730</v>
      </c>
      <c r="AK3" s="655">
        <v>4074738</v>
      </c>
      <c r="AL3" s="655">
        <v>3501577</v>
      </c>
      <c r="AM3" s="655">
        <v>573161</v>
      </c>
    </row>
    <row r="4" spans="1:39" x14ac:dyDescent="0.2">
      <c r="A4" s="649">
        <v>2013</v>
      </c>
      <c r="B4" s="650">
        <v>11</v>
      </c>
      <c r="C4" s="656" t="s">
        <v>76</v>
      </c>
      <c r="D4" s="651">
        <v>27</v>
      </c>
      <c r="E4" s="648" t="s">
        <v>2005</v>
      </c>
      <c r="F4" s="655">
        <v>8641339</v>
      </c>
      <c r="G4" s="655">
        <v>0</v>
      </c>
      <c r="H4" s="655">
        <v>71186</v>
      </c>
      <c r="I4" s="655">
        <v>1037479</v>
      </c>
      <c r="J4" s="655">
        <v>758431</v>
      </c>
      <c r="K4" s="655">
        <v>81605</v>
      </c>
      <c r="L4" s="655">
        <v>84361</v>
      </c>
      <c r="M4" s="655">
        <v>0</v>
      </c>
      <c r="N4" s="655">
        <v>411201</v>
      </c>
      <c r="O4" s="655">
        <v>0</v>
      </c>
      <c r="P4" s="655">
        <v>71315</v>
      </c>
      <c r="Q4" s="655">
        <v>78245</v>
      </c>
      <c r="R4" s="655">
        <v>0</v>
      </c>
      <c r="S4" s="655">
        <v>33050</v>
      </c>
      <c r="T4" s="655">
        <v>4244</v>
      </c>
      <c r="U4" s="655">
        <v>370129</v>
      </c>
      <c r="V4" s="655">
        <v>0</v>
      </c>
      <c r="W4" s="655">
        <v>147515</v>
      </c>
      <c r="X4" s="655">
        <v>269926</v>
      </c>
      <c r="Y4" s="655">
        <v>0</v>
      </c>
      <c r="Z4" s="655">
        <v>0</v>
      </c>
      <c r="AA4" s="655">
        <v>0</v>
      </c>
      <c r="AB4" s="655">
        <v>0</v>
      </c>
      <c r="AC4" s="655">
        <v>6729</v>
      </c>
      <c r="AD4" s="655">
        <v>76823</v>
      </c>
      <c r="AE4" s="655">
        <v>11989932</v>
      </c>
      <c r="AF4" s="655">
        <v>0</v>
      </c>
      <c r="AG4" s="655">
        <v>616041</v>
      </c>
      <c r="AH4" s="655">
        <v>0</v>
      </c>
      <c r="AI4" s="655">
        <v>1929081</v>
      </c>
      <c r="AJ4" s="655">
        <v>5946694</v>
      </c>
      <c r="AK4" s="655">
        <v>20481748</v>
      </c>
      <c r="AL4" s="655">
        <v>13588563</v>
      </c>
      <c r="AM4" s="655">
        <v>6893185</v>
      </c>
    </row>
    <row r="5" spans="1:39" x14ac:dyDescent="0.2">
      <c r="A5" s="649">
        <v>2013</v>
      </c>
      <c r="B5" s="650">
        <v>12</v>
      </c>
      <c r="C5" s="656" t="s">
        <v>79</v>
      </c>
      <c r="D5" s="651">
        <v>63</v>
      </c>
      <c r="E5" s="648" t="s">
        <v>1008</v>
      </c>
      <c r="F5" s="655">
        <v>3098019</v>
      </c>
      <c r="G5" s="655">
        <v>115010</v>
      </c>
      <c r="H5" s="655">
        <v>64212</v>
      </c>
      <c r="I5" s="655">
        <v>286683</v>
      </c>
      <c r="J5" s="655">
        <v>294190</v>
      </c>
      <c r="K5" s="655">
        <v>33737</v>
      </c>
      <c r="L5" s="655">
        <v>31994</v>
      </c>
      <c r="M5" s="655">
        <v>0</v>
      </c>
      <c r="N5" s="655">
        <v>151249</v>
      </c>
      <c r="O5" s="655">
        <v>5295</v>
      </c>
      <c r="P5" s="655">
        <v>25930</v>
      </c>
      <c r="Q5" s="655">
        <v>29148</v>
      </c>
      <c r="R5" s="655">
        <v>0</v>
      </c>
      <c r="S5" s="655">
        <v>15692</v>
      </c>
      <c r="T5" s="655">
        <v>1883</v>
      </c>
      <c r="U5" s="655">
        <v>133399</v>
      </c>
      <c r="V5" s="655">
        <v>0</v>
      </c>
      <c r="W5" s="655">
        <v>58830</v>
      </c>
      <c r="X5" s="655">
        <v>111390</v>
      </c>
      <c r="Y5" s="655">
        <v>0</v>
      </c>
      <c r="Z5" s="655">
        <v>0</v>
      </c>
      <c r="AA5" s="655">
        <v>0</v>
      </c>
      <c r="AB5" s="655">
        <v>0</v>
      </c>
      <c r="AC5" s="655">
        <v>0</v>
      </c>
      <c r="AD5" s="655">
        <v>32848</v>
      </c>
      <c r="AE5" s="655">
        <v>4423813</v>
      </c>
      <c r="AF5" s="655">
        <v>57010</v>
      </c>
      <c r="AG5" s="655">
        <v>242198</v>
      </c>
      <c r="AH5" s="655">
        <v>0</v>
      </c>
      <c r="AI5" s="655">
        <v>905064</v>
      </c>
      <c r="AJ5" s="655">
        <v>609491</v>
      </c>
      <c r="AK5" s="655">
        <v>6237576</v>
      </c>
      <c r="AL5" s="655">
        <v>5314427</v>
      </c>
      <c r="AM5" s="655">
        <v>923149</v>
      </c>
    </row>
    <row r="6" spans="1:39" x14ac:dyDescent="0.2">
      <c r="A6" s="649">
        <v>2013</v>
      </c>
      <c r="B6" s="650">
        <v>5</v>
      </c>
      <c r="C6" s="656" t="s">
        <v>80</v>
      </c>
      <c r="D6" s="651">
        <v>72</v>
      </c>
      <c r="E6" s="648" t="s">
        <v>1009</v>
      </c>
      <c r="F6" s="655">
        <v>1254108</v>
      </c>
      <c r="G6" s="655">
        <v>20454</v>
      </c>
      <c r="H6" s="655">
        <v>83135</v>
      </c>
      <c r="I6" s="655">
        <v>125715</v>
      </c>
      <c r="J6" s="655">
        <v>90074</v>
      </c>
      <c r="K6" s="655">
        <v>7266</v>
      </c>
      <c r="L6" s="655">
        <v>7464</v>
      </c>
      <c r="M6" s="655">
        <v>0</v>
      </c>
      <c r="N6" s="655">
        <v>62119</v>
      </c>
      <c r="O6" s="655">
        <v>12153</v>
      </c>
      <c r="P6" s="655">
        <v>10436</v>
      </c>
      <c r="Q6" s="655">
        <v>11736</v>
      </c>
      <c r="R6" s="655">
        <v>1243</v>
      </c>
      <c r="S6" s="655">
        <v>6634</v>
      </c>
      <c r="T6" s="655">
        <v>792</v>
      </c>
      <c r="U6" s="655">
        <v>47285</v>
      </c>
      <c r="V6" s="655">
        <v>0</v>
      </c>
      <c r="W6" s="655">
        <v>54301</v>
      </c>
      <c r="X6" s="655">
        <v>9005</v>
      </c>
      <c r="Y6" s="655">
        <v>0</v>
      </c>
      <c r="Z6" s="655">
        <v>0</v>
      </c>
      <c r="AA6" s="655">
        <v>0</v>
      </c>
      <c r="AB6" s="655">
        <v>0</v>
      </c>
      <c r="AC6" s="655">
        <v>0</v>
      </c>
      <c r="AD6" s="655">
        <v>17254</v>
      </c>
      <c r="AE6" s="655">
        <v>1786666</v>
      </c>
      <c r="AF6" s="655">
        <v>30005</v>
      </c>
      <c r="AG6" s="655">
        <v>112850</v>
      </c>
      <c r="AH6" s="655">
        <v>0</v>
      </c>
      <c r="AI6" s="655">
        <v>185949</v>
      </c>
      <c r="AJ6" s="655">
        <v>660457</v>
      </c>
      <c r="AK6" s="655">
        <v>2775927</v>
      </c>
      <c r="AL6" s="655">
        <v>2183619</v>
      </c>
      <c r="AM6" s="655">
        <v>592308</v>
      </c>
    </row>
    <row r="7" spans="1:39" x14ac:dyDescent="0.2">
      <c r="A7" s="649">
        <v>2013</v>
      </c>
      <c r="B7" s="650">
        <v>15</v>
      </c>
      <c r="C7" s="656" t="s">
        <v>81</v>
      </c>
      <c r="D7" s="651">
        <v>81</v>
      </c>
      <c r="E7" s="648" t="s">
        <v>1010</v>
      </c>
      <c r="F7" s="655">
        <v>7169995</v>
      </c>
      <c r="G7" s="655">
        <v>0</v>
      </c>
      <c r="H7" s="655">
        <v>87867</v>
      </c>
      <c r="I7" s="655">
        <v>660950</v>
      </c>
      <c r="J7" s="655">
        <v>601319</v>
      </c>
      <c r="K7" s="655">
        <v>69812</v>
      </c>
      <c r="L7" s="655">
        <v>66598</v>
      </c>
      <c r="M7" s="655">
        <v>0</v>
      </c>
      <c r="N7" s="655">
        <v>340876</v>
      </c>
      <c r="O7" s="655">
        <v>0</v>
      </c>
      <c r="P7" s="655">
        <v>58749</v>
      </c>
      <c r="Q7" s="655">
        <v>64506</v>
      </c>
      <c r="R7" s="655">
        <v>0</v>
      </c>
      <c r="S7" s="655">
        <v>34072</v>
      </c>
      <c r="T7" s="655">
        <v>3667</v>
      </c>
      <c r="U7" s="655">
        <v>336750</v>
      </c>
      <c r="V7" s="655">
        <v>0</v>
      </c>
      <c r="W7" s="655">
        <v>67066</v>
      </c>
      <c r="X7" s="655">
        <v>113356</v>
      </c>
      <c r="Y7" s="655">
        <v>0</v>
      </c>
      <c r="Z7" s="655">
        <v>0</v>
      </c>
      <c r="AA7" s="655">
        <v>0</v>
      </c>
      <c r="AB7" s="655">
        <v>0</v>
      </c>
      <c r="AC7" s="655">
        <v>0</v>
      </c>
      <c r="AD7" s="655">
        <v>70828</v>
      </c>
      <c r="AE7" s="655">
        <v>9604755</v>
      </c>
      <c r="AF7" s="655">
        <v>159027</v>
      </c>
      <c r="AG7" s="655">
        <v>454578</v>
      </c>
      <c r="AH7" s="655">
        <v>0</v>
      </c>
      <c r="AI7" s="655">
        <v>848663</v>
      </c>
      <c r="AJ7" s="655">
        <v>2042961</v>
      </c>
      <c r="AK7" s="655">
        <v>13109984</v>
      </c>
      <c r="AL7" s="655">
        <v>11562854</v>
      </c>
      <c r="AM7" s="655">
        <v>1547130</v>
      </c>
    </row>
    <row r="8" spans="1:39" x14ac:dyDescent="0.2">
      <c r="A8" s="649">
        <v>2013</v>
      </c>
      <c r="B8" s="650">
        <v>10</v>
      </c>
      <c r="C8" s="656" t="s">
        <v>82</v>
      </c>
      <c r="D8" s="651">
        <v>99</v>
      </c>
      <c r="E8" s="648" t="s">
        <v>1011</v>
      </c>
      <c r="F8" s="655">
        <v>3290348</v>
      </c>
      <c r="G8" s="655">
        <v>0</v>
      </c>
      <c r="H8" s="655">
        <v>20061</v>
      </c>
      <c r="I8" s="655">
        <v>382684</v>
      </c>
      <c r="J8" s="655">
        <v>287583</v>
      </c>
      <c r="K8" s="655">
        <v>33265</v>
      </c>
      <c r="L8" s="655">
        <v>26757</v>
      </c>
      <c r="M8" s="655">
        <v>0</v>
      </c>
      <c r="N8" s="655">
        <v>160913</v>
      </c>
      <c r="O8" s="655">
        <v>949</v>
      </c>
      <c r="P8" s="655">
        <v>28576</v>
      </c>
      <c r="Q8" s="655">
        <v>31381</v>
      </c>
      <c r="R8" s="655">
        <v>0</v>
      </c>
      <c r="S8" s="655">
        <v>14892</v>
      </c>
      <c r="T8" s="655">
        <v>1732</v>
      </c>
      <c r="U8" s="655">
        <v>164517</v>
      </c>
      <c r="V8" s="655">
        <v>0</v>
      </c>
      <c r="W8" s="655">
        <v>74729</v>
      </c>
      <c r="X8" s="655">
        <v>71442</v>
      </c>
      <c r="Y8" s="655">
        <v>0</v>
      </c>
      <c r="Z8" s="655">
        <v>0</v>
      </c>
      <c r="AA8" s="655">
        <v>0</v>
      </c>
      <c r="AB8" s="655">
        <v>0</v>
      </c>
      <c r="AC8" s="655">
        <v>0</v>
      </c>
      <c r="AD8" s="655">
        <v>34520</v>
      </c>
      <c r="AE8" s="655">
        <v>4555309</v>
      </c>
      <c r="AF8" s="655">
        <v>0</v>
      </c>
      <c r="AG8" s="655">
        <v>245361</v>
      </c>
      <c r="AH8" s="655">
        <v>0</v>
      </c>
      <c r="AI8" s="655">
        <v>1170621</v>
      </c>
      <c r="AJ8" s="655">
        <v>1058108</v>
      </c>
      <c r="AK8" s="655">
        <v>7029399</v>
      </c>
      <c r="AL8" s="655">
        <v>5830202</v>
      </c>
      <c r="AM8" s="655">
        <v>1199197</v>
      </c>
    </row>
    <row r="9" spans="1:39" x14ac:dyDescent="0.2">
      <c r="A9" s="649">
        <v>2013</v>
      </c>
      <c r="B9" s="650">
        <v>7</v>
      </c>
      <c r="C9" s="656" t="s">
        <v>83</v>
      </c>
      <c r="D9" s="651">
        <v>108</v>
      </c>
      <c r="E9" s="648" t="s">
        <v>1012</v>
      </c>
      <c r="F9" s="655">
        <v>1592665</v>
      </c>
      <c r="G9" s="655">
        <v>2655</v>
      </c>
      <c r="H9" s="655">
        <v>43075</v>
      </c>
      <c r="I9" s="655">
        <v>169108</v>
      </c>
      <c r="J9" s="655">
        <v>148884</v>
      </c>
      <c r="K9" s="655">
        <v>13835</v>
      </c>
      <c r="L9" s="655">
        <v>18474</v>
      </c>
      <c r="M9" s="655">
        <v>0</v>
      </c>
      <c r="N9" s="655">
        <v>78439</v>
      </c>
      <c r="O9" s="655">
        <v>0</v>
      </c>
      <c r="P9" s="655">
        <v>13094</v>
      </c>
      <c r="Q9" s="655">
        <v>14639</v>
      </c>
      <c r="R9" s="655">
        <v>0</v>
      </c>
      <c r="S9" s="655">
        <v>10226</v>
      </c>
      <c r="T9" s="655">
        <v>1175</v>
      </c>
      <c r="U9" s="655">
        <v>79633</v>
      </c>
      <c r="V9" s="655">
        <v>0</v>
      </c>
      <c r="W9" s="655">
        <v>84715</v>
      </c>
      <c r="X9" s="655">
        <v>0</v>
      </c>
      <c r="Y9" s="655">
        <v>0</v>
      </c>
      <c r="Z9" s="655">
        <v>0</v>
      </c>
      <c r="AA9" s="655">
        <v>0</v>
      </c>
      <c r="AB9" s="655">
        <v>0</v>
      </c>
      <c r="AC9" s="655">
        <v>0</v>
      </c>
      <c r="AD9" s="655">
        <v>18223</v>
      </c>
      <c r="AE9" s="655">
        <v>2252394</v>
      </c>
      <c r="AF9" s="655">
        <v>45008</v>
      </c>
      <c r="AG9" s="655">
        <v>132571</v>
      </c>
      <c r="AH9" s="655">
        <v>0</v>
      </c>
      <c r="AI9" s="655">
        <v>706231</v>
      </c>
      <c r="AJ9" s="655">
        <v>1312417</v>
      </c>
      <c r="AK9" s="655">
        <v>4448621</v>
      </c>
      <c r="AL9" s="655">
        <v>3096995</v>
      </c>
      <c r="AM9" s="655">
        <v>1351626</v>
      </c>
    </row>
    <row r="10" spans="1:39" x14ac:dyDescent="0.2">
      <c r="A10" s="649">
        <v>2013</v>
      </c>
      <c r="B10" s="650">
        <v>5</v>
      </c>
      <c r="C10" s="656" t="s">
        <v>84</v>
      </c>
      <c r="D10" s="651">
        <v>126</v>
      </c>
      <c r="E10" s="648" t="s">
        <v>1013</v>
      </c>
      <c r="F10" s="655">
        <v>8263454</v>
      </c>
      <c r="G10" s="655">
        <v>19647</v>
      </c>
      <c r="H10" s="655">
        <v>681548</v>
      </c>
      <c r="I10" s="655">
        <v>1289886</v>
      </c>
      <c r="J10" s="655">
        <v>719782</v>
      </c>
      <c r="K10" s="655">
        <v>87678</v>
      </c>
      <c r="L10" s="655">
        <v>74518</v>
      </c>
      <c r="M10" s="655">
        <v>0</v>
      </c>
      <c r="N10" s="655">
        <v>433501</v>
      </c>
      <c r="O10" s="655">
        <v>18141</v>
      </c>
      <c r="P10" s="655">
        <v>87791</v>
      </c>
      <c r="Q10" s="655">
        <v>98726</v>
      </c>
      <c r="R10" s="655">
        <v>8669</v>
      </c>
      <c r="S10" s="655">
        <v>46293</v>
      </c>
      <c r="T10" s="655">
        <v>5525</v>
      </c>
      <c r="U10" s="655">
        <v>331294</v>
      </c>
      <c r="V10" s="655">
        <v>0</v>
      </c>
      <c r="W10" s="655">
        <v>52947</v>
      </c>
      <c r="X10" s="655">
        <v>609966</v>
      </c>
      <c r="Y10" s="655">
        <v>0</v>
      </c>
      <c r="Z10" s="655">
        <v>0</v>
      </c>
      <c r="AA10" s="655">
        <v>0</v>
      </c>
      <c r="AB10" s="655">
        <v>0</v>
      </c>
      <c r="AC10" s="655">
        <v>0</v>
      </c>
      <c r="AD10" s="655">
        <v>101322</v>
      </c>
      <c r="AE10" s="655">
        <v>12728044</v>
      </c>
      <c r="AF10" s="655">
        <v>309052</v>
      </c>
      <c r="AG10" s="655">
        <v>693768</v>
      </c>
      <c r="AH10" s="655">
        <v>0</v>
      </c>
      <c r="AI10" s="655">
        <v>2249104</v>
      </c>
      <c r="AJ10" s="655">
        <v>2384544</v>
      </c>
      <c r="AK10" s="655">
        <v>18364512</v>
      </c>
      <c r="AL10" s="655">
        <v>16110525</v>
      </c>
      <c r="AM10" s="655">
        <v>2253987</v>
      </c>
    </row>
    <row r="11" spans="1:39" x14ac:dyDescent="0.2">
      <c r="A11" s="649">
        <v>2013</v>
      </c>
      <c r="B11" s="650">
        <v>1</v>
      </c>
      <c r="C11" s="656" t="s">
        <v>85</v>
      </c>
      <c r="D11" s="651">
        <v>135</v>
      </c>
      <c r="E11" s="648" t="s">
        <v>1014</v>
      </c>
      <c r="F11" s="655">
        <v>7328190</v>
      </c>
      <c r="G11" s="655">
        <v>189971</v>
      </c>
      <c r="H11" s="655">
        <v>277202</v>
      </c>
      <c r="I11" s="655">
        <v>1002357</v>
      </c>
      <c r="J11" s="655">
        <v>621641</v>
      </c>
      <c r="K11" s="655">
        <v>65090</v>
      </c>
      <c r="L11" s="655">
        <v>71629</v>
      </c>
      <c r="M11" s="655">
        <v>0</v>
      </c>
      <c r="N11" s="655">
        <v>380798</v>
      </c>
      <c r="O11" s="655">
        <v>11556</v>
      </c>
      <c r="P11" s="655">
        <v>65083</v>
      </c>
      <c r="Q11" s="655">
        <v>72688</v>
      </c>
      <c r="R11" s="655">
        <v>0</v>
      </c>
      <c r="S11" s="655">
        <v>37599</v>
      </c>
      <c r="T11" s="655">
        <v>3992</v>
      </c>
      <c r="U11" s="655">
        <v>111787</v>
      </c>
      <c r="V11" s="655">
        <v>0</v>
      </c>
      <c r="W11" s="655">
        <v>45351</v>
      </c>
      <c r="X11" s="655">
        <v>0</v>
      </c>
      <c r="Y11" s="655">
        <v>157954</v>
      </c>
      <c r="Z11" s="655">
        <v>0</v>
      </c>
      <c r="AA11" s="655">
        <v>0</v>
      </c>
      <c r="AB11" s="655">
        <v>0</v>
      </c>
      <c r="AC11" s="655">
        <v>0</v>
      </c>
      <c r="AD11" s="655">
        <v>89885</v>
      </c>
      <c r="AE11" s="655">
        <v>10037095</v>
      </c>
      <c r="AF11" s="655">
        <v>228038</v>
      </c>
      <c r="AG11" s="655">
        <v>0</v>
      </c>
      <c r="AH11" s="655">
        <v>0</v>
      </c>
      <c r="AI11" s="655">
        <v>1908083</v>
      </c>
      <c r="AJ11" s="655">
        <v>4576818</v>
      </c>
      <c r="AK11" s="655">
        <v>16750034</v>
      </c>
      <c r="AL11" s="655">
        <v>11277101</v>
      </c>
      <c r="AM11" s="655">
        <v>5472933</v>
      </c>
    </row>
    <row r="12" spans="1:39" x14ac:dyDescent="0.2">
      <c r="A12" s="649">
        <v>2013</v>
      </c>
      <c r="B12" s="650">
        <v>7</v>
      </c>
      <c r="C12" s="656" t="s">
        <v>86</v>
      </c>
      <c r="D12" s="651">
        <v>153</v>
      </c>
      <c r="E12" s="648" t="s">
        <v>1482</v>
      </c>
      <c r="F12" s="655">
        <v>3646712</v>
      </c>
      <c r="G12" s="655">
        <v>0</v>
      </c>
      <c r="H12" s="655">
        <v>137102</v>
      </c>
      <c r="I12" s="655">
        <v>521255</v>
      </c>
      <c r="J12" s="655">
        <v>358639</v>
      </c>
      <c r="K12" s="655">
        <v>40085</v>
      </c>
      <c r="L12" s="655">
        <v>32634</v>
      </c>
      <c r="M12" s="655">
        <v>0</v>
      </c>
      <c r="N12" s="655">
        <v>182917</v>
      </c>
      <c r="O12" s="655">
        <v>0</v>
      </c>
      <c r="P12" s="655">
        <v>29745</v>
      </c>
      <c r="Q12" s="655">
        <v>33254</v>
      </c>
      <c r="R12" s="655">
        <v>0</v>
      </c>
      <c r="S12" s="655">
        <v>23626</v>
      </c>
      <c r="T12" s="655">
        <v>2711</v>
      </c>
      <c r="U12" s="655">
        <v>134101</v>
      </c>
      <c r="V12" s="655">
        <v>0</v>
      </c>
      <c r="W12" s="655">
        <v>66968</v>
      </c>
      <c r="X12" s="655">
        <v>0</v>
      </c>
      <c r="Y12" s="655">
        <v>165952</v>
      </c>
      <c r="Z12" s="655">
        <v>0</v>
      </c>
      <c r="AA12" s="655">
        <v>0</v>
      </c>
      <c r="AB12" s="655">
        <v>0</v>
      </c>
      <c r="AC12" s="655">
        <v>0</v>
      </c>
      <c r="AD12" s="655">
        <v>39993</v>
      </c>
      <c r="AE12" s="655">
        <v>5003804</v>
      </c>
      <c r="AF12" s="655">
        <v>147025</v>
      </c>
      <c r="AG12" s="655">
        <v>290898</v>
      </c>
      <c r="AH12" s="655">
        <v>0</v>
      </c>
      <c r="AI12" s="655">
        <v>979033</v>
      </c>
      <c r="AJ12" s="655">
        <v>1007400</v>
      </c>
      <c r="AK12" s="655">
        <v>7428160</v>
      </c>
      <c r="AL12" s="655">
        <v>7471776</v>
      </c>
      <c r="AM12" s="655">
        <v>-43616</v>
      </c>
    </row>
    <row r="13" spans="1:39" x14ac:dyDescent="0.2">
      <c r="A13" s="649">
        <v>2013</v>
      </c>
      <c r="B13" s="650">
        <v>5</v>
      </c>
      <c r="C13" s="656" t="s">
        <v>87</v>
      </c>
      <c r="D13" s="651">
        <v>171</v>
      </c>
      <c r="E13" s="648" t="s">
        <v>1015</v>
      </c>
      <c r="F13" s="655">
        <v>3032905</v>
      </c>
      <c r="G13" s="655">
        <v>0</v>
      </c>
      <c r="H13" s="655">
        <v>257731</v>
      </c>
      <c r="I13" s="655">
        <v>330355</v>
      </c>
      <c r="J13" s="655">
        <v>295103</v>
      </c>
      <c r="K13" s="655">
        <v>33078</v>
      </c>
      <c r="L13" s="655">
        <v>37794</v>
      </c>
      <c r="M13" s="655">
        <v>0</v>
      </c>
      <c r="N13" s="655">
        <v>153457</v>
      </c>
      <c r="O13" s="655">
        <v>2314</v>
      </c>
      <c r="P13" s="655">
        <v>25917</v>
      </c>
      <c r="Q13" s="655">
        <v>29145</v>
      </c>
      <c r="R13" s="655">
        <v>3069</v>
      </c>
      <c r="S13" s="655">
        <v>16388</v>
      </c>
      <c r="T13" s="655">
        <v>1956</v>
      </c>
      <c r="U13" s="655">
        <v>151645</v>
      </c>
      <c r="V13" s="655">
        <v>0</v>
      </c>
      <c r="W13" s="655">
        <v>81760</v>
      </c>
      <c r="X13" s="655">
        <v>25575</v>
      </c>
      <c r="Y13" s="655">
        <v>0</v>
      </c>
      <c r="Z13" s="655">
        <v>0</v>
      </c>
      <c r="AA13" s="655">
        <v>0</v>
      </c>
      <c r="AB13" s="655">
        <v>0</v>
      </c>
      <c r="AC13" s="655">
        <v>0</v>
      </c>
      <c r="AD13" s="655">
        <v>34393</v>
      </c>
      <c r="AE13" s="655">
        <v>4443799</v>
      </c>
      <c r="AF13" s="655">
        <v>96016</v>
      </c>
      <c r="AG13" s="655">
        <v>248426</v>
      </c>
      <c r="AH13" s="655">
        <v>0</v>
      </c>
      <c r="AI13" s="655">
        <v>1136603</v>
      </c>
      <c r="AJ13" s="655">
        <v>1260483</v>
      </c>
      <c r="AK13" s="655">
        <v>7185327</v>
      </c>
      <c r="AL13" s="655">
        <v>5739047</v>
      </c>
      <c r="AM13" s="655">
        <v>1446280</v>
      </c>
    </row>
    <row r="14" spans="1:39" x14ac:dyDescent="0.2">
      <c r="A14" s="649">
        <v>2013</v>
      </c>
      <c r="B14" s="650">
        <v>11</v>
      </c>
      <c r="C14" s="654" t="s">
        <v>88</v>
      </c>
      <c r="D14" s="651">
        <v>225</v>
      </c>
      <c r="E14" s="648" t="s">
        <v>1016</v>
      </c>
      <c r="F14" s="655">
        <v>25730211</v>
      </c>
      <c r="G14" s="655">
        <v>86858</v>
      </c>
      <c r="H14" s="655">
        <v>304775</v>
      </c>
      <c r="I14" s="655">
        <v>2643372</v>
      </c>
      <c r="J14" s="655">
        <v>2184386</v>
      </c>
      <c r="K14" s="655">
        <v>270566</v>
      </c>
      <c r="L14" s="655">
        <v>239602</v>
      </c>
      <c r="M14" s="655">
        <v>0</v>
      </c>
      <c r="N14" s="655">
        <v>1191588</v>
      </c>
      <c r="O14" s="655">
        <v>16945</v>
      </c>
      <c r="P14" s="655">
        <v>214777</v>
      </c>
      <c r="Q14" s="655">
        <v>235650</v>
      </c>
      <c r="R14" s="655">
        <v>0</v>
      </c>
      <c r="S14" s="655">
        <v>95774</v>
      </c>
      <c r="T14" s="655">
        <v>12298</v>
      </c>
      <c r="U14" s="655">
        <v>1286511</v>
      </c>
      <c r="V14" s="655">
        <v>204662</v>
      </c>
      <c r="W14" s="655">
        <v>334579</v>
      </c>
      <c r="X14" s="655">
        <v>951825</v>
      </c>
      <c r="Y14" s="655">
        <v>0</v>
      </c>
      <c r="Z14" s="655">
        <v>0</v>
      </c>
      <c r="AA14" s="655">
        <v>0</v>
      </c>
      <c r="AB14" s="655">
        <v>0</v>
      </c>
      <c r="AC14" s="655">
        <v>0</v>
      </c>
      <c r="AD14" s="655">
        <v>248083</v>
      </c>
      <c r="AE14" s="655">
        <v>35756296</v>
      </c>
      <c r="AF14" s="655">
        <v>666111</v>
      </c>
      <c r="AG14" s="655">
        <v>2211232</v>
      </c>
      <c r="AH14" s="655">
        <v>0</v>
      </c>
      <c r="AI14" s="655">
        <v>6351583</v>
      </c>
      <c r="AJ14" s="655">
        <v>4262683</v>
      </c>
      <c r="AK14" s="655">
        <v>49247905</v>
      </c>
      <c r="AL14" s="655">
        <v>45451649</v>
      </c>
      <c r="AM14" s="655">
        <v>3796256</v>
      </c>
    </row>
    <row r="15" spans="1:39" x14ac:dyDescent="0.2">
      <c r="A15" s="649">
        <v>2013</v>
      </c>
      <c r="B15" s="650">
        <v>10</v>
      </c>
      <c r="C15" s="656" t="s">
        <v>89</v>
      </c>
      <c r="D15" s="651">
        <v>234</v>
      </c>
      <c r="E15" s="648" t="s">
        <v>1017</v>
      </c>
      <c r="F15" s="655">
        <v>7449682</v>
      </c>
      <c r="G15" s="655">
        <v>342306</v>
      </c>
      <c r="H15" s="655">
        <v>205346</v>
      </c>
      <c r="I15" s="655">
        <v>950663</v>
      </c>
      <c r="J15" s="655">
        <v>699775</v>
      </c>
      <c r="K15" s="655">
        <v>83752</v>
      </c>
      <c r="L15" s="655">
        <v>71513</v>
      </c>
      <c r="M15" s="655">
        <v>0</v>
      </c>
      <c r="N15" s="655">
        <v>366974</v>
      </c>
      <c r="O15" s="655">
        <v>13246</v>
      </c>
      <c r="P15" s="655">
        <v>63437</v>
      </c>
      <c r="Q15" s="655">
        <v>69665</v>
      </c>
      <c r="R15" s="655">
        <v>0</v>
      </c>
      <c r="S15" s="655">
        <v>35061</v>
      </c>
      <c r="T15" s="655">
        <v>4081</v>
      </c>
      <c r="U15" s="655">
        <v>10933</v>
      </c>
      <c r="V15" s="655">
        <v>0</v>
      </c>
      <c r="W15" s="655">
        <v>149162</v>
      </c>
      <c r="X15" s="655">
        <v>169856</v>
      </c>
      <c r="Y15" s="655">
        <v>0</v>
      </c>
      <c r="Z15" s="655">
        <v>0</v>
      </c>
      <c r="AA15" s="655">
        <v>0</v>
      </c>
      <c r="AB15" s="655">
        <v>0</v>
      </c>
      <c r="AC15" s="655">
        <v>-80250</v>
      </c>
      <c r="AD15" s="655">
        <v>73523</v>
      </c>
      <c r="AE15" s="655">
        <v>10531679</v>
      </c>
      <c r="AF15" s="655">
        <v>204034</v>
      </c>
      <c r="AG15" s="655">
        <v>494332</v>
      </c>
      <c r="AH15" s="655">
        <v>0</v>
      </c>
      <c r="AI15" s="655">
        <v>1818158</v>
      </c>
      <c r="AJ15" s="655">
        <v>5728814</v>
      </c>
      <c r="AK15" s="655">
        <v>18777017</v>
      </c>
      <c r="AL15" s="655">
        <v>12629023</v>
      </c>
      <c r="AM15" s="655">
        <v>6147994</v>
      </c>
    </row>
    <row r="16" spans="1:39" x14ac:dyDescent="0.2">
      <c r="A16" s="649">
        <v>2013</v>
      </c>
      <c r="B16" s="650">
        <v>9</v>
      </c>
      <c r="C16" s="656" t="s">
        <v>90</v>
      </c>
      <c r="D16" s="651">
        <v>243</v>
      </c>
      <c r="E16" s="648" t="s">
        <v>1018</v>
      </c>
      <c r="F16" s="655">
        <v>1682708</v>
      </c>
      <c r="G16" s="655">
        <v>0</v>
      </c>
      <c r="H16" s="655">
        <v>109358</v>
      </c>
      <c r="I16" s="655">
        <v>276003</v>
      </c>
      <c r="J16" s="655">
        <v>155782</v>
      </c>
      <c r="K16" s="655">
        <v>17107</v>
      </c>
      <c r="L16" s="655">
        <v>19712</v>
      </c>
      <c r="M16" s="655">
        <v>0</v>
      </c>
      <c r="N16" s="655">
        <v>85510</v>
      </c>
      <c r="O16" s="655">
        <v>7821</v>
      </c>
      <c r="P16" s="655">
        <v>14334</v>
      </c>
      <c r="Q16" s="655">
        <v>15623</v>
      </c>
      <c r="R16" s="655">
        <v>0</v>
      </c>
      <c r="S16" s="655">
        <v>7614</v>
      </c>
      <c r="T16" s="655">
        <v>894</v>
      </c>
      <c r="U16" s="655">
        <v>0</v>
      </c>
      <c r="V16" s="655">
        <v>0</v>
      </c>
      <c r="W16" s="655">
        <v>76479</v>
      </c>
      <c r="X16" s="655">
        <v>125049</v>
      </c>
      <c r="Y16" s="655">
        <v>0</v>
      </c>
      <c r="Z16" s="655">
        <v>0</v>
      </c>
      <c r="AA16" s="655">
        <v>0</v>
      </c>
      <c r="AB16" s="655">
        <v>0</v>
      </c>
      <c r="AC16" s="655">
        <v>0</v>
      </c>
      <c r="AD16" s="655">
        <v>20017</v>
      </c>
      <c r="AE16" s="655">
        <v>2573977</v>
      </c>
      <c r="AF16" s="655">
        <v>42007</v>
      </c>
      <c r="AG16" s="655">
        <v>126136</v>
      </c>
      <c r="AH16" s="655">
        <v>0</v>
      </c>
      <c r="AI16" s="655">
        <v>276906</v>
      </c>
      <c r="AJ16" s="655">
        <v>768655</v>
      </c>
      <c r="AK16" s="655">
        <v>3787681</v>
      </c>
      <c r="AL16" s="655">
        <v>2625050</v>
      </c>
      <c r="AM16" s="655">
        <v>1162631</v>
      </c>
    </row>
    <row r="17" spans="1:39" x14ac:dyDescent="0.2">
      <c r="A17" s="649">
        <v>2013</v>
      </c>
      <c r="B17" s="650">
        <v>11</v>
      </c>
      <c r="C17" s="656" t="s">
        <v>91</v>
      </c>
      <c r="D17" s="651">
        <v>261</v>
      </c>
      <c r="E17" s="648" t="s">
        <v>1019</v>
      </c>
      <c r="F17" s="655">
        <v>53791764</v>
      </c>
      <c r="G17" s="655">
        <v>0</v>
      </c>
      <c r="H17" s="655">
        <v>1027977</v>
      </c>
      <c r="I17" s="655">
        <v>4036693</v>
      </c>
      <c r="J17" s="655">
        <v>4175607</v>
      </c>
      <c r="K17" s="655">
        <v>458140</v>
      </c>
      <c r="L17" s="655">
        <v>477771</v>
      </c>
      <c r="M17" s="655">
        <v>0</v>
      </c>
      <c r="N17" s="655">
        <v>2465009</v>
      </c>
      <c r="O17" s="655">
        <v>0</v>
      </c>
      <c r="P17" s="655">
        <v>456396</v>
      </c>
      <c r="Q17" s="655">
        <v>500749</v>
      </c>
      <c r="R17" s="655">
        <v>0</v>
      </c>
      <c r="S17" s="655">
        <v>198126</v>
      </c>
      <c r="T17" s="655">
        <v>25440</v>
      </c>
      <c r="U17" s="655">
        <v>1492660</v>
      </c>
      <c r="V17" s="655">
        <v>3837213</v>
      </c>
      <c r="W17" s="655">
        <v>2544665</v>
      </c>
      <c r="X17" s="655">
        <v>1940661</v>
      </c>
      <c r="Y17" s="655">
        <v>0</v>
      </c>
      <c r="Z17" s="655">
        <v>0</v>
      </c>
      <c r="AA17" s="655">
        <v>0</v>
      </c>
      <c r="AB17" s="655">
        <v>0</v>
      </c>
      <c r="AC17" s="655">
        <v>4883</v>
      </c>
      <c r="AD17" s="655">
        <v>310576</v>
      </c>
      <c r="AE17" s="655">
        <v>77123178</v>
      </c>
      <c r="AF17" s="655">
        <v>510085</v>
      </c>
      <c r="AG17" s="655">
        <v>3883765</v>
      </c>
      <c r="AH17" s="655">
        <v>0</v>
      </c>
      <c r="AI17" s="655">
        <v>5368134</v>
      </c>
      <c r="AJ17" s="655">
        <v>25782437</v>
      </c>
      <c r="AK17" s="655">
        <v>112667599</v>
      </c>
      <c r="AL17" s="655">
        <v>89506064</v>
      </c>
      <c r="AM17" s="655">
        <v>23161535</v>
      </c>
    </row>
    <row r="18" spans="1:39" x14ac:dyDescent="0.2">
      <c r="A18" s="649">
        <v>2013</v>
      </c>
      <c r="B18" s="650">
        <v>7</v>
      </c>
      <c r="C18" s="656" t="s">
        <v>92</v>
      </c>
      <c r="D18" s="651">
        <v>279</v>
      </c>
      <c r="E18" s="648" t="s">
        <v>1455</v>
      </c>
      <c r="F18" s="655">
        <v>5010835</v>
      </c>
      <c r="G18" s="655">
        <v>0</v>
      </c>
      <c r="H18" s="655">
        <v>126441</v>
      </c>
      <c r="I18" s="655">
        <v>617503</v>
      </c>
      <c r="J18" s="655">
        <v>453990</v>
      </c>
      <c r="K18" s="655">
        <v>50543</v>
      </c>
      <c r="L18" s="655">
        <v>59895</v>
      </c>
      <c r="M18" s="655">
        <v>0</v>
      </c>
      <c r="N18" s="655">
        <v>250588</v>
      </c>
      <c r="O18" s="655">
        <v>0</v>
      </c>
      <c r="P18" s="655">
        <v>41850</v>
      </c>
      <c r="Q18" s="655">
        <v>46788</v>
      </c>
      <c r="R18" s="655">
        <v>0</v>
      </c>
      <c r="S18" s="655">
        <v>32367</v>
      </c>
      <c r="T18" s="655">
        <v>3714</v>
      </c>
      <c r="U18" s="655">
        <v>198310</v>
      </c>
      <c r="V18" s="655">
        <v>0</v>
      </c>
      <c r="W18" s="655">
        <v>42007</v>
      </c>
      <c r="X18" s="655">
        <v>126312</v>
      </c>
      <c r="Y18" s="655">
        <v>0</v>
      </c>
      <c r="Z18" s="655">
        <v>0</v>
      </c>
      <c r="AA18" s="655">
        <v>0</v>
      </c>
      <c r="AB18" s="655">
        <v>0</v>
      </c>
      <c r="AC18" s="655">
        <v>0</v>
      </c>
      <c r="AD18" s="655">
        <v>47759</v>
      </c>
      <c r="AE18" s="655">
        <v>7013384</v>
      </c>
      <c r="AF18" s="655">
        <v>135023</v>
      </c>
      <c r="AG18" s="655">
        <v>369700</v>
      </c>
      <c r="AH18" s="655">
        <v>0</v>
      </c>
      <c r="AI18" s="655">
        <v>819272</v>
      </c>
      <c r="AJ18" s="655">
        <v>1004817</v>
      </c>
      <c r="AK18" s="655">
        <v>9342196</v>
      </c>
      <c r="AL18" s="655">
        <v>8378077</v>
      </c>
      <c r="AM18" s="655">
        <v>964119</v>
      </c>
    </row>
    <row r="19" spans="1:39" x14ac:dyDescent="0.2">
      <c r="A19" s="649">
        <v>2013</v>
      </c>
      <c r="B19" s="650">
        <v>5</v>
      </c>
      <c r="C19" s="656" t="s">
        <v>93</v>
      </c>
      <c r="D19" s="651">
        <v>333</v>
      </c>
      <c r="E19" s="648" t="s">
        <v>1635</v>
      </c>
      <c r="F19" s="655">
        <v>2757900</v>
      </c>
      <c r="G19" s="655">
        <v>65458</v>
      </c>
      <c r="H19" s="655">
        <v>186014</v>
      </c>
      <c r="I19" s="655">
        <v>420126</v>
      </c>
      <c r="J19" s="655">
        <v>282131</v>
      </c>
      <c r="K19" s="655">
        <v>31592</v>
      </c>
      <c r="L19" s="655">
        <v>34250</v>
      </c>
      <c r="M19" s="655">
        <v>0</v>
      </c>
      <c r="N19" s="655">
        <v>143318</v>
      </c>
      <c r="O19" s="655">
        <v>26917</v>
      </c>
      <c r="P19" s="655">
        <v>22950</v>
      </c>
      <c r="Q19" s="655">
        <v>25807</v>
      </c>
      <c r="R19" s="655">
        <v>2867</v>
      </c>
      <c r="S19" s="655">
        <v>15582</v>
      </c>
      <c r="T19" s="655">
        <v>1860</v>
      </c>
      <c r="U19" s="655">
        <v>137895</v>
      </c>
      <c r="V19" s="655">
        <v>0</v>
      </c>
      <c r="W19" s="655">
        <v>58830</v>
      </c>
      <c r="X19" s="655">
        <v>0</v>
      </c>
      <c r="Y19" s="655">
        <v>5993</v>
      </c>
      <c r="Z19" s="655">
        <v>0</v>
      </c>
      <c r="AA19" s="655">
        <v>0</v>
      </c>
      <c r="AB19" s="655">
        <v>0</v>
      </c>
      <c r="AC19" s="655">
        <v>0</v>
      </c>
      <c r="AD19" s="655">
        <v>38267</v>
      </c>
      <c r="AE19" s="655">
        <v>4169237</v>
      </c>
      <c r="AF19" s="655">
        <v>90015</v>
      </c>
      <c r="AG19" s="655">
        <v>248586</v>
      </c>
      <c r="AH19" s="655">
        <v>0</v>
      </c>
      <c r="AI19" s="655">
        <v>2681409</v>
      </c>
      <c r="AJ19" s="655">
        <v>581839</v>
      </c>
      <c r="AK19" s="655">
        <v>7771086</v>
      </c>
      <c r="AL19" s="655">
        <v>7266285</v>
      </c>
      <c r="AM19" s="655">
        <v>504801</v>
      </c>
    </row>
    <row r="20" spans="1:39" x14ac:dyDescent="0.2">
      <c r="A20" s="649">
        <v>2013</v>
      </c>
      <c r="B20" s="650">
        <v>12</v>
      </c>
      <c r="C20" s="656" t="s">
        <v>94</v>
      </c>
      <c r="D20" s="651">
        <v>355</v>
      </c>
      <c r="E20" s="648" t="s">
        <v>1020</v>
      </c>
      <c r="F20" s="655">
        <v>1746291</v>
      </c>
      <c r="G20" s="655">
        <v>71909</v>
      </c>
      <c r="H20" s="655">
        <v>85568</v>
      </c>
      <c r="I20" s="655">
        <v>195573</v>
      </c>
      <c r="J20" s="655">
        <v>163900</v>
      </c>
      <c r="K20" s="655">
        <v>15738</v>
      </c>
      <c r="L20" s="655">
        <v>15936</v>
      </c>
      <c r="M20" s="655">
        <v>0</v>
      </c>
      <c r="N20" s="655">
        <v>87512</v>
      </c>
      <c r="O20" s="655">
        <v>17815</v>
      </c>
      <c r="P20" s="655">
        <v>17385</v>
      </c>
      <c r="Q20" s="655">
        <v>19543</v>
      </c>
      <c r="R20" s="655">
        <v>0</v>
      </c>
      <c r="S20" s="655">
        <v>8936</v>
      </c>
      <c r="T20" s="655">
        <v>1072</v>
      </c>
      <c r="U20" s="655">
        <v>64522</v>
      </c>
      <c r="V20" s="655">
        <v>0</v>
      </c>
      <c r="W20" s="655">
        <v>159856</v>
      </c>
      <c r="X20" s="655">
        <v>181208</v>
      </c>
      <c r="Y20" s="655">
        <v>0</v>
      </c>
      <c r="Z20" s="655">
        <v>0</v>
      </c>
      <c r="AA20" s="655">
        <v>0</v>
      </c>
      <c r="AB20" s="655">
        <v>0</v>
      </c>
      <c r="AC20" s="655">
        <v>0</v>
      </c>
      <c r="AD20" s="655">
        <v>25236</v>
      </c>
      <c r="AE20" s="655">
        <v>2827528</v>
      </c>
      <c r="AF20" s="655">
        <v>69012</v>
      </c>
      <c r="AG20" s="655">
        <v>161893</v>
      </c>
      <c r="AH20" s="655">
        <v>0</v>
      </c>
      <c r="AI20" s="655">
        <v>193986</v>
      </c>
      <c r="AJ20" s="655">
        <v>1668996</v>
      </c>
      <c r="AK20" s="655">
        <v>4921415</v>
      </c>
      <c r="AL20" s="655">
        <v>3435509</v>
      </c>
      <c r="AM20" s="655">
        <v>1485906</v>
      </c>
    </row>
    <row r="21" spans="1:39" x14ac:dyDescent="0.2">
      <c r="A21" s="649">
        <v>2013</v>
      </c>
      <c r="B21" s="650">
        <v>13</v>
      </c>
      <c r="C21" s="656" t="s">
        <v>95</v>
      </c>
      <c r="D21" s="651">
        <v>387</v>
      </c>
      <c r="E21" s="648" t="s">
        <v>1021</v>
      </c>
      <c r="F21" s="655">
        <v>8562530</v>
      </c>
      <c r="G21" s="655">
        <v>0</v>
      </c>
      <c r="H21" s="655">
        <v>341318</v>
      </c>
      <c r="I21" s="655">
        <v>1206525</v>
      </c>
      <c r="J21" s="655">
        <v>759948</v>
      </c>
      <c r="K21" s="655">
        <v>89432</v>
      </c>
      <c r="L21" s="655">
        <v>100497</v>
      </c>
      <c r="M21" s="655">
        <v>0</v>
      </c>
      <c r="N21" s="655">
        <v>429253</v>
      </c>
      <c r="O21" s="655">
        <v>0</v>
      </c>
      <c r="P21" s="655">
        <v>70031</v>
      </c>
      <c r="Q21" s="655">
        <v>77460</v>
      </c>
      <c r="R21" s="655">
        <v>0</v>
      </c>
      <c r="S21" s="655">
        <v>44087</v>
      </c>
      <c r="T21" s="655">
        <v>4653</v>
      </c>
      <c r="U21" s="655">
        <v>249433</v>
      </c>
      <c r="V21" s="655">
        <v>0</v>
      </c>
      <c r="W21" s="655">
        <v>65491</v>
      </c>
      <c r="X21" s="655">
        <v>685538</v>
      </c>
      <c r="Y21" s="655">
        <v>0</v>
      </c>
      <c r="Z21" s="655">
        <v>0</v>
      </c>
      <c r="AA21" s="655">
        <v>0</v>
      </c>
      <c r="AB21" s="655">
        <v>0</v>
      </c>
      <c r="AC21" s="655">
        <v>19986</v>
      </c>
      <c r="AD21" s="655">
        <v>83983</v>
      </c>
      <c r="AE21" s="655">
        <v>12622199</v>
      </c>
      <c r="AF21" s="655">
        <v>359942</v>
      </c>
      <c r="AG21" s="655">
        <v>639707</v>
      </c>
      <c r="AH21" s="655">
        <v>0</v>
      </c>
      <c r="AI21" s="655">
        <v>1622987</v>
      </c>
      <c r="AJ21" s="655">
        <v>5265742</v>
      </c>
      <c r="AK21" s="655">
        <v>20510577</v>
      </c>
      <c r="AL21" s="655">
        <v>16565711</v>
      </c>
      <c r="AM21" s="655">
        <v>3944866</v>
      </c>
    </row>
    <row r="22" spans="1:39" x14ac:dyDescent="0.2">
      <c r="A22" s="649">
        <v>2013</v>
      </c>
      <c r="B22" s="650">
        <v>11</v>
      </c>
      <c r="C22" s="656" t="s">
        <v>96</v>
      </c>
      <c r="D22" s="651">
        <v>414</v>
      </c>
      <c r="E22" s="648" t="s">
        <v>1022</v>
      </c>
      <c r="F22" s="655">
        <v>3333056</v>
      </c>
      <c r="G22" s="655">
        <v>160086</v>
      </c>
      <c r="H22" s="655">
        <v>40791</v>
      </c>
      <c r="I22" s="655">
        <v>326070</v>
      </c>
      <c r="J22" s="655">
        <v>309553</v>
      </c>
      <c r="K22" s="655">
        <v>35334</v>
      </c>
      <c r="L22" s="655">
        <v>30728</v>
      </c>
      <c r="M22" s="655">
        <v>0</v>
      </c>
      <c r="N22" s="655">
        <v>153948</v>
      </c>
      <c r="O22" s="655">
        <v>13479</v>
      </c>
      <c r="P22" s="655">
        <v>26988</v>
      </c>
      <c r="Q22" s="655">
        <v>29611</v>
      </c>
      <c r="R22" s="655">
        <v>0</v>
      </c>
      <c r="S22" s="655">
        <v>12590</v>
      </c>
      <c r="T22" s="655">
        <v>1622</v>
      </c>
      <c r="U22" s="655">
        <v>7305</v>
      </c>
      <c r="V22" s="655">
        <v>0</v>
      </c>
      <c r="W22" s="655">
        <v>39416</v>
      </c>
      <c r="X22" s="655">
        <v>83311</v>
      </c>
      <c r="Y22" s="655">
        <v>0</v>
      </c>
      <c r="Z22" s="655">
        <v>0</v>
      </c>
      <c r="AA22" s="655">
        <v>0</v>
      </c>
      <c r="AB22" s="655">
        <v>0</v>
      </c>
      <c r="AC22" s="655">
        <v>0</v>
      </c>
      <c r="AD22" s="655">
        <v>38612</v>
      </c>
      <c r="AE22" s="655">
        <v>4565276</v>
      </c>
      <c r="AF22" s="655">
        <v>95898</v>
      </c>
      <c r="AG22" s="655">
        <v>282490</v>
      </c>
      <c r="AH22" s="655">
        <v>0</v>
      </c>
      <c r="AI22" s="655">
        <v>635886</v>
      </c>
      <c r="AJ22" s="655">
        <v>947347</v>
      </c>
      <c r="AK22" s="655">
        <v>6526897</v>
      </c>
      <c r="AL22" s="655">
        <v>5592686</v>
      </c>
      <c r="AM22" s="655">
        <v>934211</v>
      </c>
    </row>
    <row r="23" spans="1:39" x14ac:dyDescent="0.2">
      <c r="A23" s="649">
        <v>2013</v>
      </c>
      <c r="B23" s="650">
        <v>12</v>
      </c>
      <c r="C23" s="656" t="s">
        <v>97</v>
      </c>
      <c r="D23" s="651">
        <v>423</v>
      </c>
      <c r="E23" s="648" t="s">
        <v>1023</v>
      </c>
      <c r="F23" s="655">
        <v>1567364</v>
      </c>
      <c r="G23" s="655">
        <v>19508</v>
      </c>
      <c r="H23" s="655">
        <v>72494</v>
      </c>
      <c r="I23" s="655">
        <v>194540</v>
      </c>
      <c r="J23" s="655">
        <v>143966</v>
      </c>
      <c r="K23" s="655">
        <v>17211</v>
      </c>
      <c r="L23" s="655">
        <v>15299</v>
      </c>
      <c r="M23" s="655">
        <v>0</v>
      </c>
      <c r="N23" s="655">
        <v>78525</v>
      </c>
      <c r="O23" s="655">
        <v>6604</v>
      </c>
      <c r="P23" s="655">
        <v>12841</v>
      </c>
      <c r="Q23" s="655">
        <v>14435</v>
      </c>
      <c r="R23" s="655">
        <v>0</v>
      </c>
      <c r="S23" s="655">
        <v>7875</v>
      </c>
      <c r="T23" s="655">
        <v>944</v>
      </c>
      <c r="U23" s="655">
        <v>52777</v>
      </c>
      <c r="V23" s="655">
        <v>0</v>
      </c>
      <c r="W23" s="655">
        <v>24120</v>
      </c>
      <c r="X23" s="655">
        <v>0</v>
      </c>
      <c r="Y23" s="655">
        <v>0</v>
      </c>
      <c r="Z23" s="655">
        <v>0</v>
      </c>
      <c r="AA23" s="655">
        <v>0</v>
      </c>
      <c r="AB23" s="655">
        <v>0</v>
      </c>
      <c r="AC23" s="655">
        <v>0</v>
      </c>
      <c r="AD23" s="655">
        <v>20142</v>
      </c>
      <c r="AE23" s="655">
        <v>2208361</v>
      </c>
      <c r="AF23" s="655">
        <v>51009</v>
      </c>
      <c r="AG23" s="655">
        <v>138565</v>
      </c>
      <c r="AH23" s="655">
        <v>0</v>
      </c>
      <c r="AI23" s="655">
        <v>684251</v>
      </c>
      <c r="AJ23" s="655">
        <v>1166874</v>
      </c>
      <c r="AK23" s="655">
        <v>4249060</v>
      </c>
      <c r="AL23" s="655">
        <v>3081546</v>
      </c>
      <c r="AM23" s="655">
        <v>1167514</v>
      </c>
    </row>
    <row r="24" spans="1:39" x14ac:dyDescent="0.2">
      <c r="A24" s="649">
        <v>2013</v>
      </c>
      <c r="B24" s="650">
        <v>13</v>
      </c>
      <c r="C24" s="656" t="s">
        <v>78</v>
      </c>
      <c r="D24" s="651">
        <v>441</v>
      </c>
      <c r="E24" s="648" t="s">
        <v>1785</v>
      </c>
      <c r="F24" s="655">
        <v>4853117</v>
      </c>
      <c r="G24" s="655">
        <v>123214</v>
      </c>
      <c r="H24" s="655">
        <v>195073</v>
      </c>
      <c r="I24" s="655">
        <v>473182</v>
      </c>
      <c r="J24" s="655">
        <v>394538</v>
      </c>
      <c r="K24" s="655">
        <v>38495</v>
      </c>
      <c r="L24" s="655">
        <v>43604</v>
      </c>
      <c r="M24" s="655">
        <v>0</v>
      </c>
      <c r="N24" s="655">
        <v>232535</v>
      </c>
      <c r="O24" s="655">
        <v>17394</v>
      </c>
      <c r="P24" s="655">
        <v>39533</v>
      </c>
      <c r="Q24" s="655">
        <v>43727</v>
      </c>
      <c r="R24" s="655">
        <v>0</v>
      </c>
      <c r="S24" s="655">
        <v>24296</v>
      </c>
      <c r="T24" s="655">
        <v>2561</v>
      </c>
      <c r="U24" s="655">
        <v>69873</v>
      </c>
      <c r="V24" s="655">
        <v>0</v>
      </c>
      <c r="W24" s="655">
        <v>104717</v>
      </c>
      <c r="X24" s="655">
        <v>61067</v>
      </c>
      <c r="Y24" s="655">
        <v>141021</v>
      </c>
      <c r="Z24" s="655">
        <v>0</v>
      </c>
      <c r="AA24" s="655">
        <v>0</v>
      </c>
      <c r="AB24" s="655">
        <v>0</v>
      </c>
      <c r="AC24" s="655">
        <v>0</v>
      </c>
      <c r="AD24" s="655">
        <v>51603</v>
      </c>
      <c r="AE24" s="655">
        <v>6524302</v>
      </c>
      <c r="AF24" s="655">
        <v>96016</v>
      </c>
      <c r="AG24" s="655">
        <v>415879</v>
      </c>
      <c r="AH24" s="655">
        <v>0</v>
      </c>
      <c r="AI24" s="655">
        <v>915302</v>
      </c>
      <c r="AJ24" s="655">
        <v>2480106</v>
      </c>
      <c r="AK24" s="655">
        <v>10431605</v>
      </c>
      <c r="AL24" s="655">
        <v>8137399</v>
      </c>
      <c r="AM24" s="655">
        <v>2294206</v>
      </c>
    </row>
    <row r="25" spans="1:39" x14ac:dyDescent="0.2">
      <c r="A25" s="649">
        <v>2013</v>
      </c>
      <c r="B25" s="650">
        <v>11</v>
      </c>
      <c r="C25" s="656" t="s">
        <v>98</v>
      </c>
      <c r="D25" s="651">
        <v>472</v>
      </c>
      <c r="E25" s="648" t="s">
        <v>1024</v>
      </c>
      <c r="F25" s="655">
        <v>9122720</v>
      </c>
      <c r="G25" s="655">
        <v>0</v>
      </c>
      <c r="H25" s="655">
        <v>69888</v>
      </c>
      <c r="I25" s="655">
        <v>738543</v>
      </c>
      <c r="J25" s="655">
        <v>718614</v>
      </c>
      <c r="K25" s="655">
        <v>76010</v>
      </c>
      <c r="L25" s="655">
        <v>90680</v>
      </c>
      <c r="M25" s="655">
        <v>0</v>
      </c>
      <c r="N25" s="655">
        <v>420348</v>
      </c>
      <c r="O25" s="655">
        <v>0</v>
      </c>
      <c r="P25" s="655">
        <v>74792</v>
      </c>
      <c r="Q25" s="655">
        <v>82061</v>
      </c>
      <c r="R25" s="655">
        <v>0</v>
      </c>
      <c r="S25" s="655">
        <v>33786</v>
      </c>
      <c r="T25" s="655">
        <v>4338</v>
      </c>
      <c r="U25" s="655">
        <v>224176</v>
      </c>
      <c r="V25" s="655">
        <v>509016</v>
      </c>
      <c r="W25" s="655">
        <v>124221</v>
      </c>
      <c r="X25" s="655">
        <v>413866</v>
      </c>
      <c r="Y25" s="655">
        <v>0</v>
      </c>
      <c r="Z25" s="655">
        <v>0</v>
      </c>
      <c r="AA25" s="655">
        <v>0</v>
      </c>
      <c r="AB25" s="655">
        <v>0</v>
      </c>
      <c r="AC25" s="655">
        <v>0</v>
      </c>
      <c r="AD25" s="655">
        <v>65747</v>
      </c>
      <c r="AE25" s="655">
        <v>12637312</v>
      </c>
      <c r="AF25" s="655">
        <v>324054</v>
      </c>
      <c r="AG25" s="655">
        <v>482866</v>
      </c>
      <c r="AH25" s="655">
        <v>0</v>
      </c>
      <c r="AI25" s="655">
        <v>1422054</v>
      </c>
      <c r="AJ25" s="655">
        <v>1450221</v>
      </c>
      <c r="AK25" s="655">
        <v>16316507</v>
      </c>
      <c r="AL25" s="655">
        <v>15226078</v>
      </c>
      <c r="AM25" s="655">
        <v>1090429</v>
      </c>
    </row>
    <row r="26" spans="1:39" x14ac:dyDescent="0.2">
      <c r="A26" s="649">
        <v>2013</v>
      </c>
      <c r="B26" s="650">
        <v>12</v>
      </c>
      <c r="C26" s="656" t="s">
        <v>99</v>
      </c>
      <c r="D26" s="651">
        <v>504</v>
      </c>
      <c r="E26" s="648" t="s">
        <v>1025</v>
      </c>
      <c r="F26" s="655">
        <v>3879647</v>
      </c>
      <c r="G26" s="655">
        <v>0</v>
      </c>
      <c r="H26" s="655">
        <v>200997</v>
      </c>
      <c r="I26" s="655">
        <v>518906</v>
      </c>
      <c r="J26" s="655">
        <v>362370</v>
      </c>
      <c r="K26" s="655">
        <v>40930</v>
      </c>
      <c r="L26" s="655">
        <v>40891</v>
      </c>
      <c r="M26" s="655">
        <v>0</v>
      </c>
      <c r="N26" s="655">
        <v>198224</v>
      </c>
      <c r="O26" s="655">
        <v>0</v>
      </c>
      <c r="P26" s="655">
        <v>32005</v>
      </c>
      <c r="Q26" s="655">
        <v>35977</v>
      </c>
      <c r="R26" s="655">
        <v>0</v>
      </c>
      <c r="S26" s="655">
        <v>19878</v>
      </c>
      <c r="T26" s="655">
        <v>2382</v>
      </c>
      <c r="U26" s="655">
        <v>129928</v>
      </c>
      <c r="V26" s="655">
        <v>0</v>
      </c>
      <c r="W26" s="655">
        <v>17755</v>
      </c>
      <c r="X26" s="655">
        <v>0</v>
      </c>
      <c r="Y26" s="655">
        <v>34006</v>
      </c>
      <c r="Z26" s="655">
        <v>0</v>
      </c>
      <c r="AA26" s="655">
        <v>0</v>
      </c>
      <c r="AB26" s="655">
        <v>0</v>
      </c>
      <c r="AC26" s="655">
        <v>0</v>
      </c>
      <c r="AD26" s="655">
        <v>46276</v>
      </c>
      <c r="AE26" s="655">
        <v>5399608</v>
      </c>
      <c r="AF26" s="655">
        <v>138023</v>
      </c>
      <c r="AG26" s="655">
        <v>306842</v>
      </c>
      <c r="AH26" s="655">
        <v>0</v>
      </c>
      <c r="AI26" s="655">
        <v>1436787</v>
      </c>
      <c r="AJ26" s="655">
        <v>1420575</v>
      </c>
      <c r="AK26" s="655">
        <v>8701835</v>
      </c>
      <c r="AL26" s="655">
        <v>7344888</v>
      </c>
      <c r="AM26" s="655">
        <v>1356947</v>
      </c>
    </row>
    <row r="27" spans="1:39" x14ac:dyDescent="0.2">
      <c r="A27" s="649">
        <v>2013</v>
      </c>
      <c r="B27" s="650">
        <v>11</v>
      </c>
      <c r="C27" s="656" t="s">
        <v>100</v>
      </c>
      <c r="D27" s="651">
        <v>513</v>
      </c>
      <c r="E27" s="648" t="s">
        <v>1026</v>
      </c>
      <c r="F27" s="655">
        <v>2309785</v>
      </c>
      <c r="G27" s="655">
        <v>91903</v>
      </c>
      <c r="H27" s="655">
        <v>34716</v>
      </c>
      <c r="I27" s="655">
        <v>240700</v>
      </c>
      <c r="J27" s="655">
        <v>220657</v>
      </c>
      <c r="K27" s="655">
        <v>21718</v>
      </c>
      <c r="L27" s="655">
        <v>23229</v>
      </c>
      <c r="M27" s="655">
        <v>0</v>
      </c>
      <c r="N27" s="655">
        <v>108718</v>
      </c>
      <c r="O27" s="655">
        <v>1830</v>
      </c>
      <c r="P27" s="655">
        <v>18906</v>
      </c>
      <c r="Q27" s="655">
        <v>20744</v>
      </c>
      <c r="R27" s="655">
        <v>0</v>
      </c>
      <c r="S27" s="655">
        <v>8835</v>
      </c>
      <c r="T27" s="655">
        <v>1138</v>
      </c>
      <c r="U27" s="655">
        <v>86406</v>
      </c>
      <c r="V27" s="655">
        <v>0</v>
      </c>
      <c r="W27" s="655">
        <v>17649</v>
      </c>
      <c r="X27" s="655">
        <v>0</v>
      </c>
      <c r="Y27" s="655">
        <v>0</v>
      </c>
      <c r="Z27" s="655">
        <v>0</v>
      </c>
      <c r="AA27" s="655">
        <v>0</v>
      </c>
      <c r="AB27" s="655">
        <v>0</v>
      </c>
      <c r="AC27" s="655">
        <v>0</v>
      </c>
      <c r="AD27" s="655">
        <v>18014</v>
      </c>
      <c r="AE27" s="655">
        <v>3188920</v>
      </c>
      <c r="AF27" s="655">
        <v>66011</v>
      </c>
      <c r="AG27" s="655">
        <v>153396</v>
      </c>
      <c r="AH27" s="655">
        <v>0</v>
      </c>
      <c r="AI27" s="655">
        <v>712013</v>
      </c>
      <c r="AJ27" s="655">
        <v>1274268</v>
      </c>
      <c r="AK27" s="655">
        <v>5394608</v>
      </c>
      <c r="AL27" s="655">
        <v>4149980</v>
      </c>
      <c r="AM27" s="655">
        <v>1244628</v>
      </c>
    </row>
    <row r="28" spans="1:39" x14ac:dyDescent="0.2">
      <c r="A28" s="649">
        <v>2013</v>
      </c>
      <c r="B28" s="650">
        <v>7</v>
      </c>
      <c r="C28" s="656" t="s">
        <v>101</v>
      </c>
      <c r="D28" s="651">
        <v>540</v>
      </c>
      <c r="E28" s="648" t="s">
        <v>1027</v>
      </c>
      <c r="F28" s="655">
        <v>3611492</v>
      </c>
      <c r="G28" s="655">
        <v>0</v>
      </c>
      <c r="H28" s="655">
        <v>60692</v>
      </c>
      <c r="I28" s="655">
        <v>496778</v>
      </c>
      <c r="J28" s="655">
        <v>312428</v>
      </c>
      <c r="K28" s="655">
        <v>34595</v>
      </c>
      <c r="L28" s="655">
        <v>32404</v>
      </c>
      <c r="M28" s="655">
        <v>0</v>
      </c>
      <c r="N28" s="655">
        <v>180475</v>
      </c>
      <c r="O28" s="655">
        <v>0</v>
      </c>
      <c r="P28" s="655">
        <v>29350</v>
      </c>
      <c r="Q28" s="655">
        <v>32813</v>
      </c>
      <c r="R28" s="655">
        <v>0</v>
      </c>
      <c r="S28" s="655">
        <v>23311</v>
      </c>
      <c r="T28" s="655">
        <v>2675</v>
      </c>
      <c r="U28" s="655">
        <v>131625</v>
      </c>
      <c r="V28" s="655">
        <v>0</v>
      </c>
      <c r="W28" s="655">
        <v>60329</v>
      </c>
      <c r="X28" s="655">
        <v>38100</v>
      </c>
      <c r="Y28" s="655">
        <v>0</v>
      </c>
      <c r="Z28" s="655">
        <v>0</v>
      </c>
      <c r="AA28" s="655">
        <v>0</v>
      </c>
      <c r="AB28" s="655">
        <v>0</v>
      </c>
      <c r="AC28" s="655">
        <v>0</v>
      </c>
      <c r="AD28" s="655">
        <v>36373</v>
      </c>
      <c r="AE28" s="655">
        <v>5010694</v>
      </c>
      <c r="AF28" s="655">
        <v>81014</v>
      </c>
      <c r="AG28" s="655">
        <v>292386</v>
      </c>
      <c r="AH28" s="655">
        <v>0</v>
      </c>
      <c r="AI28" s="655">
        <v>869062</v>
      </c>
      <c r="AJ28" s="655">
        <v>1829196</v>
      </c>
      <c r="AK28" s="655">
        <v>8082352</v>
      </c>
      <c r="AL28" s="655">
        <v>6352684</v>
      </c>
      <c r="AM28" s="655">
        <v>1729668</v>
      </c>
    </row>
    <row r="29" spans="1:39" x14ac:dyDescent="0.2">
      <c r="A29" s="649">
        <v>2013</v>
      </c>
      <c r="B29" s="650">
        <v>13</v>
      </c>
      <c r="C29" s="656" t="s">
        <v>102</v>
      </c>
      <c r="D29" s="651">
        <v>549</v>
      </c>
      <c r="E29" s="648" t="s">
        <v>1028</v>
      </c>
      <c r="F29" s="655">
        <v>3101317</v>
      </c>
      <c r="G29" s="655">
        <v>87663</v>
      </c>
      <c r="H29" s="655">
        <v>38352</v>
      </c>
      <c r="I29" s="655">
        <v>403747</v>
      </c>
      <c r="J29" s="655">
        <v>294573</v>
      </c>
      <c r="K29" s="655">
        <v>30914</v>
      </c>
      <c r="L29" s="655">
        <v>34027</v>
      </c>
      <c r="M29" s="655">
        <v>0</v>
      </c>
      <c r="N29" s="655">
        <v>154115</v>
      </c>
      <c r="O29" s="655">
        <v>5269</v>
      </c>
      <c r="P29" s="655">
        <v>25488</v>
      </c>
      <c r="Q29" s="655">
        <v>28192</v>
      </c>
      <c r="R29" s="655">
        <v>0</v>
      </c>
      <c r="S29" s="655">
        <v>16311</v>
      </c>
      <c r="T29" s="655">
        <v>1719</v>
      </c>
      <c r="U29" s="655">
        <v>122365</v>
      </c>
      <c r="V29" s="655">
        <v>0</v>
      </c>
      <c r="W29" s="655">
        <v>11766</v>
      </c>
      <c r="X29" s="655">
        <v>183205</v>
      </c>
      <c r="Y29" s="655">
        <v>0</v>
      </c>
      <c r="Z29" s="655">
        <v>0</v>
      </c>
      <c r="AA29" s="655">
        <v>0</v>
      </c>
      <c r="AB29" s="655">
        <v>0</v>
      </c>
      <c r="AC29" s="655">
        <v>0</v>
      </c>
      <c r="AD29" s="655">
        <v>36255</v>
      </c>
      <c r="AE29" s="655">
        <v>4502768</v>
      </c>
      <c r="AF29" s="655">
        <v>57010</v>
      </c>
      <c r="AG29" s="655">
        <v>240353</v>
      </c>
      <c r="AH29" s="655">
        <v>0</v>
      </c>
      <c r="AI29" s="655">
        <v>704715</v>
      </c>
      <c r="AJ29" s="655">
        <v>1524771</v>
      </c>
      <c r="AK29" s="655">
        <v>7029617</v>
      </c>
      <c r="AL29" s="655">
        <v>5444334</v>
      </c>
      <c r="AM29" s="655">
        <v>1585283</v>
      </c>
    </row>
    <row r="30" spans="1:39" x14ac:dyDescent="0.2">
      <c r="A30" s="649">
        <v>2013</v>
      </c>
      <c r="B30" s="650">
        <v>10</v>
      </c>
      <c r="C30" s="656" t="s">
        <v>103</v>
      </c>
      <c r="D30" s="651">
        <v>576</v>
      </c>
      <c r="E30" s="648" t="s">
        <v>1029</v>
      </c>
      <c r="F30" s="655">
        <v>3541149</v>
      </c>
      <c r="G30" s="655">
        <v>6352</v>
      </c>
      <c r="H30" s="655">
        <v>94399</v>
      </c>
      <c r="I30" s="655">
        <v>392066</v>
      </c>
      <c r="J30" s="655">
        <v>299691</v>
      </c>
      <c r="K30" s="655">
        <v>29243</v>
      </c>
      <c r="L30" s="655">
        <v>29326</v>
      </c>
      <c r="M30" s="655">
        <v>0</v>
      </c>
      <c r="N30" s="655">
        <v>172197</v>
      </c>
      <c r="O30" s="655">
        <v>2131</v>
      </c>
      <c r="P30" s="655">
        <v>29018</v>
      </c>
      <c r="Q30" s="655">
        <v>31867</v>
      </c>
      <c r="R30" s="655">
        <v>0</v>
      </c>
      <c r="S30" s="655">
        <v>15936</v>
      </c>
      <c r="T30" s="655">
        <v>1854</v>
      </c>
      <c r="U30" s="655">
        <v>79141</v>
      </c>
      <c r="V30" s="655">
        <v>0</v>
      </c>
      <c r="W30" s="655">
        <v>7648</v>
      </c>
      <c r="X30" s="655">
        <v>41357</v>
      </c>
      <c r="Y30" s="655">
        <v>0</v>
      </c>
      <c r="Z30" s="655">
        <v>0</v>
      </c>
      <c r="AA30" s="655">
        <v>0</v>
      </c>
      <c r="AB30" s="655">
        <v>0</v>
      </c>
      <c r="AC30" s="655">
        <v>0</v>
      </c>
      <c r="AD30" s="655">
        <v>41645</v>
      </c>
      <c r="AE30" s="655">
        <v>4731730</v>
      </c>
      <c r="AF30" s="655">
        <v>72012</v>
      </c>
      <c r="AG30" s="655">
        <v>243713</v>
      </c>
      <c r="AH30" s="655">
        <v>0</v>
      </c>
      <c r="AI30" s="655">
        <v>472362</v>
      </c>
      <c r="AJ30" s="655">
        <v>2722219</v>
      </c>
      <c r="AK30" s="655">
        <v>8242036</v>
      </c>
      <c r="AL30" s="655">
        <v>5785218</v>
      </c>
      <c r="AM30" s="655">
        <v>2456818</v>
      </c>
    </row>
    <row r="31" spans="1:39" x14ac:dyDescent="0.2">
      <c r="A31" s="649">
        <v>2013</v>
      </c>
      <c r="B31" s="650">
        <v>9</v>
      </c>
      <c r="C31" s="656" t="s">
        <v>104</v>
      </c>
      <c r="D31" s="651">
        <v>585</v>
      </c>
      <c r="E31" s="648" t="s">
        <v>1030</v>
      </c>
      <c r="F31" s="655">
        <v>3441550</v>
      </c>
      <c r="G31" s="655">
        <v>96896</v>
      </c>
      <c r="H31" s="655">
        <v>25171</v>
      </c>
      <c r="I31" s="655">
        <v>463861</v>
      </c>
      <c r="J31" s="655">
        <v>311780</v>
      </c>
      <c r="K31" s="655">
        <v>34220</v>
      </c>
      <c r="L31" s="655">
        <v>30699</v>
      </c>
      <c r="M31" s="655">
        <v>0</v>
      </c>
      <c r="N31" s="655">
        <v>170722</v>
      </c>
      <c r="O31" s="655">
        <v>9401</v>
      </c>
      <c r="P31" s="655">
        <v>35761</v>
      </c>
      <c r="Q31" s="655">
        <v>38977</v>
      </c>
      <c r="R31" s="655">
        <v>0</v>
      </c>
      <c r="S31" s="655">
        <v>15323</v>
      </c>
      <c r="T31" s="655">
        <v>1802</v>
      </c>
      <c r="U31" s="655">
        <v>126557</v>
      </c>
      <c r="V31" s="655">
        <v>0</v>
      </c>
      <c r="W31" s="655">
        <v>23620</v>
      </c>
      <c r="X31" s="655">
        <v>0</v>
      </c>
      <c r="Y31" s="655">
        <v>4632</v>
      </c>
      <c r="Z31" s="655">
        <v>0</v>
      </c>
      <c r="AA31" s="655">
        <v>0</v>
      </c>
      <c r="AB31" s="655">
        <v>0</v>
      </c>
      <c r="AC31" s="655">
        <v>0</v>
      </c>
      <c r="AD31" s="655">
        <v>40539</v>
      </c>
      <c r="AE31" s="655">
        <v>4781169</v>
      </c>
      <c r="AF31" s="655">
        <v>123021</v>
      </c>
      <c r="AG31" s="655">
        <v>279750</v>
      </c>
      <c r="AH31" s="655">
        <v>0</v>
      </c>
      <c r="AI31" s="655">
        <v>1061512</v>
      </c>
      <c r="AJ31" s="655">
        <v>2307796</v>
      </c>
      <c r="AK31" s="655">
        <v>8553248</v>
      </c>
      <c r="AL31" s="655">
        <v>6494515</v>
      </c>
      <c r="AM31" s="655">
        <v>2058733</v>
      </c>
    </row>
    <row r="32" spans="1:39" x14ac:dyDescent="0.2">
      <c r="A32" s="649">
        <v>2013</v>
      </c>
      <c r="B32" s="650">
        <v>7</v>
      </c>
      <c r="C32" s="656" t="s">
        <v>105</v>
      </c>
      <c r="D32" s="651">
        <v>594</v>
      </c>
      <c r="E32" s="648" t="s">
        <v>1031</v>
      </c>
      <c r="F32" s="655">
        <v>4456452</v>
      </c>
      <c r="G32" s="655">
        <v>0</v>
      </c>
      <c r="H32" s="655">
        <v>88528</v>
      </c>
      <c r="I32" s="655">
        <v>618318</v>
      </c>
      <c r="J32" s="655">
        <v>378784</v>
      </c>
      <c r="K32" s="655">
        <v>40046</v>
      </c>
      <c r="L32" s="655">
        <v>47258</v>
      </c>
      <c r="M32" s="655">
        <v>0</v>
      </c>
      <c r="N32" s="655">
        <v>225754</v>
      </c>
      <c r="O32" s="655">
        <v>0</v>
      </c>
      <c r="P32" s="655">
        <v>36712</v>
      </c>
      <c r="Q32" s="655">
        <v>41043</v>
      </c>
      <c r="R32" s="655">
        <v>0</v>
      </c>
      <c r="S32" s="655">
        <v>29159</v>
      </c>
      <c r="T32" s="655">
        <v>3346</v>
      </c>
      <c r="U32" s="655">
        <v>112504</v>
      </c>
      <c r="V32" s="655">
        <v>0</v>
      </c>
      <c r="W32" s="655">
        <v>159215</v>
      </c>
      <c r="X32" s="655">
        <v>57929</v>
      </c>
      <c r="Y32" s="655">
        <v>0</v>
      </c>
      <c r="Z32" s="655">
        <v>0</v>
      </c>
      <c r="AA32" s="655">
        <v>0</v>
      </c>
      <c r="AB32" s="655">
        <v>0</v>
      </c>
      <c r="AC32" s="655">
        <v>0</v>
      </c>
      <c r="AD32" s="655">
        <v>48177</v>
      </c>
      <c r="AE32" s="655">
        <v>6246871</v>
      </c>
      <c r="AF32" s="655">
        <v>111019</v>
      </c>
      <c r="AG32" s="655">
        <v>353396</v>
      </c>
      <c r="AH32" s="655">
        <v>0</v>
      </c>
      <c r="AI32" s="655">
        <v>772000</v>
      </c>
      <c r="AJ32" s="655">
        <v>1629503</v>
      </c>
      <c r="AK32" s="655">
        <v>9112789</v>
      </c>
      <c r="AL32" s="655">
        <v>7569591</v>
      </c>
      <c r="AM32" s="655">
        <v>1543198</v>
      </c>
    </row>
    <row r="33" spans="1:39" x14ac:dyDescent="0.2">
      <c r="A33" s="649">
        <v>2013</v>
      </c>
      <c r="B33" s="650">
        <v>9</v>
      </c>
      <c r="C33" s="656" t="s">
        <v>106</v>
      </c>
      <c r="D33" s="651">
        <v>603</v>
      </c>
      <c r="E33" s="648" t="s">
        <v>1032</v>
      </c>
      <c r="F33" s="655">
        <v>1165080</v>
      </c>
      <c r="G33" s="655">
        <v>14076</v>
      </c>
      <c r="H33" s="655">
        <v>9192</v>
      </c>
      <c r="I33" s="655">
        <v>105286</v>
      </c>
      <c r="J33" s="655">
        <v>91354</v>
      </c>
      <c r="K33" s="655">
        <v>6179</v>
      </c>
      <c r="L33" s="655">
        <v>11081</v>
      </c>
      <c r="M33" s="655">
        <v>0</v>
      </c>
      <c r="N33" s="655">
        <v>54863</v>
      </c>
      <c r="O33" s="655">
        <v>5796</v>
      </c>
      <c r="P33" s="655">
        <v>9393</v>
      </c>
      <c r="Q33" s="655">
        <v>10237</v>
      </c>
      <c r="R33" s="655">
        <v>0</v>
      </c>
      <c r="S33" s="655">
        <v>4885</v>
      </c>
      <c r="T33" s="655">
        <v>574</v>
      </c>
      <c r="U33" s="655">
        <v>0</v>
      </c>
      <c r="V33" s="655">
        <v>0</v>
      </c>
      <c r="W33" s="655">
        <v>77973</v>
      </c>
      <c r="X33" s="655">
        <v>8079</v>
      </c>
      <c r="Y33" s="655">
        <v>0</v>
      </c>
      <c r="Z33" s="655">
        <v>0</v>
      </c>
      <c r="AA33" s="655">
        <v>0</v>
      </c>
      <c r="AB33" s="655">
        <v>0</v>
      </c>
      <c r="AC33" s="655">
        <v>0</v>
      </c>
      <c r="AD33" s="655">
        <v>14107</v>
      </c>
      <c r="AE33" s="655">
        <v>1559941</v>
      </c>
      <c r="AF33" s="655">
        <v>18003</v>
      </c>
      <c r="AG33" s="655">
        <v>98861</v>
      </c>
      <c r="AH33" s="655">
        <v>0</v>
      </c>
      <c r="AI33" s="655">
        <v>165620</v>
      </c>
      <c r="AJ33" s="655">
        <v>455296</v>
      </c>
      <c r="AK33" s="655">
        <v>2297721</v>
      </c>
      <c r="AL33" s="655">
        <v>2087838</v>
      </c>
      <c r="AM33" s="655">
        <v>209883</v>
      </c>
    </row>
    <row r="34" spans="1:39" x14ac:dyDescent="0.2">
      <c r="A34" s="649">
        <v>2013</v>
      </c>
      <c r="B34" s="650">
        <v>10</v>
      </c>
      <c r="C34" s="656" t="s">
        <v>107</v>
      </c>
      <c r="D34" s="651">
        <v>609</v>
      </c>
      <c r="E34" s="648" t="s">
        <v>1033</v>
      </c>
      <c r="F34" s="655">
        <v>9291292</v>
      </c>
      <c r="G34" s="655">
        <v>265407</v>
      </c>
      <c r="H34" s="655">
        <v>61588</v>
      </c>
      <c r="I34" s="655">
        <v>1118874</v>
      </c>
      <c r="J34" s="655">
        <v>794080</v>
      </c>
      <c r="K34" s="655">
        <v>86953</v>
      </c>
      <c r="L34" s="655">
        <v>79333</v>
      </c>
      <c r="M34" s="655">
        <v>0</v>
      </c>
      <c r="N34" s="655">
        <v>451176</v>
      </c>
      <c r="O34" s="655">
        <v>16583</v>
      </c>
      <c r="P34" s="655">
        <v>81997</v>
      </c>
      <c r="Q34" s="655">
        <v>90046</v>
      </c>
      <c r="R34" s="655">
        <v>0</v>
      </c>
      <c r="S34" s="655">
        <v>42734</v>
      </c>
      <c r="T34" s="655">
        <v>4974</v>
      </c>
      <c r="U34" s="655">
        <v>33532</v>
      </c>
      <c r="V34" s="655">
        <v>0</v>
      </c>
      <c r="W34" s="655">
        <v>121190</v>
      </c>
      <c r="X34" s="655">
        <v>0</v>
      </c>
      <c r="Y34" s="655">
        <v>0</v>
      </c>
      <c r="Z34" s="655">
        <v>0</v>
      </c>
      <c r="AA34" s="655">
        <v>0</v>
      </c>
      <c r="AB34" s="655">
        <v>0</v>
      </c>
      <c r="AC34" s="655">
        <v>0</v>
      </c>
      <c r="AD34" s="655">
        <v>97171</v>
      </c>
      <c r="AE34" s="655">
        <v>12442588</v>
      </c>
      <c r="AF34" s="655">
        <v>303051</v>
      </c>
      <c r="AG34" s="655">
        <v>747143</v>
      </c>
      <c r="AH34" s="655">
        <v>0</v>
      </c>
      <c r="AI34" s="655">
        <v>1034471</v>
      </c>
      <c r="AJ34" s="655">
        <v>5084681</v>
      </c>
      <c r="AK34" s="655">
        <v>19611934</v>
      </c>
      <c r="AL34" s="655">
        <v>15564389</v>
      </c>
      <c r="AM34" s="655">
        <v>4047545</v>
      </c>
    </row>
    <row r="35" spans="1:39" x14ac:dyDescent="0.2">
      <c r="A35" s="649">
        <v>2013</v>
      </c>
      <c r="B35" s="650">
        <v>9</v>
      </c>
      <c r="C35" s="656" t="s">
        <v>108</v>
      </c>
      <c r="D35" s="651">
        <v>621</v>
      </c>
      <c r="E35" s="648" t="s">
        <v>1034</v>
      </c>
      <c r="F35" s="655">
        <v>24920865</v>
      </c>
      <c r="G35" s="655">
        <v>0</v>
      </c>
      <c r="H35" s="655">
        <v>422765</v>
      </c>
      <c r="I35" s="655">
        <v>2872260</v>
      </c>
      <c r="J35" s="655">
        <v>2057048</v>
      </c>
      <c r="K35" s="655">
        <v>235753</v>
      </c>
      <c r="L35" s="655">
        <v>234236</v>
      </c>
      <c r="M35" s="655">
        <v>0</v>
      </c>
      <c r="N35" s="655">
        <v>1211552</v>
      </c>
      <c r="O35" s="655">
        <v>0</v>
      </c>
      <c r="P35" s="655">
        <v>211481</v>
      </c>
      <c r="Q35" s="655">
        <v>230502</v>
      </c>
      <c r="R35" s="655">
        <v>0</v>
      </c>
      <c r="S35" s="655">
        <v>107879</v>
      </c>
      <c r="T35" s="655">
        <v>12673</v>
      </c>
      <c r="U35" s="655">
        <v>9525</v>
      </c>
      <c r="V35" s="655">
        <v>377814</v>
      </c>
      <c r="W35" s="655">
        <v>286714</v>
      </c>
      <c r="X35" s="655">
        <v>0</v>
      </c>
      <c r="Y35" s="655">
        <v>0</v>
      </c>
      <c r="Z35" s="655">
        <v>0</v>
      </c>
      <c r="AA35" s="655">
        <v>1786237</v>
      </c>
      <c r="AB35" s="655">
        <v>0</v>
      </c>
      <c r="AC35" s="655">
        <v>0</v>
      </c>
      <c r="AD35" s="655">
        <v>227100</v>
      </c>
      <c r="AE35" s="655">
        <v>34750204</v>
      </c>
      <c r="AF35" s="655">
        <v>828197</v>
      </c>
      <c r="AG35" s="655">
        <v>1921648</v>
      </c>
      <c r="AH35" s="655">
        <v>0</v>
      </c>
      <c r="AI35" s="655">
        <v>6606191</v>
      </c>
      <c r="AJ35" s="655">
        <v>10336454</v>
      </c>
      <c r="AK35" s="655">
        <v>54442694</v>
      </c>
      <c r="AL35" s="655">
        <v>42376004</v>
      </c>
      <c r="AM35" s="655">
        <v>12066690</v>
      </c>
    </row>
    <row r="36" spans="1:39" x14ac:dyDescent="0.2">
      <c r="A36" s="649">
        <v>2013</v>
      </c>
      <c r="B36" s="650">
        <v>15</v>
      </c>
      <c r="C36" s="656" t="s">
        <v>112</v>
      </c>
      <c r="D36" s="651">
        <v>657</v>
      </c>
      <c r="E36" s="648" t="s">
        <v>1495</v>
      </c>
      <c r="F36" s="655">
        <v>5214869</v>
      </c>
      <c r="G36" s="655">
        <v>0</v>
      </c>
      <c r="H36" s="655">
        <v>336542</v>
      </c>
      <c r="I36" s="655">
        <v>618463</v>
      </c>
      <c r="J36" s="655">
        <v>461761</v>
      </c>
      <c r="K36" s="655">
        <v>48438</v>
      </c>
      <c r="L36" s="655">
        <v>59857</v>
      </c>
      <c r="M36" s="655">
        <v>0</v>
      </c>
      <c r="N36" s="655">
        <v>253922</v>
      </c>
      <c r="O36" s="655">
        <v>10792</v>
      </c>
      <c r="P36" s="655">
        <v>43583</v>
      </c>
      <c r="Q36" s="655">
        <v>47854</v>
      </c>
      <c r="R36" s="655">
        <v>0</v>
      </c>
      <c r="S36" s="655">
        <v>25380</v>
      </c>
      <c r="T36" s="655">
        <v>2731</v>
      </c>
      <c r="U36" s="655">
        <v>260743</v>
      </c>
      <c r="V36" s="655">
        <v>0</v>
      </c>
      <c r="W36" s="655">
        <v>102017</v>
      </c>
      <c r="X36" s="655">
        <v>171082</v>
      </c>
      <c r="Y36" s="655">
        <v>0</v>
      </c>
      <c r="Z36" s="655">
        <v>0</v>
      </c>
      <c r="AA36" s="655">
        <v>0</v>
      </c>
      <c r="AB36" s="655">
        <v>0</v>
      </c>
      <c r="AC36" s="655">
        <v>0</v>
      </c>
      <c r="AD36" s="655">
        <v>54826</v>
      </c>
      <c r="AE36" s="655">
        <v>7603208</v>
      </c>
      <c r="AF36" s="655">
        <v>150025</v>
      </c>
      <c r="AG36" s="655">
        <v>443212</v>
      </c>
      <c r="AH36" s="655">
        <v>0</v>
      </c>
      <c r="AI36" s="655">
        <v>1016076</v>
      </c>
      <c r="AJ36" s="655">
        <v>1514096</v>
      </c>
      <c r="AK36" s="655">
        <v>10726617</v>
      </c>
      <c r="AL36" s="655">
        <v>9252140</v>
      </c>
      <c r="AM36" s="655">
        <v>1474477</v>
      </c>
    </row>
    <row r="37" spans="1:39" x14ac:dyDescent="0.2">
      <c r="A37" s="649">
        <v>2013</v>
      </c>
      <c r="B37" s="650">
        <v>11</v>
      </c>
      <c r="C37" s="656" t="s">
        <v>109</v>
      </c>
      <c r="D37" s="651">
        <v>720</v>
      </c>
      <c r="E37" s="648" t="s">
        <v>1035</v>
      </c>
      <c r="F37" s="655">
        <v>8346191</v>
      </c>
      <c r="G37" s="655">
        <v>0</v>
      </c>
      <c r="H37" s="655">
        <v>50402</v>
      </c>
      <c r="I37" s="655">
        <v>750125</v>
      </c>
      <c r="J37" s="655">
        <v>679712</v>
      </c>
      <c r="K37" s="655">
        <v>69512</v>
      </c>
      <c r="L37" s="655">
        <v>82252</v>
      </c>
      <c r="M37" s="655">
        <v>0</v>
      </c>
      <c r="N37" s="655">
        <v>387742</v>
      </c>
      <c r="O37" s="655">
        <v>0</v>
      </c>
      <c r="P37" s="655">
        <v>68964</v>
      </c>
      <c r="Q37" s="655">
        <v>75666</v>
      </c>
      <c r="R37" s="655">
        <v>0</v>
      </c>
      <c r="S37" s="655">
        <v>31165</v>
      </c>
      <c r="T37" s="655">
        <v>4002</v>
      </c>
      <c r="U37" s="655">
        <v>0</v>
      </c>
      <c r="V37" s="655">
        <v>0</v>
      </c>
      <c r="W37" s="655">
        <v>456796</v>
      </c>
      <c r="X37" s="655">
        <v>281958</v>
      </c>
      <c r="Y37" s="655">
        <v>0</v>
      </c>
      <c r="Z37" s="655">
        <v>0</v>
      </c>
      <c r="AA37" s="655">
        <v>0</v>
      </c>
      <c r="AB37" s="655">
        <v>0</v>
      </c>
      <c r="AC37" s="655">
        <v>0</v>
      </c>
      <c r="AD37" s="655">
        <v>48284</v>
      </c>
      <c r="AE37" s="655">
        <v>11236203</v>
      </c>
      <c r="AF37" s="655">
        <v>129022</v>
      </c>
      <c r="AG37" s="655">
        <v>489754</v>
      </c>
      <c r="AH37" s="655">
        <v>0</v>
      </c>
      <c r="AI37" s="655">
        <v>1575505</v>
      </c>
      <c r="AJ37" s="655">
        <v>5436198</v>
      </c>
      <c r="AK37" s="655">
        <v>18866682</v>
      </c>
      <c r="AL37" s="655">
        <v>12887536</v>
      </c>
      <c r="AM37" s="655">
        <v>5979146</v>
      </c>
    </row>
    <row r="38" spans="1:39" x14ac:dyDescent="0.2">
      <c r="A38" s="649">
        <v>2013</v>
      </c>
      <c r="B38" s="650">
        <v>11</v>
      </c>
      <c r="C38" s="656" t="s">
        <v>110</v>
      </c>
      <c r="D38" s="651">
        <v>729</v>
      </c>
      <c r="E38" s="648" t="s">
        <v>1036</v>
      </c>
      <c r="F38" s="655">
        <v>13168594</v>
      </c>
      <c r="G38" s="655">
        <v>0</v>
      </c>
      <c r="H38" s="655">
        <v>166864</v>
      </c>
      <c r="I38" s="655">
        <v>1992392</v>
      </c>
      <c r="J38" s="655">
        <v>1154957</v>
      </c>
      <c r="K38" s="655">
        <v>145533</v>
      </c>
      <c r="L38" s="655">
        <v>130852</v>
      </c>
      <c r="M38" s="655">
        <v>0</v>
      </c>
      <c r="N38" s="655">
        <v>646256</v>
      </c>
      <c r="O38" s="655">
        <v>0</v>
      </c>
      <c r="P38" s="655">
        <v>116768</v>
      </c>
      <c r="Q38" s="655">
        <v>128116</v>
      </c>
      <c r="R38" s="655">
        <v>0</v>
      </c>
      <c r="S38" s="655">
        <v>51943</v>
      </c>
      <c r="T38" s="655">
        <v>6670</v>
      </c>
      <c r="U38" s="655">
        <v>583500</v>
      </c>
      <c r="V38" s="655">
        <v>0</v>
      </c>
      <c r="W38" s="655">
        <v>248406</v>
      </c>
      <c r="X38" s="655">
        <v>127206</v>
      </c>
      <c r="Y38" s="655">
        <v>0</v>
      </c>
      <c r="Z38" s="655">
        <v>0</v>
      </c>
      <c r="AA38" s="655">
        <v>0</v>
      </c>
      <c r="AB38" s="655">
        <v>0</v>
      </c>
      <c r="AC38" s="655">
        <v>-46064</v>
      </c>
      <c r="AD38" s="655">
        <v>129125</v>
      </c>
      <c r="AE38" s="655">
        <v>18492868</v>
      </c>
      <c r="AF38" s="655">
        <v>354059</v>
      </c>
      <c r="AG38" s="655">
        <v>846214</v>
      </c>
      <c r="AH38" s="655">
        <v>0</v>
      </c>
      <c r="AI38" s="655">
        <v>2186574</v>
      </c>
      <c r="AJ38" s="655">
        <v>3654396</v>
      </c>
      <c r="AK38" s="655">
        <v>25534111</v>
      </c>
      <c r="AL38" s="655">
        <v>22141434</v>
      </c>
      <c r="AM38" s="655">
        <v>3392677</v>
      </c>
    </row>
    <row r="39" spans="1:39" x14ac:dyDescent="0.2">
      <c r="A39" s="649">
        <v>2013</v>
      </c>
      <c r="B39" s="650">
        <v>12</v>
      </c>
      <c r="C39" s="656" t="s">
        <v>111</v>
      </c>
      <c r="D39" s="651">
        <v>747</v>
      </c>
      <c r="E39" s="648" t="s">
        <v>1037</v>
      </c>
      <c r="F39" s="655">
        <v>3763227</v>
      </c>
      <c r="G39" s="655">
        <v>0</v>
      </c>
      <c r="H39" s="655">
        <v>77689</v>
      </c>
      <c r="I39" s="655">
        <v>392705</v>
      </c>
      <c r="J39" s="655">
        <v>320718</v>
      </c>
      <c r="K39" s="655">
        <v>35030</v>
      </c>
      <c r="L39" s="655">
        <v>43276</v>
      </c>
      <c r="M39" s="655">
        <v>0</v>
      </c>
      <c r="N39" s="655">
        <v>187291</v>
      </c>
      <c r="O39" s="655">
        <v>0</v>
      </c>
      <c r="P39" s="655">
        <v>46525</v>
      </c>
      <c r="Q39" s="655">
        <v>52300</v>
      </c>
      <c r="R39" s="655">
        <v>0</v>
      </c>
      <c r="S39" s="655">
        <v>18782</v>
      </c>
      <c r="T39" s="655">
        <v>2251</v>
      </c>
      <c r="U39" s="655">
        <v>119650</v>
      </c>
      <c r="V39" s="655">
        <v>0</v>
      </c>
      <c r="W39" s="655">
        <v>73681</v>
      </c>
      <c r="X39" s="655">
        <v>217514</v>
      </c>
      <c r="Y39" s="655">
        <v>0</v>
      </c>
      <c r="Z39" s="655">
        <v>0</v>
      </c>
      <c r="AA39" s="655">
        <v>0</v>
      </c>
      <c r="AB39" s="655">
        <v>0</v>
      </c>
      <c r="AC39" s="655">
        <v>0</v>
      </c>
      <c r="AD39" s="655">
        <v>37988</v>
      </c>
      <c r="AE39" s="655">
        <v>5312651</v>
      </c>
      <c r="AF39" s="655">
        <v>0</v>
      </c>
      <c r="AG39" s="655">
        <v>276635</v>
      </c>
      <c r="AH39" s="655">
        <v>0</v>
      </c>
      <c r="AI39" s="655">
        <v>658583</v>
      </c>
      <c r="AJ39" s="655">
        <v>1804024</v>
      </c>
      <c r="AK39" s="655">
        <v>8051893</v>
      </c>
      <c r="AL39" s="655">
        <v>6108408</v>
      </c>
      <c r="AM39" s="655">
        <v>1943485</v>
      </c>
    </row>
    <row r="40" spans="1:39" x14ac:dyDescent="0.2">
      <c r="A40" s="649">
        <v>2013</v>
      </c>
      <c r="B40" s="650">
        <v>7</v>
      </c>
      <c r="C40" s="656" t="s">
        <v>113</v>
      </c>
      <c r="D40" s="651">
        <v>819</v>
      </c>
      <c r="E40" s="648" t="s">
        <v>1038</v>
      </c>
      <c r="F40" s="655">
        <v>3855170</v>
      </c>
      <c r="G40" s="655">
        <v>0</v>
      </c>
      <c r="H40" s="655">
        <v>92037</v>
      </c>
      <c r="I40" s="655">
        <v>328036</v>
      </c>
      <c r="J40" s="655">
        <v>334578</v>
      </c>
      <c r="K40" s="655">
        <v>33908</v>
      </c>
      <c r="L40" s="655">
        <v>38167</v>
      </c>
      <c r="M40" s="655">
        <v>0</v>
      </c>
      <c r="N40" s="655">
        <v>185690</v>
      </c>
      <c r="O40" s="655">
        <v>0</v>
      </c>
      <c r="P40" s="655">
        <v>32462</v>
      </c>
      <c r="Q40" s="655">
        <v>36293</v>
      </c>
      <c r="R40" s="655">
        <v>0</v>
      </c>
      <c r="S40" s="655">
        <v>23984</v>
      </c>
      <c r="T40" s="655">
        <v>2752</v>
      </c>
      <c r="U40" s="655">
        <v>189269</v>
      </c>
      <c r="V40" s="655">
        <v>0</v>
      </c>
      <c r="W40" s="655">
        <v>0</v>
      </c>
      <c r="X40" s="655">
        <v>0</v>
      </c>
      <c r="Y40" s="655">
        <v>0</v>
      </c>
      <c r="Z40" s="655">
        <v>0</v>
      </c>
      <c r="AA40" s="655">
        <v>0</v>
      </c>
      <c r="AB40" s="655">
        <v>0</v>
      </c>
      <c r="AC40" s="655">
        <v>0</v>
      </c>
      <c r="AD40" s="655">
        <v>39124</v>
      </c>
      <c r="AE40" s="655">
        <v>5113222</v>
      </c>
      <c r="AF40" s="655">
        <v>114019</v>
      </c>
      <c r="AG40" s="655">
        <v>314659</v>
      </c>
      <c r="AH40" s="655">
        <v>0</v>
      </c>
      <c r="AI40" s="655">
        <v>645360</v>
      </c>
      <c r="AJ40" s="655">
        <v>2746443</v>
      </c>
      <c r="AK40" s="655">
        <v>8933703</v>
      </c>
      <c r="AL40" s="655">
        <v>5973844</v>
      </c>
      <c r="AM40" s="655">
        <v>2959859</v>
      </c>
    </row>
    <row r="41" spans="1:39" x14ac:dyDescent="0.2">
      <c r="A41" s="649">
        <v>2013</v>
      </c>
      <c r="B41" s="650">
        <v>7</v>
      </c>
      <c r="C41" s="656" t="s">
        <v>114</v>
      </c>
      <c r="D41" s="651">
        <v>846</v>
      </c>
      <c r="E41" s="648" t="s">
        <v>1039</v>
      </c>
      <c r="F41" s="655">
        <v>3212544</v>
      </c>
      <c r="G41" s="655">
        <v>88815</v>
      </c>
      <c r="H41" s="655">
        <v>46287</v>
      </c>
      <c r="I41" s="655">
        <v>510819</v>
      </c>
      <c r="J41" s="655">
        <v>297245</v>
      </c>
      <c r="K41" s="655">
        <v>29439</v>
      </c>
      <c r="L41" s="655">
        <v>31307</v>
      </c>
      <c r="M41" s="655">
        <v>0</v>
      </c>
      <c r="N41" s="655">
        <v>165360</v>
      </c>
      <c r="O41" s="655">
        <v>1604</v>
      </c>
      <c r="P41" s="655">
        <v>26385</v>
      </c>
      <c r="Q41" s="655">
        <v>29498</v>
      </c>
      <c r="R41" s="655">
        <v>0</v>
      </c>
      <c r="S41" s="655">
        <v>21673</v>
      </c>
      <c r="T41" s="655">
        <v>2487</v>
      </c>
      <c r="U41" s="655">
        <v>103955</v>
      </c>
      <c r="V41" s="655">
        <v>0</v>
      </c>
      <c r="W41" s="655">
        <v>44563</v>
      </c>
      <c r="X41" s="655">
        <v>0</v>
      </c>
      <c r="Y41" s="655">
        <v>134805</v>
      </c>
      <c r="Z41" s="655">
        <v>0</v>
      </c>
      <c r="AA41" s="655">
        <v>0</v>
      </c>
      <c r="AB41" s="655">
        <v>0</v>
      </c>
      <c r="AC41" s="655">
        <v>-23179</v>
      </c>
      <c r="AD41" s="655">
        <v>35918</v>
      </c>
      <c r="AE41" s="655">
        <v>4418079</v>
      </c>
      <c r="AF41" s="655">
        <v>81014</v>
      </c>
      <c r="AG41" s="655">
        <v>264934</v>
      </c>
      <c r="AH41" s="655">
        <v>0</v>
      </c>
      <c r="AI41" s="655">
        <v>497239</v>
      </c>
      <c r="AJ41" s="655">
        <v>3578020</v>
      </c>
      <c r="AK41" s="655">
        <v>8839286</v>
      </c>
      <c r="AL41" s="655">
        <v>5332223</v>
      </c>
      <c r="AM41" s="655">
        <v>3507063</v>
      </c>
    </row>
    <row r="42" spans="1:39" x14ac:dyDescent="0.2">
      <c r="A42" s="649">
        <v>2013</v>
      </c>
      <c r="B42" s="650">
        <v>7</v>
      </c>
      <c r="C42" s="656" t="s">
        <v>115</v>
      </c>
      <c r="D42" s="651">
        <v>873</v>
      </c>
      <c r="E42" s="648" t="s">
        <v>1040</v>
      </c>
      <c r="F42" s="655">
        <v>2911415</v>
      </c>
      <c r="G42" s="655">
        <v>95784</v>
      </c>
      <c r="H42" s="655">
        <v>28961</v>
      </c>
      <c r="I42" s="655">
        <v>358046</v>
      </c>
      <c r="J42" s="655">
        <v>270542</v>
      </c>
      <c r="K42" s="655">
        <v>29322</v>
      </c>
      <c r="L42" s="655">
        <v>27190</v>
      </c>
      <c r="M42" s="655">
        <v>0</v>
      </c>
      <c r="N42" s="655">
        <v>142968</v>
      </c>
      <c r="O42" s="655">
        <v>13804</v>
      </c>
      <c r="P42" s="655">
        <v>23667</v>
      </c>
      <c r="Q42" s="655">
        <v>26460</v>
      </c>
      <c r="R42" s="655">
        <v>0</v>
      </c>
      <c r="S42" s="655">
        <v>19340</v>
      </c>
      <c r="T42" s="655">
        <v>2220</v>
      </c>
      <c r="U42" s="655">
        <v>76060</v>
      </c>
      <c r="V42" s="655">
        <v>0</v>
      </c>
      <c r="W42" s="655">
        <v>76479</v>
      </c>
      <c r="X42" s="655">
        <v>58929</v>
      </c>
      <c r="Y42" s="655">
        <v>0</v>
      </c>
      <c r="Z42" s="655">
        <v>0</v>
      </c>
      <c r="AA42" s="655">
        <v>0</v>
      </c>
      <c r="AB42" s="655">
        <v>0</v>
      </c>
      <c r="AC42" s="655">
        <v>0</v>
      </c>
      <c r="AD42" s="655">
        <v>36187</v>
      </c>
      <c r="AE42" s="655">
        <v>4125000</v>
      </c>
      <c r="AF42" s="655">
        <v>45008</v>
      </c>
      <c r="AG42" s="655">
        <v>262288</v>
      </c>
      <c r="AH42" s="655">
        <v>0</v>
      </c>
      <c r="AI42" s="655">
        <v>418056</v>
      </c>
      <c r="AJ42" s="655">
        <v>1488201</v>
      </c>
      <c r="AK42" s="655">
        <v>6338553</v>
      </c>
      <c r="AL42" s="655">
        <v>4852436</v>
      </c>
      <c r="AM42" s="655">
        <v>1486117</v>
      </c>
    </row>
    <row r="43" spans="1:39" x14ac:dyDescent="0.2">
      <c r="A43" s="649">
        <v>2013</v>
      </c>
      <c r="B43" s="650">
        <v>15</v>
      </c>
      <c r="C43" s="656" t="s">
        <v>116</v>
      </c>
      <c r="D43" s="651">
        <v>882</v>
      </c>
      <c r="E43" s="648" t="s">
        <v>1041</v>
      </c>
      <c r="F43" s="655">
        <v>27320753</v>
      </c>
      <c r="G43" s="655">
        <v>0</v>
      </c>
      <c r="H43" s="655">
        <v>246305</v>
      </c>
      <c r="I43" s="655">
        <v>4389131</v>
      </c>
      <c r="J43" s="655">
        <v>2309812</v>
      </c>
      <c r="K43" s="655">
        <v>252948</v>
      </c>
      <c r="L43" s="655">
        <v>320419</v>
      </c>
      <c r="M43" s="655">
        <v>0</v>
      </c>
      <c r="N43" s="655">
        <v>1380313</v>
      </c>
      <c r="O43" s="655">
        <v>0</v>
      </c>
      <c r="P43" s="655">
        <v>239069</v>
      </c>
      <c r="Q43" s="655">
        <v>262498</v>
      </c>
      <c r="R43" s="655">
        <v>0</v>
      </c>
      <c r="S43" s="655">
        <v>137968</v>
      </c>
      <c r="T43" s="655">
        <v>14848</v>
      </c>
      <c r="U43" s="655">
        <v>892159</v>
      </c>
      <c r="V43" s="655">
        <v>0</v>
      </c>
      <c r="W43" s="655">
        <v>0</v>
      </c>
      <c r="X43" s="655">
        <v>1115379</v>
      </c>
      <c r="Y43" s="655">
        <v>0</v>
      </c>
      <c r="Z43" s="655">
        <v>0</v>
      </c>
      <c r="AA43" s="655">
        <v>0</v>
      </c>
      <c r="AB43" s="655">
        <v>0</v>
      </c>
      <c r="AC43" s="655">
        <v>0</v>
      </c>
      <c r="AD43" s="655">
        <v>281993</v>
      </c>
      <c r="AE43" s="655">
        <v>38599609</v>
      </c>
      <c r="AF43" s="655">
        <v>474079</v>
      </c>
      <c r="AG43" s="655">
        <v>1683778</v>
      </c>
      <c r="AH43" s="655">
        <v>0</v>
      </c>
      <c r="AI43" s="655">
        <v>4741739</v>
      </c>
      <c r="AJ43" s="655">
        <v>16143875</v>
      </c>
      <c r="AK43" s="655">
        <v>61643080</v>
      </c>
      <c r="AL43" s="655">
        <v>45450590</v>
      </c>
      <c r="AM43" s="655">
        <v>16192490</v>
      </c>
    </row>
    <row r="44" spans="1:39" x14ac:dyDescent="0.2">
      <c r="A44" s="649">
        <v>2013</v>
      </c>
      <c r="B44" s="650">
        <v>13</v>
      </c>
      <c r="C44" s="656" t="s">
        <v>117</v>
      </c>
      <c r="D44" s="651">
        <v>914</v>
      </c>
      <c r="E44" s="648" t="s">
        <v>1478</v>
      </c>
      <c r="F44" s="655">
        <v>2626739</v>
      </c>
      <c r="G44" s="655">
        <v>219019</v>
      </c>
      <c r="H44" s="655">
        <v>76152</v>
      </c>
      <c r="I44" s="655">
        <v>323063</v>
      </c>
      <c r="J44" s="655">
        <v>264154</v>
      </c>
      <c r="K44" s="655">
        <v>26181</v>
      </c>
      <c r="L44" s="655">
        <v>26528</v>
      </c>
      <c r="M44" s="655">
        <v>0</v>
      </c>
      <c r="N44" s="655">
        <v>128629</v>
      </c>
      <c r="O44" s="655">
        <v>12701</v>
      </c>
      <c r="P44" s="655">
        <v>21314</v>
      </c>
      <c r="Q44" s="655">
        <v>23575</v>
      </c>
      <c r="R44" s="655">
        <v>0</v>
      </c>
      <c r="S44" s="655">
        <v>14408</v>
      </c>
      <c r="T44" s="655">
        <v>1518</v>
      </c>
      <c r="U44" s="655">
        <v>98597</v>
      </c>
      <c r="V44" s="655">
        <v>0</v>
      </c>
      <c r="W44" s="655">
        <v>42357</v>
      </c>
      <c r="X44" s="655">
        <v>132567</v>
      </c>
      <c r="Y44" s="655">
        <v>0</v>
      </c>
      <c r="Z44" s="655">
        <v>0</v>
      </c>
      <c r="AA44" s="655">
        <v>0</v>
      </c>
      <c r="AB44" s="655">
        <v>0</v>
      </c>
      <c r="AC44" s="655">
        <v>0</v>
      </c>
      <c r="AD44" s="655">
        <v>31564</v>
      </c>
      <c r="AE44" s="655">
        <v>4005938</v>
      </c>
      <c r="AF44" s="655">
        <v>87015</v>
      </c>
      <c r="AG44" s="655">
        <v>242686</v>
      </c>
      <c r="AH44" s="655">
        <v>0</v>
      </c>
      <c r="AI44" s="655">
        <v>1763476</v>
      </c>
      <c r="AJ44" s="655">
        <v>905576</v>
      </c>
      <c r="AK44" s="655">
        <v>7004691</v>
      </c>
      <c r="AL44" s="655">
        <v>6095349</v>
      </c>
      <c r="AM44" s="655">
        <v>909342</v>
      </c>
    </row>
    <row r="45" spans="1:39" x14ac:dyDescent="0.2">
      <c r="A45" s="649">
        <v>2013</v>
      </c>
      <c r="B45" s="650">
        <v>7</v>
      </c>
      <c r="C45" s="656" t="s">
        <v>118</v>
      </c>
      <c r="D45" s="651">
        <v>916</v>
      </c>
      <c r="E45" s="648" t="s">
        <v>1042</v>
      </c>
      <c r="F45" s="655">
        <v>1709984</v>
      </c>
      <c r="G45" s="655">
        <v>0</v>
      </c>
      <c r="H45" s="655">
        <v>142063</v>
      </c>
      <c r="I45" s="655">
        <v>360448</v>
      </c>
      <c r="J45" s="655">
        <v>164354</v>
      </c>
      <c r="K45" s="655">
        <v>18050</v>
      </c>
      <c r="L45" s="655">
        <v>18363</v>
      </c>
      <c r="M45" s="655">
        <v>0</v>
      </c>
      <c r="N45" s="655">
        <v>89642</v>
      </c>
      <c r="O45" s="655">
        <v>0</v>
      </c>
      <c r="P45" s="655">
        <v>14181</v>
      </c>
      <c r="Q45" s="655">
        <v>15854</v>
      </c>
      <c r="R45" s="655">
        <v>0</v>
      </c>
      <c r="S45" s="655">
        <v>11578</v>
      </c>
      <c r="T45" s="655">
        <v>1329</v>
      </c>
      <c r="U45" s="655">
        <v>51358</v>
      </c>
      <c r="V45" s="655">
        <v>0</v>
      </c>
      <c r="W45" s="655">
        <v>79194</v>
      </c>
      <c r="X45" s="655">
        <v>103832</v>
      </c>
      <c r="Y45" s="655">
        <v>0</v>
      </c>
      <c r="Z45" s="655">
        <v>0</v>
      </c>
      <c r="AA45" s="655">
        <v>0</v>
      </c>
      <c r="AB45" s="655">
        <v>0</v>
      </c>
      <c r="AC45" s="655">
        <v>0</v>
      </c>
      <c r="AD45" s="655">
        <v>17261</v>
      </c>
      <c r="AE45" s="655">
        <v>2762969</v>
      </c>
      <c r="AF45" s="655">
        <v>57010</v>
      </c>
      <c r="AG45" s="655">
        <v>141911</v>
      </c>
      <c r="AH45" s="655">
        <v>0</v>
      </c>
      <c r="AI45" s="655">
        <v>358442</v>
      </c>
      <c r="AJ45" s="655">
        <v>1589135</v>
      </c>
      <c r="AK45" s="655">
        <v>4909467</v>
      </c>
      <c r="AL45" s="655">
        <v>3351004</v>
      </c>
      <c r="AM45" s="655">
        <v>1558463</v>
      </c>
    </row>
    <row r="46" spans="1:39" x14ac:dyDescent="0.2">
      <c r="A46" s="649">
        <v>2013</v>
      </c>
      <c r="B46" s="650">
        <v>9</v>
      </c>
      <c r="C46" s="656" t="s">
        <v>119</v>
      </c>
      <c r="D46" s="651">
        <v>918</v>
      </c>
      <c r="E46" s="648" t="s">
        <v>1043</v>
      </c>
      <c r="F46" s="655">
        <v>2746998</v>
      </c>
      <c r="G46" s="655">
        <v>149287</v>
      </c>
      <c r="H46" s="655">
        <v>19610</v>
      </c>
      <c r="I46" s="655">
        <v>294940</v>
      </c>
      <c r="J46" s="655">
        <v>274175</v>
      </c>
      <c r="K46" s="655">
        <v>29839</v>
      </c>
      <c r="L46" s="655">
        <v>31205</v>
      </c>
      <c r="M46" s="655">
        <v>0</v>
      </c>
      <c r="N46" s="655">
        <v>132932</v>
      </c>
      <c r="O46" s="655">
        <v>13933</v>
      </c>
      <c r="P46" s="655">
        <v>22259</v>
      </c>
      <c r="Q46" s="655">
        <v>24261</v>
      </c>
      <c r="R46" s="655">
        <v>0</v>
      </c>
      <c r="S46" s="655">
        <v>12415</v>
      </c>
      <c r="T46" s="655">
        <v>1460</v>
      </c>
      <c r="U46" s="655">
        <v>0</v>
      </c>
      <c r="V46" s="655">
        <v>0</v>
      </c>
      <c r="W46" s="655">
        <v>85446</v>
      </c>
      <c r="X46" s="655">
        <v>216702</v>
      </c>
      <c r="Y46" s="655">
        <v>0</v>
      </c>
      <c r="Z46" s="655">
        <v>0</v>
      </c>
      <c r="AA46" s="655">
        <v>0</v>
      </c>
      <c r="AB46" s="655">
        <v>0</v>
      </c>
      <c r="AC46" s="655">
        <v>0</v>
      </c>
      <c r="AD46" s="655">
        <v>29715</v>
      </c>
      <c r="AE46" s="655">
        <v>4025747</v>
      </c>
      <c r="AF46" s="655">
        <v>78013</v>
      </c>
      <c r="AG46" s="655">
        <v>224260</v>
      </c>
      <c r="AH46" s="655">
        <v>0</v>
      </c>
      <c r="AI46" s="655">
        <v>676789</v>
      </c>
      <c r="AJ46" s="655">
        <v>2781914</v>
      </c>
      <c r="AK46" s="655">
        <v>7786723</v>
      </c>
      <c r="AL46" s="655">
        <v>4922124</v>
      </c>
      <c r="AM46" s="655">
        <v>2864599</v>
      </c>
    </row>
    <row r="47" spans="1:39" x14ac:dyDescent="0.2">
      <c r="A47" s="649">
        <v>2013</v>
      </c>
      <c r="B47" s="650">
        <v>9</v>
      </c>
      <c r="C47" s="656" t="s">
        <v>120</v>
      </c>
      <c r="D47" s="651">
        <v>936</v>
      </c>
      <c r="E47" s="648" t="s">
        <v>1044</v>
      </c>
      <c r="F47" s="655">
        <v>5498116</v>
      </c>
      <c r="G47" s="655">
        <v>0</v>
      </c>
      <c r="H47" s="655">
        <v>33504</v>
      </c>
      <c r="I47" s="655">
        <v>685494</v>
      </c>
      <c r="J47" s="655">
        <v>485229</v>
      </c>
      <c r="K47" s="655">
        <v>50382</v>
      </c>
      <c r="L47" s="655">
        <v>60533</v>
      </c>
      <c r="M47" s="655">
        <v>0</v>
      </c>
      <c r="N47" s="655">
        <v>272878</v>
      </c>
      <c r="O47" s="655">
        <v>806</v>
      </c>
      <c r="P47" s="655">
        <v>45398</v>
      </c>
      <c r="Q47" s="655">
        <v>49481</v>
      </c>
      <c r="R47" s="655">
        <v>0</v>
      </c>
      <c r="S47" s="655">
        <v>24298</v>
      </c>
      <c r="T47" s="655">
        <v>2854</v>
      </c>
      <c r="U47" s="655">
        <v>129000</v>
      </c>
      <c r="V47" s="655">
        <v>0</v>
      </c>
      <c r="W47" s="655">
        <v>64713</v>
      </c>
      <c r="X47" s="655">
        <v>160407</v>
      </c>
      <c r="Y47" s="655">
        <v>0</v>
      </c>
      <c r="Z47" s="655">
        <v>0</v>
      </c>
      <c r="AA47" s="655">
        <v>0</v>
      </c>
      <c r="AB47" s="655">
        <v>0</v>
      </c>
      <c r="AC47" s="655">
        <v>0</v>
      </c>
      <c r="AD47" s="655">
        <v>50393</v>
      </c>
      <c r="AE47" s="655">
        <v>7512700</v>
      </c>
      <c r="AF47" s="655">
        <v>177030</v>
      </c>
      <c r="AG47" s="655">
        <v>417802</v>
      </c>
      <c r="AH47" s="655">
        <v>0</v>
      </c>
      <c r="AI47" s="655">
        <v>2063015</v>
      </c>
      <c r="AJ47" s="655">
        <v>1267103</v>
      </c>
      <c r="AK47" s="655">
        <v>11437650</v>
      </c>
      <c r="AL47" s="655">
        <v>10216915</v>
      </c>
      <c r="AM47" s="655">
        <v>1220735</v>
      </c>
    </row>
    <row r="48" spans="1:39" x14ac:dyDescent="0.2">
      <c r="A48" s="649">
        <v>2013</v>
      </c>
      <c r="B48" s="650">
        <v>15</v>
      </c>
      <c r="C48" s="656" t="s">
        <v>121</v>
      </c>
      <c r="D48" s="651">
        <v>977</v>
      </c>
      <c r="E48" s="648" t="s">
        <v>1045</v>
      </c>
      <c r="F48" s="655">
        <v>3682214</v>
      </c>
      <c r="G48" s="655">
        <v>0</v>
      </c>
      <c r="H48" s="655">
        <v>29261</v>
      </c>
      <c r="I48" s="655">
        <v>475519</v>
      </c>
      <c r="J48" s="655">
        <v>335173</v>
      </c>
      <c r="K48" s="655">
        <v>30459</v>
      </c>
      <c r="L48" s="655">
        <v>41700</v>
      </c>
      <c r="M48" s="655">
        <v>0</v>
      </c>
      <c r="N48" s="655">
        <v>180984</v>
      </c>
      <c r="O48" s="655">
        <v>634</v>
      </c>
      <c r="P48" s="655">
        <v>30135</v>
      </c>
      <c r="Q48" s="655">
        <v>33088</v>
      </c>
      <c r="R48" s="655">
        <v>0</v>
      </c>
      <c r="S48" s="655">
        <v>18090</v>
      </c>
      <c r="T48" s="655">
        <v>1947</v>
      </c>
      <c r="U48" s="655">
        <v>138083</v>
      </c>
      <c r="V48" s="655">
        <v>0</v>
      </c>
      <c r="W48" s="655">
        <v>90297</v>
      </c>
      <c r="X48" s="655">
        <v>61744</v>
      </c>
      <c r="Y48" s="655">
        <v>0</v>
      </c>
      <c r="Z48" s="655">
        <v>0</v>
      </c>
      <c r="AA48" s="655">
        <v>0</v>
      </c>
      <c r="AB48" s="655">
        <v>0</v>
      </c>
      <c r="AC48" s="655">
        <v>0</v>
      </c>
      <c r="AD48" s="655">
        <v>36442</v>
      </c>
      <c r="AE48" s="655">
        <v>5112886</v>
      </c>
      <c r="AF48" s="655">
        <v>99017</v>
      </c>
      <c r="AG48" s="655">
        <v>243505</v>
      </c>
      <c r="AH48" s="655">
        <v>0</v>
      </c>
      <c r="AI48" s="655">
        <v>1044114</v>
      </c>
      <c r="AJ48" s="655">
        <v>2626160</v>
      </c>
      <c r="AK48" s="655">
        <v>9125682</v>
      </c>
      <c r="AL48" s="655">
        <v>6199134</v>
      </c>
      <c r="AM48" s="655">
        <v>2926548</v>
      </c>
    </row>
    <row r="49" spans="1:39" x14ac:dyDescent="0.2">
      <c r="A49" s="649">
        <v>2013</v>
      </c>
      <c r="B49" s="650">
        <v>11</v>
      </c>
      <c r="C49" s="656" t="s">
        <v>122</v>
      </c>
      <c r="D49" s="651">
        <v>981</v>
      </c>
      <c r="E49" s="648" t="s">
        <v>1046</v>
      </c>
      <c r="F49" s="655">
        <v>10695582</v>
      </c>
      <c r="G49" s="655">
        <v>0</v>
      </c>
      <c r="H49" s="655">
        <v>107496</v>
      </c>
      <c r="I49" s="655">
        <v>1142350</v>
      </c>
      <c r="J49" s="655">
        <v>890722</v>
      </c>
      <c r="K49" s="655">
        <v>89721</v>
      </c>
      <c r="L49" s="655">
        <v>108417</v>
      </c>
      <c r="M49" s="655">
        <v>0</v>
      </c>
      <c r="N49" s="655">
        <v>504606</v>
      </c>
      <c r="O49" s="655">
        <v>0</v>
      </c>
      <c r="P49" s="655">
        <v>88997</v>
      </c>
      <c r="Q49" s="655">
        <v>97646</v>
      </c>
      <c r="R49" s="655">
        <v>0</v>
      </c>
      <c r="S49" s="655">
        <v>40558</v>
      </c>
      <c r="T49" s="655">
        <v>5208</v>
      </c>
      <c r="U49" s="655">
        <v>272600</v>
      </c>
      <c r="V49" s="655">
        <v>0</v>
      </c>
      <c r="W49" s="655">
        <v>0</v>
      </c>
      <c r="X49" s="655">
        <v>66949</v>
      </c>
      <c r="Y49" s="655">
        <v>0</v>
      </c>
      <c r="Z49" s="655">
        <v>0</v>
      </c>
      <c r="AA49" s="655">
        <v>0</v>
      </c>
      <c r="AB49" s="655">
        <v>0</v>
      </c>
      <c r="AC49" s="655">
        <v>0</v>
      </c>
      <c r="AD49" s="655">
        <v>72120</v>
      </c>
      <c r="AE49" s="655">
        <v>14038732</v>
      </c>
      <c r="AF49" s="655">
        <v>324054</v>
      </c>
      <c r="AG49" s="655">
        <v>0</v>
      </c>
      <c r="AH49" s="655">
        <v>0</v>
      </c>
      <c r="AI49" s="655">
        <v>2144610</v>
      </c>
      <c r="AJ49" s="655">
        <v>5983329</v>
      </c>
      <c r="AK49" s="655">
        <v>22490725</v>
      </c>
      <c r="AL49" s="655">
        <v>16022385</v>
      </c>
      <c r="AM49" s="655">
        <v>6468340</v>
      </c>
    </row>
    <row r="50" spans="1:39" x14ac:dyDescent="0.2">
      <c r="A50" s="649">
        <v>2013</v>
      </c>
      <c r="B50" s="650">
        <v>11</v>
      </c>
      <c r="C50" s="656" t="s">
        <v>123</v>
      </c>
      <c r="D50" s="651">
        <v>999</v>
      </c>
      <c r="E50" s="648" t="s">
        <v>1047</v>
      </c>
      <c r="F50" s="655">
        <v>10316919</v>
      </c>
      <c r="G50" s="655">
        <v>0</v>
      </c>
      <c r="H50" s="655">
        <v>373214</v>
      </c>
      <c r="I50" s="655">
        <v>1206081</v>
      </c>
      <c r="J50" s="655">
        <v>858311</v>
      </c>
      <c r="K50" s="655">
        <v>98940</v>
      </c>
      <c r="L50" s="655">
        <v>98648</v>
      </c>
      <c r="M50" s="655">
        <v>0</v>
      </c>
      <c r="N50" s="655">
        <v>491182</v>
      </c>
      <c r="O50" s="655">
        <v>0</v>
      </c>
      <c r="P50" s="655">
        <v>125830</v>
      </c>
      <c r="Q50" s="655">
        <v>138058</v>
      </c>
      <c r="R50" s="655">
        <v>0</v>
      </c>
      <c r="S50" s="655">
        <v>39479</v>
      </c>
      <c r="T50" s="655">
        <v>5069</v>
      </c>
      <c r="U50" s="655">
        <v>461779</v>
      </c>
      <c r="V50" s="655">
        <v>0</v>
      </c>
      <c r="W50" s="655">
        <v>70596</v>
      </c>
      <c r="X50" s="655">
        <v>190240</v>
      </c>
      <c r="Y50" s="655">
        <v>0</v>
      </c>
      <c r="Z50" s="655">
        <v>0</v>
      </c>
      <c r="AA50" s="655">
        <v>0</v>
      </c>
      <c r="AB50" s="655">
        <v>0</v>
      </c>
      <c r="AC50" s="655">
        <v>0</v>
      </c>
      <c r="AD50" s="655">
        <v>113336</v>
      </c>
      <c r="AE50" s="655">
        <v>14361010</v>
      </c>
      <c r="AF50" s="655">
        <v>522087</v>
      </c>
      <c r="AG50" s="655">
        <v>0</v>
      </c>
      <c r="AH50" s="655">
        <v>0</v>
      </c>
      <c r="AI50" s="655">
        <v>1900938</v>
      </c>
      <c r="AJ50" s="655">
        <v>3236072</v>
      </c>
      <c r="AK50" s="655">
        <v>20020107</v>
      </c>
      <c r="AL50" s="655">
        <v>16866103</v>
      </c>
      <c r="AM50" s="655">
        <v>3154004</v>
      </c>
    </row>
    <row r="51" spans="1:39" x14ac:dyDescent="0.2">
      <c r="A51" s="649">
        <v>2013</v>
      </c>
      <c r="B51" s="650">
        <v>7</v>
      </c>
      <c r="C51" s="656" t="s">
        <v>124</v>
      </c>
      <c r="D51" s="651">
        <v>1044</v>
      </c>
      <c r="E51" s="648" t="s">
        <v>1048</v>
      </c>
      <c r="F51" s="655">
        <v>28726651</v>
      </c>
      <c r="G51" s="655">
        <v>0</v>
      </c>
      <c r="H51" s="655">
        <v>306672</v>
      </c>
      <c r="I51" s="655">
        <v>3528498</v>
      </c>
      <c r="J51" s="655">
        <v>2418958</v>
      </c>
      <c r="K51" s="655">
        <v>288844</v>
      </c>
      <c r="L51" s="655">
        <v>285163</v>
      </c>
      <c r="M51" s="655">
        <v>0</v>
      </c>
      <c r="N51" s="655">
        <v>1434409</v>
      </c>
      <c r="O51" s="655">
        <v>0</v>
      </c>
      <c r="P51" s="655">
        <v>250459</v>
      </c>
      <c r="Q51" s="655">
        <v>280012</v>
      </c>
      <c r="R51" s="655">
        <v>0</v>
      </c>
      <c r="S51" s="655">
        <v>185274</v>
      </c>
      <c r="T51" s="655">
        <v>21260</v>
      </c>
      <c r="U51" s="655">
        <v>663332</v>
      </c>
      <c r="V51" s="655">
        <v>0</v>
      </c>
      <c r="W51" s="655">
        <v>489292</v>
      </c>
      <c r="X51" s="655">
        <v>656990</v>
      </c>
      <c r="Y51" s="655">
        <v>0</v>
      </c>
      <c r="Z51" s="655">
        <v>0</v>
      </c>
      <c r="AA51" s="655">
        <v>0</v>
      </c>
      <c r="AB51" s="655">
        <v>0</v>
      </c>
      <c r="AC51" s="655">
        <v>0</v>
      </c>
      <c r="AD51" s="655">
        <v>242012</v>
      </c>
      <c r="AE51" s="655">
        <v>39293802</v>
      </c>
      <c r="AF51" s="655">
        <v>138023</v>
      </c>
      <c r="AG51" s="655">
        <v>2234359</v>
      </c>
      <c r="AH51" s="655">
        <v>0</v>
      </c>
      <c r="AI51" s="655">
        <v>8821889</v>
      </c>
      <c r="AJ51" s="655">
        <v>7888478</v>
      </c>
      <c r="AK51" s="655">
        <v>58376551</v>
      </c>
      <c r="AL51" s="655">
        <v>49487939</v>
      </c>
      <c r="AM51" s="655">
        <v>8888612</v>
      </c>
    </row>
    <row r="52" spans="1:39" x14ac:dyDescent="0.2">
      <c r="A52" s="649">
        <v>2013</v>
      </c>
      <c r="B52" s="650">
        <v>10</v>
      </c>
      <c r="C52" s="656" t="s">
        <v>125</v>
      </c>
      <c r="D52" s="651">
        <v>1053</v>
      </c>
      <c r="E52" s="648" t="s">
        <v>1049</v>
      </c>
      <c r="F52" s="655">
        <v>100682378</v>
      </c>
      <c r="G52" s="655">
        <v>0</v>
      </c>
      <c r="H52" s="655">
        <v>1027899</v>
      </c>
      <c r="I52" s="655">
        <v>17135255</v>
      </c>
      <c r="J52" s="655">
        <v>8491479</v>
      </c>
      <c r="K52" s="655">
        <v>1006656</v>
      </c>
      <c r="L52" s="655">
        <v>1098765</v>
      </c>
      <c r="M52" s="655">
        <v>0</v>
      </c>
      <c r="N52" s="655">
        <v>5161516</v>
      </c>
      <c r="O52" s="655">
        <v>4926</v>
      </c>
      <c r="P52" s="655">
        <v>934864</v>
      </c>
      <c r="Q52" s="655">
        <v>1026637</v>
      </c>
      <c r="R52" s="655">
        <v>0</v>
      </c>
      <c r="S52" s="655">
        <v>477671</v>
      </c>
      <c r="T52" s="655">
        <v>55561</v>
      </c>
      <c r="U52" s="655">
        <v>5034119</v>
      </c>
      <c r="V52" s="655">
        <v>767039</v>
      </c>
      <c r="W52" s="655">
        <v>1644077</v>
      </c>
      <c r="X52" s="655">
        <v>3707585</v>
      </c>
      <c r="Y52" s="655">
        <v>0</v>
      </c>
      <c r="Z52" s="655">
        <v>0</v>
      </c>
      <c r="AA52" s="655">
        <v>0</v>
      </c>
      <c r="AB52" s="655">
        <v>0</v>
      </c>
      <c r="AC52" s="655">
        <v>-4353</v>
      </c>
      <c r="AD52" s="655">
        <v>1034425</v>
      </c>
      <c r="AE52" s="655">
        <v>147217649</v>
      </c>
      <c r="AF52" s="655">
        <v>1062177</v>
      </c>
      <c r="AG52" s="655">
        <v>7548158</v>
      </c>
      <c r="AH52" s="655">
        <v>0</v>
      </c>
      <c r="AI52" s="655">
        <v>21295751</v>
      </c>
      <c r="AJ52" s="655">
        <v>19738720</v>
      </c>
      <c r="AK52" s="655">
        <v>196862455</v>
      </c>
      <c r="AL52" s="655">
        <v>186212272</v>
      </c>
      <c r="AM52" s="655">
        <v>10650183</v>
      </c>
    </row>
    <row r="53" spans="1:39" x14ac:dyDescent="0.2">
      <c r="A53" s="649">
        <v>2013</v>
      </c>
      <c r="B53" s="650">
        <v>10</v>
      </c>
      <c r="C53" s="656" t="s">
        <v>126</v>
      </c>
      <c r="D53" s="651">
        <v>1062</v>
      </c>
      <c r="E53" s="648" t="s">
        <v>637</v>
      </c>
      <c r="F53" s="655">
        <v>7866111</v>
      </c>
      <c r="G53" s="655">
        <v>4437</v>
      </c>
      <c r="H53" s="655">
        <v>80563</v>
      </c>
      <c r="I53" s="655">
        <v>678053</v>
      </c>
      <c r="J53" s="655">
        <v>670828</v>
      </c>
      <c r="K53" s="655">
        <v>74231</v>
      </c>
      <c r="L53" s="655">
        <v>76000</v>
      </c>
      <c r="M53" s="655">
        <v>0</v>
      </c>
      <c r="N53" s="655">
        <v>374314</v>
      </c>
      <c r="O53" s="655">
        <v>0</v>
      </c>
      <c r="P53" s="655">
        <v>64714</v>
      </c>
      <c r="Q53" s="655">
        <v>71067</v>
      </c>
      <c r="R53" s="655">
        <v>0</v>
      </c>
      <c r="S53" s="655">
        <v>34641</v>
      </c>
      <c r="T53" s="655">
        <v>4029</v>
      </c>
      <c r="U53" s="655">
        <v>0</v>
      </c>
      <c r="V53" s="655">
        <v>0</v>
      </c>
      <c r="W53" s="655">
        <v>40807</v>
      </c>
      <c r="X53" s="655">
        <v>135619</v>
      </c>
      <c r="Y53" s="655">
        <v>0</v>
      </c>
      <c r="Z53" s="655">
        <v>0</v>
      </c>
      <c r="AA53" s="655">
        <v>0</v>
      </c>
      <c r="AB53" s="655">
        <v>0</v>
      </c>
      <c r="AC53" s="655">
        <v>-5883</v>
      </c>
      <c r="AD53" s="655">
        <v>57075</v>
      </c>
      <c r="AE53" s="655">
        <v>10112456</v>
      </c>
      <c r="AF53" s="655">
        <v>297050</v>
      </c>
      <c r="AG53" s="655">
        <v>462710</v>
      </c>
      <c r="AH53" s="655">
        <v>0</v>
      </c>
      <c r="AI53" s="655">
        <v>1768981</v>
      </c>
      <c r="AJ53" s="655">
        <v>2678577</v>
      </c>
      <c r="AK53" s="655">
        <v>15319774</v>
      </c>
      <c r="AL53" s="655">
        <v>12947391</v>
      </c>
      <c r="AM53" s="655">
        <v>2372383</v>
      </c>
    </row>
    <row r="54" spans="1:39" x14ac:dyDescent="0.2">
      <c r="A54" s="649">
        <v>2013</v>
      </c>
      <c r="B54" s="650">
        <v>15</v>
      </c>
      <c r="C54" s="656" t="s">
        <v>127</v>
      </c>
      <c r="D54" s="651">
        <v>1071</v>
      </c>
      <c r="E54" s="648" t="s">
        <v>1051</v>
      </c>
      <c r="F54" s="655">
        <v>8441580</v>
      </c>
      <c r="G54" s="655">
        <v>91239</v>
      </c>
      <c r="H54" s="655">
        <v>134993</v>
      </c>
      <c r="I54" s="655">
        <v>1045289</v>
      </c>
      <c r="J54" s="655">
        <v>721478</v>
      </c>
      <c r="K54" s="655">
        <v>82863</v>
      </c>
      <c r="L54" s="655">
        <v>87213</v>
      </c>
      <c r="M54" s="655">
        <v>0</v>
      </c>
      <c r="N54" s="655">
        <v>408937</v>
      </c>
      <c r="O54" s="655">
        <v>29139</v>
      </c>
      <c r="P54" s="655">
        <v>68368</v>
      </c>
      <c r="Q54" s="655">
        <v>75069</v>
      </c>
      <c r="R54" s="655">
        <v>0</v>
      </c>
      <c r="S54" s="655">
        <v>40875</v>
      </c>
      <c r="T54" s="655">
        <v>4399</v>
      </c>
      <c r="U54" s="655">
        <v>422079</v>
      </c>
      <c r="V54" s="655">
        <v>0</v>
      </c>
      <c r="W54" s="655">
        <v>83539</v>
      </c>
      <c r="X54" s="655">
        <v>0</v>
      </c>
      <c r="Y54" s="655">
        <v>40984</v>
      </c>
      <c r="Z54" s="655">
        <v>0</v>
      </c>
      <c r="AA54" s="655">
        <v>0</v>
      </c>
      <c r="AB54" s="655">
        <v>0</v>
      </c>
      <c r="AC54" s="655">
        <v>0</v>
      </c>
      <c r="AD54" s="655">
        <v>93919</v>
      </c>
      <c r="AE54" s="655">
        <v>11602157</v>
      </c>
      <c r="AF54" s="655">
        <v>207035</v>
      </c>
      <c r="AG54" s="655">
        <v>95892</v>
      </c>
      <c r="AH54" s="655">
        <v>0</v>
      </c>
      <c r="AI54" s="655">
        <v>1657440</v>
      </c>
      <c r="AJ54" s="655">
        <v>3741988</v>
      </c>
      <c r="AK54" s="655">
        <v>17304512</v>
      </c>
      <c r="AL54" s="655">
        <v>13113093</v>
      </c>
      <c r="AM54" s="655">
        <v>4191419</v>
      </c>
    </row>
    <row r="55" spans="1:39" x14ac:dyDescent="0.2">
      <c r="A55" s="649">
        <v>2013</v>
      </c>
      <c r="B55" s="650">
        <v>15</v>
      </c>
      <c r="C55" s="656" t="s">
        <v>128</v>
      </c>
      <c r="D55" s="651">
        <v>1079</v>
      </c>
      <c r="E55" s="648" t="s">
        <v>1052</v>
      </c>
      <c r="F55" s="655">
        <v>4876413</v>
      </c>
      <c r="G55" s="655">
        <v>156317</v>
      </c>
      <c r="H55" s="655">
        <v>38634</v>
      </c>
      <c r="I55" s="655">
        <v>590678</v>
      </c>
      <c r="J55" s="655">
        <v>452434</v>
      </c>
      <c r="K55" s="655">
        <v>58994</v>
      </c>
      <c r="L55" s="655">
        <v>48567</v>
      </c>
      <c r="M55" s="655">
        <v>0</v>
      </c>
      <c r="N55" s="655">
        <v>237979</v>
      </c>
      <c r="O55" s="655">
        <v>15369</v>
      </c>
      <c r="P55" s="655">
        <v>40982</v>
      </c>
      <c r="Q55" s="655">
        <v>44998</v>
      </c>
      <c r="R55" s="655">
        <v>0</v>
      </c>
      <c r="S55" s="655">
        <v>23931</v>
      </c>
      <c r="T55" s="655">
        <v>2573</v>
      </c>
      <c r="U55" s="655">
        <v>52720</v>
      </c>
      <c r="V55" s="655">
        <v>0</v>
      </c>
      <c r="W55" s="655">
        <v>0</v>
      </c>
      <c r="X55" s="655">
        <v>101726</v>
      </c>
      <c r="Y55" s="655">
        <v>0</v>
      </c>
      <c r="Z55" s="655">
        <v>0</v>
      </c>
      <c r="AA55" s="655">
        <v>0</v>
      </c>
      <c r="AB55" s="655">
        <v>0</v>
      </c>
      <c r="AC55" s="655">
        <v>0</v>
      </c>
      <c r="AD55" s="655">
        <v>56989</v>
      </c>
      <c r="AE55" s="655">
        <v>6685326</v>
      </c>
      <c r="AF55" s="655">
        <v>0</v>
      </c>
      <c r="AG55" s="655">
        <v>363514</v>
      </c>
      <c r="AH55" s="655">
        <v>0</v>
      </c>
      <c r="AI55" s="655">
        <v>2300027</v>
      </c>
      <c r="AJ55" s="655">
        <v>1618064</v>
      </c>
      <c r="AK55" s="655">
        <v>10966931</v>
      </c>
      <c r="AL55" s="655">
        <v>9287906</v>
      </c>
      <c r="AM55" s="655">
        <v>1679025</v>
      </c>
    </row>
    <row r="56" spans="1:39" x14ac:dyDescent="0.2">
      <c r="A56" s="649">
        <v>2013</v>
      </c>
      <c r="B56" s="650">
        <v>1</v>
      </c>
      <c r="C56" s="656" t="s">
        <v>129</v>
      </c>
      <c r="D56" s="651">
        <v>1080</v>
      </c>
      <c r="E56" s="648" t="s">
        <v>1053</v>
      </c>
      <c r="F56" s="655">
        <v>2872679</v>
      </c>
      <c r="G56" s="655">
        <v>10028</v>
      </c>
      <c r="H56" s="655">
        <v>125919</v>
      </c>
      <c r="I56" s="655">
        <v>428951</v>
      </c>
      <c r="J56" s="655">
        <v>255085</v>
      </c>
      <c r="K56" s="655">
        <v>26113</v>
      </c>
      <c r="L56" s="655">
        <v>25429</v>
      </c>
      <c r="M56" s="655">
        <v>0</v>
      </c>
      <c r="N56" s="655">
        <v>152983</v>
      </c>
      <c r="O56" s="655">
        <v>16013</v>
      </c>
      <c r="P56" s="655">
        <v>23653</v>
      </c>
      <c r="Q56" s="655">
        <v>26417</v>
      </c>
      <c r="R56" s="655">
        <v>0</v>
      </c>
      <c r="S56" s="655">
        <v>15129</v>
      </c>
      <c r="T56" s="655">
        <v>1606</v>
      </c>
      <c r="U56" s="655">
        <v>40000</v>
      </c>
      <c r="V56" s="655">
        <v>0</v>
      </c>
      <c r="W56" s="655">
        <v>76479</v>
      </c>
      <c r="X56" s="655">
        <v>203405</v>
      </c>
      <c r="Y56" s="655">
        <v>0</v>
      </c>
      <c r="Z56" s="655">
        <v>0</v>
      </c>
      <c r="AA56" s="655">
        <v>0</v>
      </c>
      <c r="AB56" s="655">
        <v>0</v>
      </c>
      <c r="AC56" s="655">
        <v>0</v>
      </c>
      <c r="AD56" s="655">
        <v>36586</v>
      </c>
      <c r="AE56" s="655">
        <v>4263303</v>
      </c>
      <c r="AF56" s="655">
        <v>57010</v>
      </c>
      <c r="AG56" s="655">
        <v>221594</v>
      </c>
      <c r="AH56" s="655">
        <v>0</v>
      </c>
      <c r="AI56" s="655">
        <v>679579</v>
      </c>
      <c r="AJ56" s="655">
        <v>984247</v>
      </c>
      <c r="AK56" s="655">
        <v>6205733</v>
      </c>
      <c r="AL56" s="655">
        <v>5126660</v>
      </c>
      <c r="AM56" s="655">
        <v>1079073</v>
      </c>
    </row>
    <row r="57" spans="1:39" x14ac:dyDescent="0.2">
      <c r="A57" s="649">
        <v>2013</v>
      </c>
      <c r="B57" s="650">
        <v>9</v>
      </c>
      <c r="C57" s="656" t="s">
        <v>130</v>
      </c>
      <c r="D57" s="651">
        <v>1082</v>
      </c>
      <c r="E57" s="648" t="s">
        <v>1722</v>
      </c>
      <c r="F57" s="655">
        <v>9147324</v>
      </c>
      <c r="G57" s="655">
        <v>80932</v>
      </c>
      <c r="H57" s="655">
        <v>65411</v>
      </c>
      <c r="I57" s="655">
        <v>1065538</v>
      </c>
      <c r="J57" s="655">
        <v>810867</v>
      </c>
      <c r="K57" s="655">
        <v>87358</v>
      </c>
      <c r="L57" s="655">
        <v>80986</v>
      </c>
      <c r="M57" s="655">
        <v>0</v>
      </c>
      <c r="N57" s="655">
        <v>450687</v>
      </c>
      <c r="O57" s="655">
        <v>3802</v>
      </c>
      <c r="P57" s="655">
        <v>82919</v>
      </c>
      <c r="Q57" s="655">
        <v>90377</v>
      </c>
      <c r="R57" s="655">
        <v>0</v>
      </c>
      <c r="S57" s="655">
        <v>40346</v>
      </c>
      <c r="T57" s="655">
        <v>4744</v>
      </c>
      <c r="U57" s="655">
        <v>166345</v>
      </c>
      <c r="V57" s="655">
        <v>0</v>
      </c>
      <c r="W57" s="655">
        <v>111777</v>
      </c>
      <c r="X57" s="655">
        <v>0</v>
      </c>
      <c r="Y57" s="655">
        <v>0</v>
      </c>
      <c r="Z57" s="655">
        <v>0</v>
      </c>
      <c r="AA57" s="655">
        <v>0</v>
      </c>
      <c r="AB57" s="655">
        <v>0</v>
      </c>
      <c r="AC57" s="655">
        <v>0</v>
      </c>
      <c r="AD57" s="655">
        <v>94485</v>
      </c>
      <c r="AE57" s="655">
        <v>12194928</v>
      </c>
      <c r="AF57" s="655">
        <v>318053</v>
      </c>
      <c r="AG57" s="655">
        <v>670064</v>
      </c>
      <c r="AH57" s="655">
        <v>0</v>
      </c>
      <c r="AI57" s="655">
        <v>1245026</v>
      </c>
      <c r="AJ57" s="655">
        <v>1559796</v>
      </c>
      <c r="AK57" s="655">
        <v>15987867</v>
      </c>
      <c r="AL57" s="655">
        <v>14565665</v>
      </c>
      <c r="AM57" s="655">
        <v>1422202</v>
      </c>
    </row>
    <row r="58" spans="1:39" x14ac:dyDescent="0.2">
      <c r="A58" s="649">
        <v>2013</v>
      </c>
      <c r="B58" s="650">
        <v>10</v>
      </c>
      <c r="C58" s="656" t="s">
        <v>131</v>
      </c>
      <c r="D58" s="651">
        <v>1089</v>
      </c>
      <c r="E58" s="648" t="s">
        <v>1054</v>
      </c>
      <c r="F58" s="655">
        <v>2912185</v>
      </c>
      <c r="G58" s="655">
        <v>0</v>
      </c>
      <c r="H58" s="655">
        <v>109746</v>
      </c>
      <c r="I58" s="655">
        <v>273881</v>
      </c>
      <c r="J58" s="655">
        <v>269937</v>
      </c>
      <c r="K58" s="655">
        <v>25994</v>
      </c>
      <c r="L58" s="655">
        <v>29838</v>
      </c>
      <c r="M58" s="655">
        <v>0</v>
      </c>
      <c r="N58" s="655">
        <v>138175</v>
      </c>
      <c r="O58" s="655">
        <v>1280</v>
      </c>
      <c r="P58" s="655">
        <v>23961</v>
      </c>
      <c r="Q58" s="655">
        <v>26313</v>
      </c>
      <c r="R58" s="655">
        <v>0</v>
      </c>
      <c r="S58" s="655">
        <v>12878</v>
      </c>
      <c r="T58" s="655">
        <v>1499</v>
      </c>
      <c r="U58" s="655">
        <v>92412</v>
      </c>
      <c r="V58" s="655">
        <v>0</v>
      </c>
      <c r="W58" s="655">
        <v>77519</v>
      </c>
      <c r="X58" s="655">
        <v>0</v>
      </c>
      <c r="Y58" s="655">
        <v>0</v>
      </c>
      <c r="Z58" s="655">
        <v>0</v>
      </c>
      <c r="AA58" s="655">
        <v>0</v>
      </c>
      <c r="AB58" s="655">
        <v>0</v>
      </c>
      <c r="AC58" s="655">
        <v>0</v>
      </c>
      <c r="AD58" s="655">
        <v>29058</v>
      </c>
      <c r="AE58" s="655">
        <v>3966560</v>
      </c>
      <c r="AF58" s="655">
        <v>93016</v>
      </c>
      <c r="AG58" s="655">
        <v>98650</v>
      </c>
      <c r="AH58" s="655">
        <v>0</v>
      </c>
      <c r="AI58" s="655">
        <v>522308</v>
      </c>
      <c r="AJ58" s="655">
        <v>1524170</v>
      </c>
      <c r="AK58" s="655">
        <v>6204704</v>
      </c>
      <c r="AL58" s="655">
        <v>4846086</v>
      </c>
      <c r="AM58" s="655">
        <v>1358618</v>
      </c>
    </row>
    <row r="59" spans="1:39" x14ac:dyDescent="0.2">
      <c r="A59" s="649">
        <v>2013</v>
      </c>
      <c r="B59" s="650">
        <v>13</v>
      </c>
      <c r="C59" s="656" t="s">
        <v>132</v>
      </c>
      <c r="D59" s="651">
        <v>1093</v>
      </c>
      <c r="E59" s="648" t="s">
        <v>1055</v>
      </c>
      <c r="F59" s="655">
        <v>3951058</v>
      </c>
      <c r="G59" s="655">
        <v>49576</v>
      </c>
      <c r="H59" s="655">
        <v>61594</v>
      </c>
      <c r="I59" s="655">
        <v>626444</v>
      </c>
      <c r="J59" s="655">
        <v>357825</v>
      </c>
      <c r="K59" s="655">
        <v>36500</v>
      </c>
      <c r="L59" s="655">
        <v>48599</v>
      </c>
      <c r="M59" s="655">
        <v>0</v>
      </c>
      <c r="N59" s="655">
        <v>201270</v>
      </c>
      <c r="O59" s="655">
        <v>1095</v>
      </c>
      <c r="P59" s="655">
        <v>32314</v>
      </c>
      <c r="Q59" s="655">
        <v>35743</v>
      </c>
      <c r="R59" s="655">
        <v>0</v>
      </c>
      <c r="S59" s="655">
        <v>20672</v>
      </c>
      <c r="T59" s="655">
        <v>2182</v>
      </c>
      <c r="U59" s="655">
        <v>0</v>
      </c>
      <c r="V59" s="655">
        <v>0</v>
      </c>
      <c r="W59" s="655">
        <v>85814</v>
      </c>
      <c r="X59" s="655">
        <v>76216</v>
      </c>
      <c r="Y59" s="655">
        <v>0</v>
      </c>
      <c r="Z59" s="655">
        <v>0</v>
      </c>
      <c r="AA59" s="655">
        <v>0</v>
      </c>
      <c r="AB59" s="655">
        <v>0</v>
      </c>
      <c r="AC59" s="655">
        <v>-23532</v>
      </c>
      <c r="AD59" s="655">
        <v>43569</v>
      </c>
      <c r="AE59" s="655">
        <v>5519801</v>
      </c>
      <c r="AF59" s="655">
        <v>171029</v>
      </c>
      <c r="AG59" s="655">
        <v>246679</v>
      </c>
      <c r="AH59" s="655">
        <v>0</v>
      </c>
      <c r="AI59" s="655">
        <v>1237355</v>
      </c>
      <c r="AJ59" s="655">
        <v>1155601</v>
      </c>
      <c r="AK59" s="655">
        <v>8330465</v>
      </c>
      <c r="AL59" s="655">
        <v>7620420</v>
      </c>
      <c r="AM59" s="655">
        <v>710045</v>
      </c>
    </row>
    <row r="60" spans="1:39" x14ac:dyDescent="0.2">
      <c r="A60" s="649">
        <v>2013</v>
      </c>
      <c r="B60" s="650">
        <v>12</v>
      </c>
      <c r="C60" s="656" t="s">
        <v>133</v>
      </c>
      <c r="D60" s="651">
        <v>1095</v>
      </c>
      <c r="E60" s="648" t="s">
        <v>1057</v>
      </c>
      <c r="F60" s="655">
        <v>4288315</v>
      </c>
      <c r="G60" s="655">
        <v>0</v>
      </c>
      <c r="H60" s="655">
        <v>32027</v>
      </c>
      <c r="I60" s="655">
        <v>466278</v>
      </c>
      <c r="J60" s="655">
        <v>358215</v>
      </c>
      <c r="K60" s="655">
        <v>41354</v>
      </c>
      <c r="L60" s="655">
        <v>37366</v>
      </c>
      <c r="M60" s="655">
        <v>0</v>
      </c>
      <c r="N60" s="655">
        <v>214270</v>
      </c>
      <c r="O60" s="655">
        <v>286</v>
      </c>
      <c r="P60" s="655">
        <v>39512</v>
      </c>
      <c r="Q60" s="655">
        <v>44416</v>
      </c>
      <c r="R60" s="655">
        <v>0</v>
      </c>
      <c r="S60" s="655">
        <v>21507</v>
      </c>
      <c r="T60" s="655">
        <v>2580</v>
      </c>
      <c r="U60" s="655">
        <v>187935</v>
      </c>
      <c r="V60" s="655">
        <v>0</v>
      </c>
      <c r="W60" s="655">
        <v>52947</v>
      </c>
      <c r="X60" s="655">
        <v>294851</v>
      </c>
      <c r="Y60" s="655">
        <v>0</v>
      </c>
      <c r="Z60" s="655">
        <v>0</v>
      </c>
      <c r="AA60" s="655">
        <v>0</v>
      </c>
      <c r="AB60" s="655">
        <v>0</v>
      </c>
      <c r="AC60" s="655">
        <v>0</v>
      </c>
      <c r="AD60" s="655">
        <v>42524</v>
      </c>
      <c r="AE60" s="655">
        <v>6039335</v>
      </c>
      <c r="AF60" s="655">
        <v>129022</v>
      </c>
      <c r="AG60" s="655">
        <v>325784</v>
      </c>
      <c r="AH60" s="655">
        <v>0</v>
      </c>
      <c r="AI60" s="655">
        <v>668752</v>
      </c>
      <c r="AJ60" s="655">
        <v>1781850</v>
      </c>
      <c r="AK60" s="655">
        <v>8944743</v>
      </c>
      <c r="AL60" s="655">
        <v>7173716</v>
      </c>
      <c r="AM60" s="655">
        <v>1771027</v>
      </c>
    </row>
    <row r="61" spans="1:39" x14ac:dyDescent="0.2">
      <c r="A61" s="649">
        <v>2013</v>
      </c>
      <c r="B61" s="650">
        <v>15</v>
      </c>
      <c r="C61" s="656" t="s">
        <v>134</v>
      </c>
      <c r="D61" s="651">
        <v>1107</v>
      </c>
      <c r="E61" s="648" t="s">
        <v>1058</v>
      </c>
      <c r="F61" s="655">
        <v>8283780</v>
      </c>
      <c r="G61" s="655">
        <v>175009</v>
      </c>
      <c r="H61" s="655">
        <v>152035</v>
      </c>
      <c r="I61" s="655">
        <v>1128308</v>
      </c>
      <c r="J61" s="655">
        <v>708213</v>
      </c>
      <c r="K61" s="655">
        <v>75052</v>
      </c>
      <c r="L61" s="655">
        <v>99225</v>
      </c>
      <c r="M61" s="655">
        <v>0</v>
      </c>
      <c r="N61" s="655">
        <v>409703</v>
      </c>
      <c r="O61" s="655">
        <v>30678</v>
      </c>
      <c r="P61" s="655">
        <v>67730</v>
      </c>
      <c r="Q61" s="655">
        <v>74368</v>
      </c>
      <c r="R61" s="655">
        <v>0</v>
      </c>
      <c r="S61" s="655">
        <v>41438</v>
      </c>
      <c r="T61" s="655">
        <v>4455</v>
      </c>
      <c r="U61" s="655">
        <v>220000</v>
      </c>
      <c r="V61" s="655">
        <v>0</v>
      </c>
      <c r="W61" s="655">
        <v>80672</v>
      </c>
      <c r="X61" s="655">
        <v>153980</v>
      </c>
      <c r="Y61" s="655">
        <v>0</v>
      </c>
      <c r="Z61" s="655">
        <v>0</v>
      </c>
      <c r="AA61" s="655">
        <v>0</v>
      </c>
      <c r="AB61" s="655">
        <v>0</v>
      </c>
      <c r="AC61" s="655">
        <v>0</v>
      </c>
      <c r="AD61" s="655">
        <v>85181</v>
      </c>
      <c r="AE61" s="655">
        <v>11619465</v>
      </c>
      <c r="AF61" s="655">
        <v>183031</v>
      </c>
      <c r="AG61" s="655">
        <v>534934</v>
      </c>
      <c r="AH61" s="655">
        <v>0</v>
      </c>
      <c r="AI61" s="655">
        <v>1156858</v>
      </c>
      <c r="AJ61" s="655">
        <v>4963698</v>
      </c>
      <c r="AK61" s="655">
        <v>18457986</v>
      </c>
      <c r="AL61" s="655">
        <v>13271302</v>
      </c>
      <c r="AM61" s="655">
        <v>5186684</v>
      </c>
    </row>
    <row r="62" spans="1:39" x14ac:dyDescent="0.2">
      <c r="A62" s="649">
        <v>2013</v>
      </c>
      <c r="B62" s="650">
        <v>7</v>
      </c>
      <c r="C62" s="656" t="s">
        <v>135</v>
      </c>
      <c r="D62" s="651">
        <v>1116</v>
      </c>
      <c r="E62" s="648" t="s">
        <v>1059</v>
      </c>
      <c r="F62" s="655">
        <v>9391520</v>
      </c>
      <c r="G62" s="655">
        <v>0</v>
      </c>
      <c r="H62" s="655">
        <v>381304</v>
      </c>
      <c r="I62" s="655">
        <v>1496400</v>
      </c>
      <c r="J62" s="655">
        <v>798876</v>
      </c>
      <c r="K62" s="655">
        <v>94860</v>
      </c>
      <c r="L62" s="655">
        <v>92459</v>
      </c>
      <c r="M62" s="655">
        <v>0</v>
      </c>
      <c r="N62" s="655">
        <v>479959</v>
      </c>
      <c r="O62" s="655">
        <v>0</v>
      </c>
      <c r="P62" s="655">
        <v>84689</v>
      </c>
      <c r="Q62" s="655">
        <v>94681</v>
      </c>
      <c r="R62" s="655">
        <v>0</v>
      </c>
      <c r="S62" s="655">
        <v>61993</v>
      </c>
      <c r="T62" s="655">
        <v>7114</v>
      </c>
      <c r="U62" s="655">
        <v>326554</v>
      </c>
      <c r="V62" s="655">
        <v>0</v>
      </c>
      <c r="W62" s="655">
        <v>189709</v>
      </c>
      <c r="X62" s="655">
        <v>423540</v>
      </c>
      <c r="Y62" s="655">
        <v>0</v>
      </c>
      <c r="Z62" s="655">
        <v>0</v>
      </c>
      <c r="AA62" s="655">
        <v>0</v>
      </c>
      <c r="AB62" s="655">
        <v>0</v>
      </c>
      <c r="AC62" s="655">
        <v>535</v>
      </c>
      <c r="AD62" s="655">
        <v>101383</v>
      </c>
      <c r="AE62" s="655">
        <v>13822810</v>
      </c>
      <c r="AF62" s="655">
        <v>81014</v>
      </c>
      <c r="AG62" s="655">
        <v>493515</v>
      </c>
      <c r="AH62" s="655">
        <v>0</v>
      </c>
      <c r="AI62" s="655">
        <v>1688335</v>
      </c>
      <c r="AJ62" s="655">
        <v>3915694</v>
      </c>
      <c r="AK62" s="655">
        <v>20001368</v>
      </c>
      <c r="AL62" s="655">
        <v>15911958</v>
      </c>
      <c r="AM62" s="655">
        <v>4089410</v>
      </c>
    </row>
    <row r="63" spans="1:39" x14ac:dyDescent="0.2">
      <c r="A63" s="649">
        <v>2013</v>
      </c>
      <c r="B63" s="650">
        <v>12</v>
      </c>
      <c r="C63" s="656" t="s">
        <v>136</v>
      </c>
      <c r="D63" s="651">
        <v>1134</v>
      </c>
      <c r="E63" s="648" t="s">
        <v>1060</v>
      </c>
      <c r="F63" s="655">
        <v>1908308</v>
      </c>
      <c r="G63" s="655">
        <v>0</v>
      </c>
      <c r="H63" s="655">
        <v>28898</v>
      </c>
      <c r="I63" s="655">
        <v>304330</v>
      </c>
      <c r="J63" s="655">
        <v>185288</v>
      </c>
      <c r="K63" s="655">
        <v>19235</v>
      </c>
      <c r="L63" s="655">
        <v>21093</v>
      </c>
      <c r="M63" s="655">
        <v>0</v>
      </c>
      <c r="N63" s="655">
        <v>99433</v>
      </c>
      <c r="O63" s="655">
        <v>248</v>
      </c>
      <c r="P63" s="655">
        <v>15805</v>
      </c>
      <c r="Q63" s="655">
        <v>17766</v>
      </c>
      <c r="R63" s="655">
        <v>0</v>
      </c>
      <c r="S63" s="655">
        <v>9971</v>
      </c>
      <c r="T63" s="655">
        <v>1195</v>
      </c>
      <c r="U63" s="655">
        <v>0</v>
      </c>
      <c r="V63" s="655">
        <v>0</v>
      </c>
      <c r="W63" s="655">
        <v>11766</v>
      </c>
      <c r="X63" s="655">
        <v>0</v>
      </c>
      <c r="Y63" s="655">
        <v>64236</v>
      </c>
      <c r="Z63" s="655">
        <v>0</v>
      </c>
      <c r="AA63" s="655">
        <v>0</v>
      </c>
      <c r="AB63" s="655">
        <v>0</v>
      </c>
      <c r="AC63" s="655">
        <v>0</v>
      </c>
      <c r="AD63" s="655">
        <v>21695</v>
      </c>
      <c r="AE63" s="655">
        <v>2537405</v>
      </c>
      <c r="AF63" s="655">
        <v>72012</v>
      </c>
      <c r="AG63" s="655">
        <v>157760</v>
      </c>
      <c r="AH63" s="655">
        <v>0</v>
      </c>
      <c r="AI63" s="655">
        <v>474224</v>
      </c>
      <c r="AJ63" s="655">
        <v>814443</v>
      </c>
      <c r="AK63" s="655">
        <v>4055844</v>
      </c>
      <c r="AL63" s="655">
        <v>3435575</v>
      </c>
      <c r="AM63" s="655">
        <v>620269</v>
      </c>
    </row>
    <row r="64" spans="1:39" x14ac:dyDescent="0.2">
      <c r="A64" s="649">
        <v>2013</v>
      </c>
      <c r="B64" s="650">
        <v>12</v>
      </c>
      <c r="C64" s="656" t="s">
        <v>137</v>
      </c>
      <c r="D64" s="651">
        <v>1152</v>
      </c>
      <c r="E64" s="648" t="s">
        <v>1061</v>
      </c>
      <c r="F64" s="655">
        <v>5641674</v>
      </c>
      <c r="G64" s="655">
        <v>0</v>
      </c>
      <c r="H64" s="655">
        <v>52053</v>
      </c>
      <c r="I64" s="655">
        <v>963055</v>
      </c>
      <c r="J64" s="655">
        <v>494252</v>
      </c>
      <c r="K64" s="655">
        <v>55540</v>
      </c>
      <c r="L64" s="655">
        <v>59241</v>
      </c>
      <c r="M64" s="655">
        <v>0</v>
      </c>
      <c r="N64" s="655">
        <v>295139</v>
      </c>
      <c r="O64" s="655">
        <v>8343</v>
      </c>
      <c r="P64" s="655">
        <v>46031</v>
      </c>
      <c r="Q64" s="655">
        <v>51745</v>
      </c>
      <c r="R64" s="655">
        <v>0</v>
      </c>
      <c r="S64" s="655">
        <v>29597</v>
      </c>
      <c r="T64" s="655">
        <v>3547</v>
      </c>
      <c r="U64" s="655">
        <v>112693</v>
      </c>
      <c r="V64" s="655">
        <v>0</v>
      </c>
      <c r="W64" s="655">
        <v>166067</v>
      </c>
      <c r="X64" s="655">
        <v>39668</v>
      </c>
      <c r="Y64" s="655">
        <v>0</v>
      </c>
      <c r="Z64" s="655">
        <v>0</v>
      </c>
      <c r="AA64" s="655">
        <v>0</v>
      </c>
      <c r="AB64" s="655">
        <v>0</v>
      </c>
      <c r="AC64" s="655">
        <v>0</v>
      </c>
      <c r="AD64" s="655">
        <v>65060</v>
      </c>
      <c r="AE64" s="655">
        <v>7953585</v>
      </c>
      <c r="AF64" s="655">
        <v>144024</v>
      </c>
      <c r="AG64" s="655">
        <v>323968</v>
      </c>
      <c r="AH64" s="655">
        <v>0</v>
      </c>
      <c r="AI64" s="655">
        <v>1102248</v>
      </c>
      <c r="AJ64" s="655">
        <v>2327756</v>
      </c>
      <c r="AK64" s="655">
        <v>11851581</v>
      </c>
      <c r="AL64" s="655">
        <v>9626668</v>
      </c>
      <c r="AM64" s="655">
        <v>2224913</v>
      </c>
    </row>
    <row r="65" spans="1:39" x14ac:dyDescent="0.2">
      <c r="A65" s="649">
        <v>2013</v>
      </c>
      <c r="B65" s="650">
        <v>13</v>
      </c>
      <c r="C65" s="656" t="s">
        <v>138</v>
      </c>
      <c r="D65" s="651">
        <v>1197</v>
      </c>
      <c r="E65" s="648" t="s">
        <v>1067</v>
      </c>
      <c r="F65" s="655">
        <v>5699150</v>
      </c>
      <c r="G65" s="655">
        <v>0</v>
      </c>
      <c r="H65" s="655">
        <v>61402</v>
      </c>
      <c r="I65" s="655">
        <v>522567</v>
      </c>
      <c r="J65" s="655">
        <v>472457</v>
      </c>
      <c r="K65" s="655">
        <v>43439</v>
      </c>
      <c r="L65" s="655">
        <v>51312</v>
      </c>
      <c r="M65" s="655">
        <v>0</v>
      </c>
      <c r="N65" s="655">
        <v>273565</v>
      </c>
      <c r="O65" s="655">
        <v>0</v>
      </c>
      <c r="P65" s="655">
        <v>50289</v>
      </c>
      <c r="Q65" s="655">
        <v>55624</v>
      </c>
      <c r="R65" s="655">
        <v>0</v>
      </c>
      <c r="S65" s="655">
        <v>28097</v>
      </c>
      <c r="T65" s="655">
        <v>2965</v>
      </c>
      <c r="U65" s="655">
        <v>117975</v>
      </c>
      <c r="V65" s="655">
        <v>0</v>
      </c>
      <c r="W65" s="655">
        <v>0</v>
      </c>
      <c r="X65" s="655">
        <v>0</v>
      </c>
      <c r="Y65" s="655">
        <v>25311</v>
      </c>
      <c r="Z65" s="655">
        <v>0</v>
      </c>
      <c r="AA65" s="655">
        <v>0</v>
      </c>
      <c r="AB65" s="655">
        <v>0</v>
      </c>
      <c r="AC65" s="655">
        <v>0</v>
      </c>
      <c r="AD65" s="655">
        <v>61222</v>
      </c>
      <c r="AE65" s="655">
        <v>7292309</v>
      </c>
      <c r="AF65" s="655">
        <v>0</v>
      </c>
      <c r="AG65" s="655">
        <v>248973</v>
      </c>
      <c r="AH65" s="655">
        <v>0</v>
      </c>
      <c r="AI65" s="655">
        <v>2198728</v>
      </c>
      <c r="AJ65" s="655">
        <v>1957655</v>
      </c>
      <c r="AK65" s="655">
        <v>11697665</v>
      </c>
      <c r="AL65" s="655">
        <v>9880541</v>
      </c>
      <c r="AM65" s="655">
        <v>1817124</v>
      </c>
    </row>
    <row r="66" spans="1:39" x14ac:dyDescent="0.2">
      <c r="A66" s="649">
        <v>2013</v>
      </c>
      <c r="B66" s="650">
        <v>5</v>
      </c>
      <c r="C66" s="656" t="s">
        <v>139</v>
      </c>
      <c r="D66" s="651">
        <v>1206</v>
      </c>
      <c r="E66" s="648" t="s">
        <v>1636</v>
      </c>
      <c r="F66" s="655">
        <v>5463312</v>
      </c>
      <c r="G66" s="655">
        <v>63573</v>
      </c>
      <c r="H66" s="655">
        <v>444630</v>
      </c>
      <c r="I66" s="655">
        <v>666055</v>
      </c>
      <c r="J66" s="655">
        <v>479646</v>
      </c>
      <c r="K66" s="655">
        <v>53834</v>
      </c>
      <c r="L66" s="655">
        <v>58866</v>
      </c>
      <c r="M66" s="655">
        <v>0</v>
      </c>
      <c r="N66" s="655">
        <v>276999</v>
      </c>
      <c r="O66" s="655">
        <v>29967</v>
      </c>
      <c r="P66" s="655">
        <v>45200</v>
      </c>
      <c r="Q66" s="655">
        <v>50787</v>
      </c>
      <c r="R66" s="655">
        <v>4748</v>
      </c>
      <c r="S66" s="655">
        <v>30815</v>
      </c>
      <c r="T66" s="655">
        <v>3657</v>
      </c>
      <c r="U66" s="655">
        <v>214486</v>
      </c>
      <c r="V66" s="655">
        <v>0</v>
      </c>
      <c r="W66" s="655">
        <v>152998</v>
      </c>
      <c r="X66" s="655">
        <v>419318</v>
      </c>
      <c r="Y66" s="655">
        <v>0</v>
      </c>
      <c r="Z66" s="655">
        <v>0</v>
      </c>
      <c r="AA66" s="655">
        <v>0</v>
      </c>
      <c r="AB66" s="655">
        <v>0</v>
      </c>
      <c r="AC66" s="655">
        <v>-4840</v>
      </c>
      <c r="AD66" s="655">
        <v>63563</v>
      </c>
      <c r="AE66" s="655">
        <v>8390488</v>
      </c>
      <c r="AF66" s="655">
        <v>173911</v>
      </c>
      <c r="AG66" s="655">
        <v>461489</v>
      </c>
      <c r="AH66" s="655">
        <v>0</v>
      </c>
      <c r="AI66" s="655">
        <v>1362394</v>
      </c>
      <c r="AJ66" s="655">
        <v>2629260</v>
      </c>
      <c r="AK66" s="655">
        <v>13017542</v>
      </c>
      <c r="AL66" s="655">
        <v>10675758</v>
      </c>
      <c r="AM66" s="655">
        <v>2341784</v>
      </c>
    </row>
    <row r="67" spans="1:39" x14ac:dyDescent="0.2">
      <c r="A67" s="649">
        <v>2013</v>
      </c>
      <c r="B67" s="650">
        <v>13</v>
      </c>
      <c r="C67" s="656" t="s">
        <v>140</v>
      </c>
      <c r="D67" s="651">
        <v>1211</v>
      </c>
      <c r="E67" s="648" t="s">
        <v>1068</v>
      </c>
      <c r="F67" s="655">
        <v>8319786</v>
      </c>
      <c r="G67" s="655">
        <v>0</v>
      </c>
      <c r="H67" s="655">
        <v>386878</v>
      </c>
      <c r="I67" s="655">
        <v>1150752</v>
      </c>
      <c r="J67" s="655">
        <v>716602</v>
      </c>
      <c r="K67" s="655">
        <v>73160</v>
      </c>
      <c r="L67" s="655">
        <v>94719</v>
      </c>
      <c r="M67" s="655">
        <v>0</v>
      </c>
      <c r="N67" s="655">
        <v>416413</v>
      </c>
      <c r="O67" s="655">
        <v>0</v>
      </c>
      <c r="P67" s="655">
        <v>68165</v>
      </c>
      <c r="Q67" s="655">
        <v>75396</v>
      </c>
      <c r="R67" s="655">
        <v>0</v>
      </c>
      <c r="S67" s="655">
        <v>42768</v>
      </c>
      <c r="T67" s="655">
        <v>4514</v>
      </c>
      <c r="U67" s="655">
        <v>0</v>
      </c>
      <c r="V67" s="655">
        <v>0</v>
      </c>
      <c r="W67" s="655">
        <v>333535</v>
      </c>
      <c r="X67" s="655">
        <v>277914</v>
      </c>
      <c r="Y67" s="655">
        <v>0</v>
      </c>
      <c r="Z67" s="655">
        <v>0</v>
      </c>
      <c r="AA67" s="655">
        <v>0</v>
      </c>
      <c r="AB67" s="655">
        <v>0</v>
      </c>
      <c r="AC67" s="655">
        <v>0</v>
      </c>
      <c r="AD67" s="655">
        <v>81301</v>
      </c>
      <c r="AE67" s="655">
        <v>11879301</v>
      </c>
      <c r="AF67" s="655">
        <v>249042</v>
      </c>
      <c r="AG67" s="655">
        <v>550770</v>
      </c>
      <c r="AH67" s="655">
        <v>0</v>
      </c>
      <c r="AI67" s="655">
        <v>1024379</v>
      </c>
      <c r="AJ67" s="655">
        <v>2301305</v>
      </c>
      <c r="AK67" s="655">
        <v>16004797</v>
      </c>
      <c r="AL67" s="655">
        <v>13498058</v>
      </c>
      <c r="AM67" s="655">
        <v>2506739</v>
      </c>
    </row>
    <row r="68" spans="1:39" x14ac:dyDescent="0.2">
      <c r="A68" s="649">
        <v>2013</v>
      </c>
      <c r="B68" s="650">
        <v>7</v>
      </c>
      <c r="C68" s="656" t="s">
        <v>141</v>
      </c>
      <c r="D68" s="651">
        <v>1215</v>
      </c>
      <c r="E68" s="648" t="s">
        <v>1069</v>
      </c>
      <c r="F68" s="655">
        <v>2130955</v>
      </c>
      <c r="G68" s="655">
        <v>0</v>
      </c>
      <c r="H68" s="655">
        <v>10988</v>
      </c>
      <c r="I68" s="655">
        <v>291229</v>
      </c>
      <c r="J68" s="655">
        <v>215233</v>
      </c>
      <c r="K68" s="655">
        <v>22883</v>
      </c>
      <c r="L68" s="655">
        <v>23351</v>
      </c>
      <c r="M68" s="655">
        <v>0</v>
      </c>
      <c r="N68" s="655">
        <v>107842</v>
      </c>
      <c r="O68" s="655">
        <v>9952</v>
      </c>
      <c r="P68" s="655">
        <v>18035</v>
      </c>
      <c r="Q68" s="655">
        <v>20163</v>
      </c>
      <c r="R68" s="655">
        <v>0</v>
      </c>
      <c r="S68" s="655">
        <v>14101</v>
      </c>
      <c r="T68" s="655">
        <v>1618</v>
      </c>
      <c r="U68" s="655">
        <v>79911</v>
      </c>
      <c r="V68" s="655">
        <v>0</v>
      </c>
      <c r="W68" s="655">
        <v>76479</v>
      </c>
      <c r="X68" s="655">
        <v>24900</v>
      </c>
      <c r="Y68" s="655">
        <v>0</v>
      </c>
      <c r="Z68" s="655">
        <v>0</v>
      </c>
      <c r="AA68" s="655">
        <v>0</v>
      </c>
      <c r="AB68" s="655">
        <v>0</v>
      </c>
      <c r="AC68" s="655">
        <v>0</v>
      </c>
      <c r="AD68" s="655">
        <v>22611</v>
      </c>
      <c r="AE68" s="655">
        <v>3025029</v>
      </c>
      <c r="AF68" s="655">
        <v>36006</v>
      </c>
      <c r="AG68" s="655">
        <v>146035</v>
      </c>
      <c r="AH68" s="655">
        <v>0</v>
      </c>
      <c r="AI68" s="655">
        <v>205171</v>
      </c>
      <c r="AJ68" s="655">
        <v>951384</v>
      </c>
      <c r="AK68" s="655">
        <v>4363625</v>
      </c>
      <c r="AL68" s="655">
        <v>3575039</v>
      </c>
      <c r="AM68" s="655">
        <v>788586</v>
      </c>
    </row>
    <row r="69" spans="1:39" x14ac:dyDescent="0.2">
      <c r="A69" s="649">
        <v>2013</v>
      </c>
      <c r="B69" s="650">
        <v>5</v>
      </c>
      <c r="C69" s="656" t="s">
        <v>142</v>
      </c>
      <c r="D69" s="651">
        <v>1218</v>
      </c>
      <c r="E69" s="648" t="s">
        <v>1070</v>
      </c>
      <c r="F69" s="655">
        <v>2378052</v>
      </c>
      <c r="G69" s="655">
        <v>13265</v>
      </c>
      <c r="H69" s="655">
        <v>75963</v>
      </c>
      <c r="I69" s="655">
        <v>233821</v>
      </c>
      <c r="J69" s="655">
        <v>222770</v>
      </c>
      <c r="K69" s="655">
        <v>24413</v>
      </c>
      <c r="L69" s="655">
        <v>21794</v>
      </c>
      <c r="M69" s="655">
        <v>0</v>
      </c>
      <c r="N69" s="655">
        <v>116684</v>
      </c>
      <c r="O69" s="655">
        <v>8349</v>
      </c>
      <c r="P69" s="655">
        <v>19784</v>
      </c>
      <c r="Q69" s="655">
        <v>22248</v>
      </c>
      <c r="R69" s="655">
        <v>2333</v>
      </c>
      <c r="S69" s="655">
        <v>12461</v>
      </c>
      <c r="T69" s="655">
        <v>1487</v>
      </c>
      <c r="U69" s="655">
        <v>113170</v>
      </c>
      <c r="V69" s="655">
        <v>0</v>
      </c>
      <c r="W69" s="655">
        <v>23532</v>
      </c>
      <c r="X69" s="655">
        <v>102338</v>
      </c>
      <c r="Y69" s="655">
        <v>0</v>
      </c>
      <c r="Z69" s="655">
        <v>0</v>
      </c>
      <c r="AA69" s="655">
        <v>0</v>
      </c>
      <c r="AB69" s="655">
        <v>0</v>
      </c>
      <c r="AC69" s="655">
        <v>0</v>
      </c>
      <c r="AD69" s="655">
        <v>28433</v>
      </c>
      <c r="AE69" s="655">
        <v>3364031</v>
      </c>
      <c r="AF69" s="655">
        <v>36006</v>
      </c>
      <c r="AG69" s="655">
        <v>206849</v>
      </c>
      <c r="AH69" s="655">
        <v>0</v>
      </c>
      <c r="AI69" s="655">
        <v>405801</v>
      </c>
      <c r="AJ69" s="655">
        <v>239894</v>
      </c>
      <c r="AK69" s="655">
        <v>4252581</v>
      </c>
      <c r="AL69" s="655">
        <v>3640965</v>
      </c>
      <c r="AM69" s="655">
        <v>611616</v>
      </c>
    </row>
    <row r="70" spans="1:39" x14ac:dyDescent="0.2">
      <c r="A70" s="649">
        <v>2013</v>
      </c>
      <c r="B70" s="650">
        <v>10</v>
      </c>
      <c r="C70" s="656" t="s">
        <v>143</v>
      </c>
      <c r="D70" s="651">
        <v>1221</v>
      </c>
      <c r="E70" s="648" t="s">
        <v>2006</v>
      </c>
      <c r="F70" s="655">
        <v>9517331</v>
      </c>
      <c r="G70" s="655">
        <v>0</v>
      </c>
      <c r="H70" s="655">
        <v>111672</v>
      </c>
      <c r="I70" s="655">
        <v>1212894</v>
      </c>
      <c r="J70" s="655">
        <v>819244</v>
      </c>
      <c r="K70" s="655">
        <v>88615</v>
      </c>
      <c r="L70" s="655">
        <v>78147</v>
      </c>
      <c r="M70" s="655">
        <v>0</v>
      </c>
      <c r="N70" s="655">
        <v>467281</v>
      </c>
      <c r="O70" s="655">
        <v>0</v>
      </c>
      <c r="P70" s="655">
        <v>78806</v>
      </c>
      <c r="Q70" s="655">
        <v>86542</v>
      </c>
      <c r="R70" s="655">
        <v>0</v>
      </c>
      <c r="S70" s="655">
        <v>43244</v>
      </c>
      <c r="T70" s="655">
        <v>5030</v>
      </c>
      <c r="U70" s="655">
        <v>213053</v>
      </c>
      <c r="V70" s="655">
        <v>0</v>
      </c>
      <c r="W70" s="655">
        <v>572308</v>
      </c>
      <c r="X70" s="655">
        <v>543876</v>
      </c>
      <c r="Y70" s="655">
        <v>0</v>
      </c>
      <c r="Z70" s="655">
        <v>0</v>
      </c>
      <c r="AA70" s="655">
        <v>0</v>
      </c>
      <c r="AB70" s="655">
        <v>0</v>
      </c>
      <c r="AC70" s="655">
        <v>0</v>
      </c>
      <c r="AD70" s="655">
        <v>66804</v>
      </c>
      <c r="AE70" s="655">
        <v>13771239</v>
      </c>
      <c r="AF70" s="655">
        <v>120020</v>
      </c>
      <c r="AG70" s="655">
        <v>757675</v>
      </c>
      <c r="AH70" s="655">
        <v>0</v>
      </c>
      <c r="AI70" s="655">
        <v>3025055</v>
      </c>
      <c r="AJ70" s="655">
        <v>7125795</v>
      </c>
      <c r="AK70" s="655">
        <v>24799784</v>
      </c>
      <c r="AL70" s="655">
        <v>17368323</v>
      </c>
      <c r="AM70" s="655">
        <v>7431461</v>
      </c>
    </row>
    <row r="71" spans="1:39" x14ac:dyDescent="0.2">
      <c r="A71" s="649">
        <v>2013</v>
      </c>
      <c r="B71" s="650">
        <v>7</v>
      </c>
      <c r="C71" s="656" t="s">
        <v>144</v>
      </c>
      <c r="D71" s="651">
        <v>1233</v>
      </c>
      <c r="E71" s="648" t="s">
        <v>1071</v>
      </c>
      <c r="F71" s="655">
        <v>7735889</v>
      </c>
      <c r="G71" s="655">
        <v>0</v>
      </c>
      <c r="H71" s="655">
        <v>172487</v>
      </c>
      <c r="I71" s="655">
        <v>1151172</v>
      </c>
      <c r="J71" s="655">
        <v>639149</v>
      </c>
      <c r="K71" s="655">
        <v>69921</v>
      </c>
      <c r="L71" s="655">
        <v>72538</v>
      </c>
      <c r="M71" s="655">
        <v>0</v>
      </c>
      <c r="N71" s="655">
        <v>395675</v>
      </c>
      <c r="O71" s="655">
        <v>6305</v>
      </c>
      <c r="P71" s="655">
        <v>65715</v>
      </c>
      <c r="Q71" s="655">
        <v>73469</v>
      </c>
      <c r="R71" s="655">
        <v>0</v>
      </c>
      <c r="S71" s="655">
        <v>51107</v>
      </c>
      <c r="T71" s="655">
        <v>5864</v>
      </c>
      <c r="U71" s="655">
        <v>257250</v>
      </c>
      <c r="V71" s="655">
        <v>0</v>
      </c>
      <c r="W71" s="655">
        <v>161783</v>
      </c>
      <c r="X71" s="655">
        <v>0</v>
      </c>
      <c r="Y71" s="655">
        <v>0</v>
      </c>
      <c r="Z71" s="655">
        <v>0</v>
      </c>
      <c r="AA71" s="655">
        <v>0</v>
      </c>
      <c r="AB71" s="655">
        <v>0</v>
      </c>
      <c r="AC71" s="655">
        <v>0</v>
      </c>
      <c r="AD71" s="655">
        <v>85375</v>
      </c>
      <c r="AE71" s="655">
        <v>10772949</v>
      </c>
      <c r="AF71" s="655">
        <v>255043</v>
      </c>
      <c r="AG71" s="655">
        <v>641615</v>
      </c>
      <c r="AH71" s="655">
        <v>0</v>
      </c>
      <c r="AI71" s="655">
        <v>1637797</v>
      </c>
      <c r="AJ71" s="655">
        <v>2682001</v>
      </c>
      <c r="AK71" s="655">
        <v>15989405</v>
      </c>
      <c r="AL71" s="655">
        <v>13406197</v>
      </c>
      <c r="AM71" s="655">
        <v>2583208</v>
      </c>
    </row>
    <row r="72" spans="1:39" x14ac:dyDescent="0.2">
      <c r="A72" s="649">
        <v>2013</v>
      </c>
      <c r="B72" s="650">
        <v>9</v>
      </c>
      <c r="C72" s="656" t="s">
        <v>145</v>
      </c>
      <c r="D72" s="651">
        <v>1278</v>
      </c>
      <c r="E72" s="648" t="s">
        <v>1072</v>
      </c>
      <c r="F72" s="655">
        <v>24524818</v>
      </c>
      <c r="G72" s="655">
        <v>94240</v>
      </c>
      <c r="H72" s="655">
        <v>324010</v>
      </c>
      <c r="I72" s="655">
        <v>5134991</v>
      </c>
      <c r="J72" s="655">
        <v>2103083</v>
      </c>
      <c r="K72" s="655">
        <v>242855</v>
      </c>
      <c r="L72" s="655">
        <v>285197</v>
      </c>
      <c r="M72" s="655">
        <v>0</v>
      </c>
      <c r="N72" s="655">
        <v>1298910</v>
      </c>
      <c r="O72" s="655">
        <v>33679</v>
      </c>
      <c r="P72" s="655">
        <v>206540</v>
      </c>
      <c r="Q72" s="655">
        <v>225117</v>
      </c>
      <c r="R72" s="655">
        <v>0</v>
      </c>
      <c r="S72" s="655">
        <v>115657</v>
      </c>
      <c r="T72" s="655">
        <v>13587</v>
      </c>
      <c r="U72" s="655">
        <v>744750</v>
      </c>
      <c r="V72" s="655">
        <v>0</v>
      </c>
      <c r="W72" s="655">
        <v>444808</v>
      </c>
      <c r="X72" s="655">
        <v>764960</v>
      </c>
      <c r="Y72" s="655">
        <v>0</v>
      </c>
      <c r="Z72" s="655">
        <v>0</v>
      </c>
      <c r="AA72" s="655">
        <v>0</v>
      </c>
      <c r="AB72" s="655">
        <v>0</v>
      </c>
      <c r="AC72" s="655">
        <v>0</v>
      </c>
      <c r="AD72" s="655">
        <v>267967</v>
      </c>
      <c r="AE72" s="655">
        <v>36289235</v>
      </c>
      <c r="AF72" s="655">
        <v>816136</v>
      </c>
      <c r="AG72" s="655">
        <v>1633721</v>
      </c>
      <c r="AH72" s="655">
        <v>0</v>
      </c>
      <c r="AI72" s="655">
        <v>4759417</v>
      </c>
      <c r="AJ72" s="655">
        <v>5183510</v>
      </c>
      <c r="AK72" s="655">
        <v>48682019</v>
      </c>
      <c r="AL72" s="655">
        <v>44487514</v>
      </c>
      <c r="AM72" s="655">
        <v>4194505</v>
      </c>
    </row>
    <row r="73" spans="1:39" x14ac:dyDescent="0.2">
      <c r="A73" s="649">
        <v>2013</v>
      </c>
      <c r="B73" s="650">
        <v>11</v>
      </c>
      <c r="C73" s="656" t="s">
        <v>146</v>
      </c>
      <c r="D73" s="651">
        <v>1332</v>
      </c>
      <c r="E73" s="648" t="s">
        <v>1073</v>
      </c>
      <c r="F73" s="655">
        <v>4630372</v>
      </c>
      <c r="G73" s="655">
        <v>77340</v>
      </c>
      <c r="H73" s="655">
        <v>41635</v>
      </c>
      <c r="I73" s="655">
        <v>454696</v>
      </c>
      <c r="J73" s="655">
        <v>401403</v>
      </c>
      <c r="K73" s="655">
        <v>38411</v>
      </c>
      <c r="L73" s="655">
        <v>45629</v>
      </c>
      <c r="M73" s="655">
        <v>0</v>
      </c>
      <c r="N73" s="655">
        <v>216757</v>
      </c>
      <c r="O73" s="655">
        <v>18131</v>
      </c>
      <c r="P73" s="655">
        <v>38106</v>
      </c>
      <c r="Q73" s="655">
        <v>41810</v>
      </c>
      <c r="R73" s="655">
        <v>0</v>
      </c>
      <c r="S73" s="655">
        <v>17619</v>
      </c>
      <c r="T73" s="655">
        <v>2269</v>
      </c>
      <c r="U73" s="655">
        <v>102525</v>
      </c>
      <c r="V73" s="655">
        <v>0</v>
      </c>
      <c r="W73" s="655">
        <v>76479</v>
      </c>
      <c r="X73" s="655">
        <v>187318</v>
      </c>
      <c r="Y73" s="655">
        <v>0</v>
      </c>
      <c r="Z73" s="655">
        <v>0</v>
      </c>
      <c r="AA73" s="655">
        <v>0</v>
      </c>
      <c r="AB73" s="655">
        <v>0</v>
      </c>
      <c r="AC73" s="655">
        <v>0</v>
      </c>
      <c r="AD73" s="655">
        <v>50344</v>
      </c>
      <c r="AE73" s="655">
        <v>6340156</v>
      </c>
      <c r="AF73" s="655">
        <v>123021</v>
      </c>
      <c r="AG73" s="655">
        <v>313016</v>
      </c>
      <c r="AH73" s="655">
        <v>0</v>
      </c>
      <c r="AI73" s="655">
        <v>663747</v>
      </c>
      <c r="AJ73" s="655">
        <v>1361282</v>
      </c>
      <c r="AK73" s="655">
        <v>8801222</v>
      </c>
      <c r="AL73" s="655">
        <v>7401242</v>
      </c>
      <c r="AM73" s="655">
        <v>1399980</v>
      </c>
    </row>
    <row r="74" spans="1:39" x14ac:dyDescent="0.2">
      <c r="A74" s="649">
        <v>2013</v>
      </c>
      <c r="B74" s="650">
        <v>10</v>
      </c>
      <c r="C74" s="656" t="s">
        <v>147</v>
      </c>
      <c r="D74" s="651">
        <v>1337</v>
      </c>
      <c r="E74" s="648" t="s">
        <v>1074</v>
      </c>
      <c r="F74" s="655">
        <v>27051908</v>
      </c>
      <c r="G74" s="655">
        <v>0</v>
      </c>
      <c r="H74" s="655">
        <v>333896</v>
      </c>
      <c r="I74" s="655">
        <v>2766341</v>
      </c>
      <c r="J74" s="655">
        <v>2201027</v>
      </c>
      <c r="K74" s="655">
        <v>274892</v>
      </c>
      <c r="L74" s="655">
        <v>286252</v>
      </c>
      <c r="M74" s="655">
        <v>0</v>
      </c>
      <c r="N74" s="655">
        <v>1306319</v>
      </c>
      <c r="O74" s="655">
        <v>0</v>
      </c>
      <c r="P74" s="655">
        <v>227333</v>
      </c>
      <c r="Q74" s="655">
        <v>249650</v>
      </c>
      <c r="R74" s="655">
        <v>0</v>
      </c>
      <c r="S74" s="655">
        <v>120893</v>
      </c>
      <c r="T74" s="655">
        <v>14062</v>
      </c>
      <c r="U74" s="655">
        <v>1237504</v>
      </c>
      <c r="V74" s="655">
        <v>0</v>
      </c>
      <c r="W74" s="655">
        <v>384424</v>
      </c>
      <c r="X74" s="655">
        <v>914130</v>
      </c>
      <c r="Y74" s="655">
        <v>0</v>
      </c>
      <c r="Z74" s="655">
        <v>0</v>
      </c>
      <c r="AA74" s="655">
        <v>0</v>
      </c>
      <c r="AB74" s="655">
        <v>0</v>
      </c>
      <c r="AC74" s="655">
        <v>0</v>
      </c>
      <c r="AD74" s="655">
        <v>174025</v>
      </c>
      <c r="AE74" s="655">
        <v>37194606</v>
      </c>
      <c r="AF74" s="655">
        <v>681114</v>
      </c>
      <c r="AG74" s="655">
        <v>2138995</v>
      </c>
      <c r="AH74" s="655">
        <v>0</v>
      </c>
      <c r="AI74" s="655">
        <v>7153633</v>
      </c>
      <c r="AJ74" s="655">
        <v>9262494</v>
      </c>
      <c r="AK74" s="655">
        <v>56430842</v>
      </c>
      <c r="AL74" s="655">
        <v>47491844</v>
      </c>
      <c r="AM74" s="655">
        <v>8938998</v>
      </c>
    </row>
    <row r="75" spans="1:39" x14ac:dyDescent="0.2">
      <c r="A75" s="649">
        <v>2013</v>
      </c>
      <c r="B75" s="650">
        <v>11</v>
      </c>
      <c r="C75" s="656" t="s">
        <v>148</v>
      </c>
      <c r="D75" s="651">
        <v>1350</v>
      </c>
      <c r="E75" s="648" t="s">
        <v>1075</v>
      </c>
      <c r="F75" s="655">
        <v>3003501</v>
      </c>
      <c r="G75" s="655">
        <v>17920</v>
      </c>
      <c r="H75" s="655">
        <v>20817</v>
      </c>
      <c r="I75" s="655">
        <v>401527</v>
      </c>
      <c r="J75" s="655">
        <v>268203</v>
      </c>
      <c r="K75" s="655">
        <v>27042</v>
      </c>
      <c r="L75" s="655">
        <v>29555</v>
      </c>
      <c r="M75" s="655">
        <v>0</v>
      </c>
      <c r="N75" s="655">
        <v>145143</v>
      </c>
      <c r="O75" s="655">
        <v>0</v>
      </c>
      <c r="P75" s="655">
        <v>24637</v>
      </c>
      <c r="Q75" s="655">
        <v>27031</v>
      </c>
      <c r="R75" s="655">
        <v>0</v>
      </c>
      <c r="S75" s="655">
        <v>11666</v>
      </c>
      <c r="T75" s="655">
        <v>1498</v>
      </c>
      <c r="U75" s="655">
        <v>108750</v>
      </c>
      <c r="V75" s="655">
        <v>0</v>
      </c>
      <c r="W75" s="655">
        <v>48241</v>
      </c>
      <c r="X75" s="655">
        <v>0</v>
      </c>
      <c r="Y75" s="655">
        <v>0</v>
      </c>
      <c r="Z75" s="655">
        <v>0</v>
      </c>
      <c r="AA75" s="655">
        <v>0</v>
      </c>
      <c r="AB75" s="655">
        <v>0</v>
      </c>
      <c r="AC75" s="655">
        <v>0</v>
      </c>
      <c r="AD75" s="655">
        <v>29295</v>
      </c>
      <c r="AE75" s="655">
        <v>4106236</v>
      </c>
      <c r="AF75" s="655">
        <v>54009</v>
      </c>
      <c r="AG75" s="655">
        <v>221077</v>
      </c>
      <c r="AH75" s="655">
        <v>0</v>
      </c>
      <c r="AI75" s="655">
        <v>450373</v>
      </c>
      <c r="AJ75" s="655">
        <v>3767877</v>
      </c>
      <c r="AK75" s="655">
        <v>8599572</v>
      </c>
      <c r="AL75" s="655">
        <v>4956957</v>
      </c>
      <c r="AM75" s="655">
        <v>3642615</v>
      </c>
    </row>
    <row r="76" spans="1:39" x14ac:dyDescent="0.2">
      <c r="A76" s="649">
        <v>2013</v>
      </c>
      <c r="B76" s="650">
        <v>11</v>
      </c>
      <c r="C76" s="656" t="s">
        <v>149</v>
      </c>
      <c r="D76" s="651">
        <v>1359</v>
      </c>
      <c r="E76" s="648" t="s">
        <v>1076</v>
      </c>
      <c r="F76" s="655">
        <v>2895134</v>
      </c>
      <c r="G76" s="655">
        <v>0</v>
      </c>
      <c r="H76" s="655">
        <v>22578</v>
      </c>
      <c r="I76" s="655">
        <v>258972</v>
      </c>
      <c r="J76" s="655">
        <v>272145</v>
      </c>
      <c r="K76" s="655">
        <v>26813</v>
      </c>
      <c r="L76" s="655">
        <v>28360</v>
      </c>
      <c r="M76" s="655">
        <v>0</v>
      </c>
      <c r="N76" s="655">
        <v>133934</v>
      </c>
      <c r="O76" s="655">
        <v>1359</v>
      </c>
      <c r="P76" s="655">
        <v>23902</v>
      </c>
      <c r="Q76" s="655">
        <v>26225</v>
      </c>
      <c r="R76" s="655">
        <v>0</v>
      </c>
      <c r="S76" s="655">
        <v>10765</v>
      </c>
      <c r="T76" s="655">
        <v>1382</v>
      </c>
      <c r="U76" s="655">
        <v>36626</v>
      </c>
      <c r="V76" s="655">
        <v>0</v>
      </c>
      <c r="W76" s="655">
        <v>119275</v>
      </c>
      <c r="X76" s="655">
        <v>65327</v>
      </c>
      <c r="Y76" s="655">
        <v>0</v>
      </c>
      <c r="Z76" s="655">
        <v>0</v>
      </c>
      <c r="AA76" s="655">
        <v>0</v>
      </c>
      <c r="AB76" s="655">
        <v>0</v>
      </c>
      <c r="AC76" s="655">
        <v>0</v>
      </c>
      <c r="AD76" s="655">
        <v>32567</v>
      </c>
      <c r="AE76" s="655">
        <v>3890230</v>
      </c>
      <c r="AF76" s="655">
        <v>111019</v>
      </c>
      <c r="AG76" s="655">
        <v>238095</v>
      </c>
      <c r="AH76" s="655">
        <v>0</v>
      </c>
      <c r="AI76" s="655">
        <v>269142</v>
      </c>
      <c r="AJ76" s="655">
        <v>801474</v>
      </c>
      <c r="AK76" s="655">
        <v>5309960</v>
      </c>
      <c r="AL76" s="655">
        <v>5015763</v>
      </c>
      <c r="AM76" s="655">
        <v>294197</v>
      </c>
    </row>
    <row r="77" spans="1:39" x14ac:dyDescent="0.2">
      <c r="A77" s="649">
        <v>2013</v>
      </c>
      <c r="B77" s="650">
        <v>9</v>
      </c>
      <c r="C77" s="656" t="s">
        <v>150</v>
      </c>
      <c r="D77" s="651">
        <v>1368</v>
      </c>
      <c r="E77" s="648" t="s">
        <v>1077</v>
      </c>
      <c r="F77" s="655">
        <v>5393099</v>
      </c>
      <c r="G77" s="655">
        <v>201728</v>
      </c>
      <c r="H77" s="655">
        <v>201844</v>
      </c>
      <c r="I77" s="655">
        <v>898590</v>
      </c>
      <c r="J77" s="655">
        <v>510526</v>
      </c>
      <c r="K77" s="655">
        <v>61185</v>
      </c>
      <c r="L77" s="655">
        <v>63040</v>
      </c>
      <c r="M77" s="655">
        <v>0</v>
      </c>
      <c r="N77" s="655">
        <v>277648</v>
      </c>
      <c r="O77" s="655">
        <v>21425</v>
      </c>
      <c r="P77" s="655">
        <v>43979</v>
      </c>
      <c r="Q77" s="655">
        <v>47935</v>
      </c>
      <c r="R77" s="655">
        <v>0</v>
      </c>
      <c r="S77" s="655">
        <v>25395</v>
      </c>
      <c r="T77" s="655">
        <v>2986</v>
      </c>
      <c r="U77" s="655">
        <v>149482</v>
      </c>
      <c r="V77" s="655">
        <v>0</v>
      </c>
      <c r="W77" s="655">
        <v>119806</v>
      </c>
      <c r="X77" s="655">
        <v>0</v>
      </c>
      <c r="Y77" s="655">
        <v>0</v>
      </c>
      <c r="Z77" s="655">
        <v>0</v>
      </c>
      <c r="AA77" s="655">
        <v>0</v>
      </c>
      <c r="AB77" s="655">
        <v>0</v>
      </c>
      <c r="AC77" s="655">
        <v>0</v>
      </c>
      <c r="AD77" s="655">
        <v>59028</v>
      </c>
      <c r="AE77" s="655">
        <v>7959640</v>
      </c>
      <c r="AF77" s="655">
        <v>105018</v>
      </c>
      <c r="AG77" s="655">
        <v>402716</v>
      </c>
      <c r="AH77" s="655">
        <v>0</v>
      </c>
      <c r="AI77" s="655">
        <v>953888</v>
      </c>
      <c r="AJ77" s="655">
        <v>988642</v>
      </c>
      <c r="AK77" s="655">
        <v>10409904</v>
      </c>
      <c r="AL77" s="655">
        <v>10051160</v>
      </c>
      <c r="AM77" s="655">
        <v>358744</v>
      </c>
    </row>
    <row r="78" spans="1:39" x14ac:dyDescent="0.2">
      <c r="A78" s="649">
        <v>2013</v>
      </c>
      <c r="B78" s="650">
        <v>11</v>
      </c>
      <c r="C78" s="656" t="s">
        <v>151</v>
      </c>
      <c r="D78" s="651">
        <v>1413</v>
      </c>
      <c r="E78" s="648" t="s">
        <v>638</v>
      </c>
      <c r="F78" s="655">
        <v>2622122</v>
      </c>
      <c r="G78" s="655">
        <v>35076</v>
      </c>
      <c r="H78" s="655">
        <v>82949</v>
      </c>
      <c r="I78" s="655">
        <v>416834</v>
      </c>
      <c r="J78" s="655">
        <v>254646</v>
      </c>
      <c r="K78" s="655">
        <v>27024</v>
      </c>
      <c r="L78" s="655">
        <v>28962</v>
      </c>
      <c r="M78" s="655">
        <v>0</v>
      </c>
      <c r="N78" s="655">
        <v>126442</v>
      </c>
      <c r="O78" s="655">
        <v>9648</v>
      </c>
      <c r="P78" s="655">
        <v>20914</v>
      </c>
      <c r="Q78" s="655">
        <v>22947</v>
      </c>
      <c r="R78" s="655">
        <v>0</v>
      </c>
      <c r="S78" s="655">
        <v>10173</v>
      </c>
      <c r="T78" s="655">
        <v>1310</v>
      </c>
      <c r="U78" s="655">
        <v>0</v>
      </c>
      <c r="V78" s="655">
        <v>0</v>
      </c>
      <c r="W78" s="655">
        <v>41181</v>
      </c>
      <c r="X78" s="655">
        <v>0</v>
      </c>
      <c r="Y78" s="655">
        <v>89676</v>
      </c>
      <c r="Z78" s="655">
        <v>0</v>
      </c>
      <c r="AA78" s="655">
        <v>0</v>
      </c>
      <c r="AB78" s="655">
        <v>0</v>
      </c>
      <c r="AC78" s="655">
        <v>0</v>
      </c>
      <c r="AD78" s="655">
        <v>29622</v>
      </c>
      <c r="AE78" s="655">
        <v>3580930</v>
      </c>
      <c r="AF78" s="655">
        <v>84014</v>
      </c>
      <c r="AG78" s="655">
        <v>220627</v>
      </c>
      <c r="AH78" s="655">
        <v>0</v>
      </c>
      <c r="AI78" s="655">
        <v>382735</v>
      </c>
      <c r="AJ78" s="655">
        <v>606588</v>
      </c>
      <c r="AK78" s="655">
        <v>4874894</v>
      </c>
      <c r="AL78" s="655">
        <v>4534608</v>
      </c>
      <c r="AM78" s="655">
        <v>340286</v>
      </c>
    </row>
    <row r="79" spans="1:39" x14ac:dyDescent="0.2">
      <c r="A79" s="649">
        <v>2013</v>
      </c>
      <c r="B79" s="650">
        <v>13</v>
      </c>
      <c r="C79" s="656" t="s">
        <v>152</v>
      </c>
      <c r="D79" s="651">
        <v>1431</v>
      </c>
      <c r="E79" s="648" t="s">
        <v>1078</v>
      </c>
      <c r="F79" s="655">
        <v>2607898</v>
      </c>
      <c r="G79" s="655">
        <v>87287</v>
      </c>
      <c r="H79" s="655">
        <v>127214</v>
      </c>
      <c r="I79" s="655">
        <v>328830</v>
      </c>
      <c r="J79" s="655">
        <v>265518</v>
      </c>
      <c r="K79" s="655">
        <v>26388</v>
      </c>
      <c r="L79" s="655">
        <v>31577</v>
      </c>
      <c r="M79" s="655">
        <v>0</v>
      </c>
      <c r="N79" s="655">
        <v>128123</v>
      </c>
      <c r="O79" s="655">
        <v>23427</v>
      </c>
      <c r="P79" s="655">
        <v>21166</v>
      </c>
      <c r="Q79" s="655">
        <v>23412</v>
      </c>
      <c r="R79" s="655">
        <v>0</v>
      </c>
      <c r="S79" s="655">
        <v>13559</v>
      </c>
      <c r="T79" s="655">
        <v>1429</v>
      </c>
      <c r="U79" s="655">
        <v>105937</v>
      </c>
      <c r="V79" s="655">
        <v>0</v>
      </c>
      <c r="W79" s="655">
        <v>29415</v>
      </c>
      <c r="X79" s="655">
        <v>296727</v>
      </c>
      <c r="Y79" s="655">
        <v>0</v>
      </c>
      <c r="Z79" s="655">
        <v>0</v>
      </c>
      <c r="AA79" s="655">
        <v>0</v>
      </c>
      <c r="AB79" s="655">
        <v>0</v>
      </c>
      <c r="AC79" s="655">
        <v>0</v>
      </c>
      <c r="AD79" s="655">
        <v>35372</v>
      </c>
      <c r="AE79" s="655">
        <v>4082535</v>
      </c>
      <c r="AF79" s="655">
        <v>108018</v>
      </c>
      <c r="AG79" s="655">
        <v>219658</v>
      </c>
      <c r="AH79" s="655">
        <v>0</v>
      </c>
      <c r="AI79" s="655">
        <v>634915</v>
      </c>
      <c r="AJ79" s="655">
        <v>3481718</v>
      </c>
      <c r="AK79" s="655">
        <v>8526844</v>
      </c>
      <c r="AL79" s="655">
        <v>5415814</v>
      </c>
      <c r="AM79" s="655">
        <v>3111030</v>
      </c>
    </row>
    <row r="80" spans="1:39" x14ac:dyDescent="0.2">
      <c r="A80" s="649">
        <v>2013</v>
      </c>
      <c r="B80" s="650">
        <v>13</v>
      </c>
      <c r="C80" s="656" t="s">
        <v>153</v>
      </c>
      <c r="D80" s="651">
        <v>1476</v>
      </c>
      <c r="E80" s="648" t="s">
        <v>1079</v>
      </c>
      <c r="F80" s="655">
        <v>54829703</v>
      </c>
      <c r="G80" s="655">
        <v>22411</v>
      </c>
      <c r="H80" s="655">
        <v>989914</v>
      </c>
      <c r="I80" s="655">
        <v>9759164</v>
      </c>
      <c r="J80" s="655">
        <v>4465414</v>
      </c>
      <c r="K80" s="655">
        <v>519934</v>
      </c>
      <c r="L80" s="655">
        <v>677648</v>
      </c>
      <c r="M80" s="655">
        <v>0</v>
      </c>
      <c r="N80" s="655">
        <v>2807647</v>
      </c>
      <c r="O80" s="655">
        <v>1830</v>
      </c>
      <c r="P80" s="655">
        <v>464139</v>
      </c>
      <c r="Q80" s="655">
        <v>513378</v>
      </c>
      <c r="R80" s="655">
        <v>0</v>
      </c>
      <c r="S80" s="655">
        <v>288362</v>
      </c>
      <c r="T80" s="655">
        <v>30432</v>
      </c>
      <c r="U80" s="655">
        <v>2645182</v>
      </c>
      <c r="V80" s="655">
        <v>0</v>
      </c>
      <c r="W80" s="655">
        <v>1032484</v>
      </c>
      <c r="X80" s="655">
        <v>0</v>
      </c>
      <c r="Y80" s="655">
        <v>0</v>
      </c>
      <c r="Z80" s="655">
        <v>0</v>
      </c>
      <c r="AA80" s="655">
        <v>0</v>
      </c>
      <c r="AB80" s="655">
        <v>0</v>
      </c>
      <c r="AC80" s="655">
        <v>0</v>
      </c>
      <c r="AD80" s="655">
        <v>550872</v>
      </c>
      <c r="AE80" s="655">
        <v>78496770</v>
      </c>
      <c r="AF80" s="655">
        <v>1572650</v>
      </c>
      <c r="AG80" s="655">
        <v>805113</v>
      </c>
      <c r="AH80" s="655">
        <v>0</v>
      </c>
      <c r="AI80" s="655">
        <v>13028241</v>
      </c>
      <c r="AJ80" s="655">
        <v>18410005</v>
      </c>
      <c r="AK80" s="655">
        <v>112312779</v>
      </c>
      <c r="AL80" s="655">
        <v>99335568</v>
      </c>
      <c r="AM80" s="655">
        <v>12977211</v>
      </c>
    </row>
    <row r="81" spans="1:39" x14ac:dyDescent="0.2">
      <c r="A81" s="649">
        <v>2013</v>
      </c>
      <c r="B81" s="650">
        <v>13</v>
      </c>
      <c r="C81" s="656" t="s">
        <v>154</v>
      </c>
      <c r="D81" s="651">
        <v>1503</v>
      </c>
      <c r="E81" s="648" t="s">
        <v>1080</v>
      </c>
      <c r="F81" s="655">
        <v>8924735</v>
      </c>
      <c r="G81" s="655">
        <v>44011</v>
      </c>
      <c r="H81" s="655">
        <v>652432</v>
      </c>
      <c r="I81" s="655">
        <v>1122127</v>
      </c>
      <c r="J81" s="655">
        <v>791011</v>
      </c>
      <c r="K81" s="655">
        <v>86042</v>
      </c>
      <c r="L81" s="655">
        <v>99060</v>
      </c>
      <c r="M81" s="655">
        <v>0</v>
      </c>
      <c r="N81" s="655">
        <v>441013</v>
      </c>
      <c r="O81" s="655">
        <v>3561</v>
      </c>
      <c r="P81" s="655">
        <v>79902</v>
      </c>
      <c r="Q81" s="655">
        <v>88379</v>
      </c>
      <c r="R81" s="655">
        <v>0</v>
      </c>
      <c r="S81" s="655">
        <v>45516</v>
      </c>
      <c r="T81" s="655">
        <v>4803</v>
      </c>
      <c r="U81" s="655">
        <v>332734</v>
      </c>
      <c r="V81" s="655">
        <v>0</v>
      </c>
      <c r="W81" s="655">
        <v>135733</v>
      </c>
      <c r="X81" s="655">
        <v>535640</v>
      </c>
      <c r="Y81" s="655">
        <v>0</v>
      </c>
      <c r="Z81" s="655">
        <v>0</v>
      </c>
      <c r="AA81" s="655">
        <v>0</v>
      </c>
      <c r="AB81" s="655">
        <v>0</v>
      </c>
      <c r="AC81" s="655">
        <v>0</v>
      </c>
      <c r="AD81" s="655">
        <v>90226</v>
      </c>
      <c r="AE81" s="655">
        <v>13296473</v>
      </c>
      <c r="AF81" s="655">
        <v>416893</v>
      </c>
      <c r="AG81" s="655">
        <v>49946</v>
      </c>
      <c r="AH81" s="655">
        <v>0</v>
      </c>
      <c r="AI81" s="655">
        <v>1811409</v>
      </c>
      <c r="AJ81" s="655">
        <v>5247695</v>
      </c>
      <c r="AK81" s="655">
        <v>20822416</v>
      </c>
      <c r="AL81" s="655">
        <v>16705364</v>
      </c>
      <c r="AM81" s="655">
        <v>4117052</v>
      </c>
    </row>
    <row r="82" spans="1:39" x14ac:dyDescent="0.2">
      <c r="A82" s="649">
        <v>2013</v>
      </c>
      <c r="B82" s="650">
        <v>11</v>
      </c>
      <c r="C82" s="656" t="s">
        <v>155</v>
      </c>
      <c r="D82" s="651">
        <v>1576</v>
      </c>
      <c r="E82" s="648" t="s">
        <v>1081</v>
      </c>
      <c r="F82" s="655">
        <v>11895782</v>
      </c>
      <c r="G82" s="655">
        <v>0</v>
      </c>
      <c r="H82" s="655">
        <v>113137</v>
      </c>
      <c r="I82" s="655">
        <v>943177</v>
      </c>
      <c r="J82" s="655">
        <v>973111</v>
      </c>
      <c r="K82" s="655">
        <v>101613</v>
      </c>
      <c r="L82" s="655">
        <v>114894</v>
      </c>
      <c r="M82" s="655">
        <v>0</v>
      </c>
      <c r="N82" s="655">
        <v>547276</v>
      </c>
      <c r="O82" s="655">
        <v>0</v>
      </c>
      <c r="P82" s="655">
        <v>100801</v>
      </c>
      <c r="Q82" s="655">
        <v>110597</v>
      </c>
      <c r="R82" s="655">
        <v>0</v>
      </c>
      <c r="S82" s="655">
        <v>43988</v>
      </c>
      <c r="T82" s="655">
        <v>5648</v>
      </c>
      <c r="U82" s="655">
        <v>594789</v>
      </c>
      <c r="V82" s="655">
        <v>0</v>
      </c>
      <c r="W82" s="655">
        <v>945158</v>
      </c>
      <c r="X82" s="655">
        <v>483998</v>
      </c>
      <c r="Y82" s="655">
        <v>0</v>
      </c>
      <c r="Z82" s="655">
        <v>0</v>
      </c>
      <c r="AA82" s="655">
        <v>0</v>
      </c>
      <c r="AB82" s="655">
        <v>0</v>
      </c>
      <c r="AC82" s="655">
        <v>0</v>
      </c>
      <c r="AD82" s="655">
        <v>78960</v>
      </c>
      <c r="AE82" s="655">
        <v>16895009</v>
      </c>
      <c r="AF82" s="655">
        <v>459077</v>
      </c>
      <c r="AG82" s="655">
        <v>903247</v>
      </c>
      <c r="AH82" s="655">
        <v>0</v>
      </c>
      <c r="AI82" s="655">
        <v>2928125</v>
      </c>
      <c r="AJ82" s="655">
        <v>7779443</v>
      </c>
      <c r="AK82" s="655">
        <v>28964901</v>
      </c>
      <c r="AL82" s="655">
        <v>20264223</v>
      </c>
      <c r="AM82" s="655">
        <v>8700678</v>
      </c>
    </row>
    <row r="83" spans="1:39" x14ac:dyDescent="0.2">
      <c r="A83" s="649">
        <v>2013</v>
      </c>
      <c r="B83" s="650">
        <v>15</v>
      </c>
      <c r="C83" s="656" t="s">
        <v>156</v>
      </c>
      <c r="D83" s="651">
        <v>1602</v>
      </c>
      <c r="E83" s="648" t="s">
        <v>1082</v>
      </c>
      <c r="F83" s="655">
        <v>2873279</v>
      </c>
      <c r="G83" s="655">
        <v>0</v>
      </c>
      <c r="H83" s="655">
        <v>27143</v>
      </c>
      <c r="I83" s="655">
        <v>274846</v>
      </c>
      <c r="J83" s="655">
        <v>254779</v>
      </c>
      <c r="K83" s="655">
        <v>27512</v>
      </c>
      <c r="L83" s="655">
        <v>30758</v>
      </c>
      <c r="M83" s="655">
        <v>0</v>
      </c>
      <c r="N83" s="655">
        <v>137036</v>
      </c>
      <c r="O83" s="655">
        <v>158</v>
      </c>
      <c r="P83" s="655">
        <v>23804</v>
      </c>
      <c r="Q83" s="655">
        <v>26137</v>
      </c>
      <c r="R83" s="655">
        <v>0</v>
      </c>
      <c r="S83" s="655">
        <v>13697</v>
      </c>
      <c r="T83" s="655">
        <v>1474</v>
      </c>
      <c r="U83" s="655">
        <v>102641</v>
      </c>
      <c r="V83" s="655">
        <v>0</v>
      </c>
      <c r="W83" s="655">
        <v>29910</v>
      </c>
      <c r="X83" s="655">
        <v>39473</v>
      </c>
      <c r="Y83" s="655">
        <v>0</v>
      </c>
      <c r="Z83" s="655">
        <v>0</v>
      </c>
      <c r="AA83" s="655">
        <v>0</v>
      </c>
      <c r="AB83" s="655">
        <v>0</v>
      </c>
      <c r="AC83" s="655">
        <v>0</v>
      </c>
      <c r="AD83" s="655">
        <v>25384</v>
      </c>
      <c r="AE83" s="655">
        <v>3837263</v>
      </c>
      <c r="AF83" s="655">
        <v>111019</v>
      </c>
      <c r="AG83" s="655">
        <v>194923</v>
      </c>
      <c r="AH83" s="655">
        <v>0</v>
      </c>
      <c r="AI83" s="655">
        <v>1338602</v>
      </c>
      <c r="AJ83" s="655">
        <v>1105668</v>
      </c>
      <c r="AK83" s="655">
        <v>6587475</v>
      </c>
      <c r="AL83" s="655">
        <v>5599347</v>
      </c>
      <c r="AM83" s="655">
        <v>988128</v>
      </c>
    </row>
    <row r="84" spans="1:39" x14ac:dyDescent="0.2">
      <c r="A84" s="649">
        <v>2013</v>
      </c>
      <c r="B84" s="650">
        <v>9</v>
      </c>
      <c r="C84" s="656" t="s">
        <v>157</v>
      </c>
      <c r="D84" s="651">
        <v>1611</v>
      </c>
      <c r="E84" s="648" t="s">
        <v>1083</v>
      </c>
      <c r="F84" s="655">
        <v>96803331</v>
      </c>
      <c r="G84" s="655">
        <v>0</v>
      </c>
      <c r="H84" s="655">
        <v>1389268</v>
      </c>
      <c r="I84" s="655">
        <v>13844727</v>
      </c>
      <c r="J84" s="655">
        <v>8142062</v>
      </c>
      <c r="K84" s="655">
        <v>1013523</v>
      </c>
      <c r="L84" s="655">
        <v>1203871</v>
      </c>
      <c r="M84" s="655">
        <v>0</v>
      </c>
      <c r="N84" s="655">
        <v>4882823</v>
      </c>
      <c r="O84" s="655">
        <v>0</v>
      </c>
      <c r="P84" s="655">
        <v>874543</v>
      </c>
      <c r="Q84" s="655">
        <v>953202</v>
      </c>
      <c r="R84" s="655">
        <v>0</v>
      </c>
      <c r="S84" s="655">
        <v>434774</v>
      </c>
      <c r="T84" s="655">
        <v>51074</v>
      </c>
      <c r="U84" s="655">
        <v>4840167</v>
      </c>
      <c r="V84" s="655">
        <v>833322</v>
      </c>
      <c r="W84" s="655">
        <v>986819</v>
      </c>
      <c r="X84" s="655">
        <v>2811</v>
      </c>
      <c r="Y84" s="655">
        <v>0</v>
      </c>
      <c r="Z84" s="655">
        <v>0</v>
      </c>
      <c r="AA84" s="655">
        <v>0</v>
      </c>
      <c r="AB84" s="655">
        <v>0</v>
      </c>
      <c r="AC84" s="655">
        <v>0</v>
      </c>
      <c r="AD84" s="655">
        <v>977725</v>
      </c>
      <c r="AE84" s="655">
        <v>135278592</v>
      </c>
      <c r="AF84" s="655">
        <v>2358688</v>
      </c>
      <c r="AG84" s="655">
        <v>6876909</v>
      </c>
      <c r="AH84" s="655">
        <v>0</v>
      </c>
      <c r="AI84" s="655">
        <v>22360323</v>
      </c>
      <c r="AJ84" s="655">
        <v>8903487</v>
      </c>
      <c r="AK84" s="655">
        <v>175777999</v>
      </c>
      <c r="AL84" s="655">
        <v>165004324</v>
      </c>
      <c r="AM84" s="655">
        <v>10773675</v>
      </c>
    </row>
    <row r="85" spans="1:39" x14ac:dyDescent="0.2">
      <c r="A85" s="649">
        <v>2013</v>
      </c>
      <c r="B85" s="650">
        <v>15</v>
      </c>
      <c r="C85" s="656" t="s">
        <v>158</v>
      </c>
      <c r="D85" s="651">
        <v>1619</v>
      </c>
      <c r="E85" s="648" t="s">
        <v>1084</v>
      </c>
      <c r="F85" s="655">
        <v>7160393</v>
      </c>
      <c r="G85" s="655">
        <v>0</v>
      </c>
      <c r="H85" s="655">
        <v>67457</v>
      </c>
      <c r="I85" s="655">
        <v>620323</v>
      </c>
      <c r="J85" s="655">
        <v>622099</v>
      </c>
      <c r="K85" s="655">
        <v>68287</v>
      </c>
      <c r="L85" s="655">
        <v>68239</v>
      </c>
      <c r="M85" s="655">
        <v>0</v>
      </c>
      <c r="N85" s="655">
        <v>338690</v>
      </c>
      <c r="O85" s="655">
        <v>0</v>
      </c>
      <c r="P85" s="655">
        <v>58552</v>
      </c>
      <c r="Q85" s="655">
        <v>64291</v>
      </c>
      <c r="R85" s="655">
        <v>0</v>
      </c>
      <c r="S85" s="655">
        <v>33853</v>
      </c>
      <c r="T85" s="655">
        <v>3643</v>
      </c>
      <c r="U85" s="655">
        <v>127300</v>
      </c>
      <c r="V85" s="655">
        <v>0</v>
      </c>
      <c r="W85" s="655">
        <v>41477</v>
      </c>
      <c r="X85" s="655">
        <v>165447</v>
      </c>
      <c r="Y85" s="655">
        <v>0</v>
      </c>
      <c r="Z85" s="655">
        <v>0</v>
      </c>
      <c r="AA85" s="655">
        <v>0</v>
      </c>
      <c r="AB85" s="655">
        <v>0</v>
      </c>
      <c r="AC85" s="655">
        <v>0</v>
      </c>
      <c r="AD85" s="655">
        <v>68904</v>
      </c>
      <c r="AE85" s="655">
        <v>9371147</v>
      </c>
      <c r="AF85" s="655">
        <v>117020</v>
      </c>
      <c r="AG85" s="655">
        <v>496788</v>
      </c>
      <c r="AH85" s="655">
        <v>0</v>
      </c>
      <c r="AI85" s="655">
        <v>1465395</v>
      </c>
      <c r="AJ85" s="655">
        <v>4067703</v>
      </c>
      <c r="AK85" s="655">
        <v>15518053</v>
      </c>
      <c r="AL85" s="655">
        <v>11599075</v>
      </c>
      <c r="AM85" s="655">
        <v>3918978</v>
      </c>
    </row>
    <row r="86" spans="1:39" x14ac:dyDescent="0.2">
      <c r="A86" s="649">
        <v>2013</v>
      </c>
      <c r="B86" s="650">
        <v>1</v>
      </c>
      <c r="C86" s="656" t="s">
        <v>159</v>
      </c>
      <c r="D86" s="651">
        <v>1638</v>
      </c>
      <c r="E86" s="648" t="s">
        <v>1085</v>
      </c>
      <c r="F86" s="655">
        <v>8382504</v>
      </c>
      <c r="G86" s="655">
        <v>170269</v>
      </c>
      <c r="H86" s="655">
        <v>99440</v>
      </c>
      <c r="I86" s="655">
        <v>813408</v>
      </c>
      <c r="J86" s="655">
        <v>738980</v>
      </c>
      <c r="K86" s="655">
        <v>90683</v>
      </c>
      <c r="L86" s="655">
        <v>79770</v>
      </c>
      <c r="M86" s="655">
        <v>0</v>
      </c>
      <c r="N86" s="655">
        <v>425106</v>
      </c>
      <c r="O86" s="655">
        <v>8975</v>
      </c>
      <c r="P86" s="655">
        <v>74712</v>
      </c>
      <c r="Q86" s="655">
        <v>83442</v>
      </c>
      <c r="R86" s="655">
        <v>0</v>
      </c>
      <c r="S86" s="655">
        <v>42551</v>
      </c>
      <c r="T86" s="655">
        <v>4518</v>
      </c>
      <c r="U86" s="655">
        <v>419125</v>
      </c>
      <c r="V86" s="655">
        <v>0</v>
      </c>
      <c r="W86" s="655">
        <v>157353</v>
      </c>
      <c r="X86" s="655">
        <v>0</v>
      </c>
      <c r="Y86" s="655">
        <v>0</v>
      </c>
      <c r="Z86" s="655">
        <v>0</v>
      </c>
      <c r="AA86" s="655">
        <v>0</v>
      </c>
      <c r="AB86" s="655">
        <v>0</v>
      </c>
      <c r="AC86" s="655">
        <v>5897</v>
      </c>
      <c r="AD86" s="655">
        <v>91551</v>
      </c>
      <c r="AE86" s="655">
        <v>11505182</v>
      </c>
      <c r="AF86" s="655">
        <v>332997</v>
      </c>
      <c r="AG86" s="655">
        <v>683537</v>
      </c>
      <c r="AH86" s="655">
        <v>0</v>
      </c>
      <c r="AI86" s="655">
        <v>4214149</v>
      </c>
      <c r="AJ86" s="655">
        <v>2894965</v>
      </c>
      <c r="AK86" s="655">
        <v>19630830</v>
      </c>
      <c r="AL86" s="655">
        <v>16673551</v>
      </c>
      <c r="AM86" s="655">
        <v>2957279</v>
      </c>
    </row>
    <row r="87" spans="1:39" x14ac:dyDescent="0.2">
      <c r="A87" s="649">
        <v>2013</v>
      </c>
      <c r="B87" s="650">
        <v>9</v>
      </c>
      <c r="C87" s="656" t="s">
        <v>160</v>
      </c>
      <c r="D87" s="651">
        <v>1675</v>
      </c>
      <c r="E87" s="648" t="s">
        <v>1086</v>
      </c>
      <c r="F87" s="655">
        <v>1348221</v>
      </c>
      <c r="G87" s="655">
        <v>49875</v>
      </c>
      <c r="H87" s="655">
        <v>25618</v>
      </c>
      <c r="I87" s="655">
        <v>174225</v>
      </c>
      <c r="J87" s="655">
        <v>100908</v>
      </c>
      <c r="K87" s="655">
        <v>7742</v>
      </c>
      <c r="L87" s="655">
        <v>13484</v>
      </c>
      <c r="M87" s="655">
        <v>0</v>
      </c>
      <c r="N87" s="655">
        <v>65281</v>
      </c>
      <c r="O87" s="655">
        <v>9732</v>
      </c>
      <c r="P87" s="655">
        <v>10762</v>
      </c>
      <c r="Q87" s="655">
        <v>11730</v>
      </c>
      <c r="R87" s="655">
        <v>0</v>
      </c>
      <c r="S87" s="655">
        <v>5990</v>
      </c>
      <c r="T87" s="655">
        <v>704</v>
      </c>
      <c r="U87" s="655">
        <v>0</v>
      </c>
      <c r="V87" s="655">
        <v>0</v>
      </c>
      <c r="W87" s="655">
        <v>0</v>
      </c>
      <c r="X87" s="655">
        <v>0</v>
      </c>
      <c r="Y87" s="655">
        <v>30448</v>
      </c>
      <c r="Z87" s="655">
        <v>0</v>
      </c>
      <c r="AA87" s="655">
        <v>0</v>
      </c>
      <c r="AB87" s="655">
        <v>0</v>
      </c>
      <c r="AC87" s="655">
        <v>0</v>
      </c>
      <c r="AD87" s="655">
        <v>16044</v>
      </c>
      <c r="AE87" s="655">
        <v>1777780</v>
      </c>
      <c r="AF87" s="655">
        <v>63011</v>
      </c>
      <c r="AG87" s="655">
        <v>108716</v>
      </c>
      <c r="AH87" s="655">
        <v>160781</v>
      </c>
      <c r="AI87" s="655">
        <v>405536</v>
      </c>
      <c r="AJ87" s="655">
        <v>4269831</v>
      </c>
      <c r="AK87" s="655">
        <v>6785655</v>
      </c>
      <c r="AL87" s="655">
        <v>2341325</v>
      </c>
      <c r="AM87" s="655">
        <v>4444330</v>
      </c>
    </row>
    <row r="88" spans="1:39" x14ac:dyDescent="0.2">
      <c r="A88" s="649">
        <v>2013</v>
      </c>
      <c r="B88" s="650">
        <v>12</v>
      </c>
      <c r="C88" s="656" t="s">
        <v>161</v>
      </c>
      <c r="D88" s="651">
        <v>1701</v>
      </c>
      <c r="E88" s="648" t="s">
        <v>1087</v>
      </c>
      <c r="F88" s="655">
        <v>12192832</v>
      </c>
      <c r="G88" s="655">
        <v>0</v>
      </c>
      <c r="H88" s="655">
        <v>1243455</v>
      </c>
      <c r="I88" s="655">
        <v>1548738</v>
      </c>
      <c r="J88" s="655">
        <v>978535</v>
      </c>
      <c r="K88" s="655">
        <v>120750</v>
      </c>
      <c r="L88" s="655">
        <v>149459</v>
      </c>
      <c r="M88" s="655">
        <v>0</v>
      </c>
      <c r="N88" s="655">
        <v>619275</v>
      </c>
      <c r="O88" s="655">
        <v>0</v>
      </c>
      <c r="P88" s="655">
        <v>107473</v>
      </c>
      <c r="Q88" s="655">
        <v>120812</v>
      </c>
      <c r="R88" s="655">
        <v>0</v>
      </c>
      <c r="S88" s="655">
        <v>62102</v>
      </c>
      <c r="T88" s="655">
        <v>7442</v>
      </c>
      <c r="U88" s="655">
        <v>0</v>
      </c>
      <c r="V88" s="655">
        <v>0</v>
      </c>
      <c r="W88" s="655">
        <v>894149</v>
      </c>
      <c r="X88" s="655">
        <v>0</v>
      </c>
      <c r="Y88" s="655">
        <v>0</v>
      </c>
      <c r="Z88" s="655">
        <v>0</v>
      </c>
      <c r="AA88" s="655">
        <v>0</v>
      </c>
      <c r="AB88" s="655">
        <v>0</v>
      </c>
      <c r="AC88" s="655">
        <v>-11060</v>
      </c>
      <c r="AD88" s="655">
        <v>95218</v>
      </c>
      <c r="AE88" s="655">
        <v>17938744</v>
      </c>
      <c r="AF88" s="655">
        <v>222037</v>
      </c>
      <c r="AG88" s="655">
        <v>678409</v>
      </c>
      <c r="AH88" s="655">
        <v>0</v>
      </c>
      <c r="AI88" s="655">
        <v>2612271</v>
      </c>
      <c r="AJ88" s="655">
        <v>6097109</v>
      </c>
      <c r="AK88" s="655">
        <v>27548570</v>
      </c>
      <c r="AL88" s="655">
        <v>21130105</v>
      </c>
      <c r="AM88" s="655">
        <v>6418465</v>
      </c>
    </row>
    <row r="89" spans="1:39" x14ac:dyDescent="0.2">
      <c r="A89" s="649">
        <v>2013</v>
      </c>
      <c r="B89" s="650">
        <v>7</v>
      </c>
      <c r="C89" s="656" t="s">
        <v>162</v>
      </c>
      <c r="D89" s="651">
        <v>1719</v>
      </c>
      <c r="E89" s="648" t="s">
        <v>1088</v>
      </c>
      <c r="F89" s="655">
        <v>4407134</v>
      </c>
      <c r="G89" s="655">
        <v>0</v>
      </c>
      <c r="H89" s="655">
        <v>63467</v>
      </c>
      <c r="I89" s="655">
        <v>530428</v>
      </c>
      <c r="J89" s="655">
        <v>382711</v>
      </c>
      <c r="K89" s="655">
        <v>35516</v>
      </c>
      <c r="L89" s="655">
        <v>34502</v>
      </c>
      <c r="M89" s="655">
        <v>0</v>
      </c>
      <c r="N89" s="655">
        <v>219833</v>
      </c>
      <c r="O89" s="655">
        <v>0</v>
      </c>
      <c r="P89" s="655">
        <v>36712</v>
      </c>
      <c r="Q89" s="655">
        <v>41043</v>
      </c>
      <c r="R89" s="655">
        <v>0</v>
      </c>
      <c r="S89" s="655">
        <v>28394</v>
      </c>
      <c r="T89" s="655">
        <v>3258</v>
      </c>
      <c r="U89" s="655">
        <v>0</v>
      </c>
      <c r="V89" s="655">
        <v>0</v>
      </c>
      <c r="W89" s="655">
        <v>23532</v>
      </c>
      <c r="X89" s="655">
        <v>0</v>
      </c>
      <c r="Y89" s="655">
        <v>104458</v>
      </c>
      <c r="Z89" s="655">
        <v>0</v>
      </c>
      <c r="AA89" s="655">
        <v>0</v>
      </c>
      <c r="AB89" s="655">
        <v>0</v>
      </c>
      <c r="AC89" s="655">
        <v>0</v>
      </c>
      <c r="AD89" s="655">
        <v>40076</v>
      </c>
      <c r="AE89" s="655">
        <v>5661996</v>
      </c>
      <c r="AF89" s="655">
        <v>66011</v>
      </c>
      <c r="AG89" s="655">
        <v>309336</v>
      </c>
      <c r="AH89" s="655">
        <v>0</v>
      </c>
      <c r="AI89" s="655">
        <v>794342</v>
      </c>
      <c r="AJ89" s="655">
        <v>1821258</v>
      </c>
      <c r="AK89" s="655">
        <v>8652943</v>
      </c>
      <c r="AL89" s="655">
        <v>7182073</v>
      </c>
      <c r="AM89" s="655">
        <v>1470870</v>
      </c>
    </row>
    <row r="90" spans="1:39" x14ac:dyDescent="0.2">
      <c r="A90" s="649">
        <v>2013</v>
      </c>
      <c r="B90" s="650">
        <v>11</v>
      </c>
      <c r="C90" s="656" t="s">
        <v>163</v>
      </c>
      <c r="D90" s="651">
        <v>1737</v>
      </c>
      <c r="E90" s="648" t="s">
        <v>1089</v>
      </c>
      <c r="F90" s="655">
        <v>191454495</v>
      </c>
      <c r="G90" s="655">
        <v>0</v>
      </c>
      <c r="H90" s="655">
        <v>8165257</v>
      </c>
      <c r="I90" s="655">
        <v>39127935</v>
      </c>
      <c r="J90" s="655">
        <v>17202513</v>
      </c>
      <c r="K90" s="655">
        <v>2164707</v>
      </c>
      <c r="L90" s="655">
        <v>2635062</v>
      </c>
      <c r="M90" s="655">
        <v>0</v>
      </c>
      <c r="N90" s="655">
        <v>9718732</v>
      </c>
      <c r="O90" s="655">
        <v>0</v>
      </c>
      <c r="P90" s="655">
        <v>1656553</v>
      </c>
      <c r="Q90" s="655">
        <v>1817541</v>
      </c>
      <c r="R90" s="655">
        <v>0</v>
      </c>
      <c r="S90" s="655">
        <v>781146</v>
      </c>
      <c r="T90" s="655">
        <v>100303</v>
      </c>
      <c r="U90" s="655">
        <v>9491427</v>
      </c>
      <c r="V90" s="655">
        <v>0</v>
      </c>
      <c r="W90" s="655">
        <v>4616567</v>
      </c>
      <c r="X90" s="655">
        <v>0</v>
      </c>
      <c r="Y90" s="655">
        <v>0</v>
      </c>
      <c r="Z90" s="655">
        <v>0</v>
      </c>
      <c r="AA90" s="655">
        <v>0</v>
      </c>
      <c r="AB90" s="655">
        <v>0</v>
      </c>
      <c r="AC90" s="655">
        <v>149787</v>
      </c>
      <c r="AD90" s="655">
        <v>1838868</v>
      </c>
      <c r="AE90" s="655">
        <v>287243157</v>
      </c>
      <c r="AF90" s="655">
        <v>3342557</v>
      </c>
      <c r="AG90" s="655">
        <v>12400508</v>
      </c>
      <c r="AH90" s="655">
        <v>0</v>
      </c>
      <c r="AI90" s="655">
        <v>59122797</v>
      </c>
      <c r="AJ90" s="655">
        <v>71884791</v>
      </c>
      <c r="AK90" s="655">
        <v>433993810</v>
      </c>
      <c r="AL90" s="655">
        <v>359417673</v>
      </c>
      <c r="AM90" s="655">
        <v>74576137</v>
      </c>
    </row>
    <row r="91" spans="1:39" x14ac:dyDescent="0.2">
      <c r="A91" s="649">
        <v>2013</v>
      </c>
      <c r="B91" s="650">
        <v>13</v>
      </c>
      <c r="C91" s="656" t="s">
        <v>164</v>
      </c>
      <c r="D91" s="651">
        <v>1782</v>
      </c>
      <c r="E91" s="648" t="s">
        <v>1090</v>
      </c>
      <c r="F91" s="655">
        <v>601200</v>
      </c>
      <c r="G91" s="655">
        <v>1412</v>
      </c>
      <c r="H91" s="655">
        <v>21781</v>
      </c>
      <c r="I91" s="655">
        <v>93727</v>
      </c>
      <c r="J91" s="655">
        <v>78030</v>
      </c>
      <c r="K91" s="655">
        <v>8727</v>
      </c>
      <c r="L91" s="655">
        <v>9624</v>
      </c>
      <c r="M91" s="655">
        <v>0</v>
      </c>
      <c r="N91" s="655">
        <v>30500</v>
      </c>
      <c r="O91" s="655">
        <v>2015</v>
      </c>
      <c r="P91" s="655">
        <v>5009</v>
      </c>
      <c r="Q91" s="655">
        <v>5541</v>
      </c>
      <c r="R91" s="655">
        <v>0</v>
      </c>
      <c r="S91" s="655">
        <v>3132</v>
      </c>
      <c r="T91" s="655">
        <v>331</v>
      </c>
      <c r="U91" s="655">
        <v>30060</v>
      </c>
      <c r="V91" s="655">
        <v>0</v>
      </c>
      <c r="W91" s="655">
        <v>72144</v>
      </c>
      <c r="X91" s="655">
        <v>36058</v>
      </c>
      <c r="Y91" s="655">
        <v>0</v>
      </c>
      <c r="Z91" s="655">
        <v>0</v>
      </c>
      <c r="AA91" s="655">
        <v>0</v>
      </c>
      <c r="AB91" s="655">
        <v>0</v>
      </c>
      <c r="AC91" s="655">
        <v>0</v>
      </c>
      <c r="AD91" s="655">
        <v>7213</v>
      </c>
      <c r="AE91" s="655">
        <v>992078</v>
      </c>
      <c r="AF91" s="655">
        <v>0</v>
      </c>
      <c r="AG91" s="655">
        <v>45835</v>
      </c>
      <c r="AH91" s="655">
        <v>0</v>
      </c>
      <c r="AI91" s="655">
        <v>658843</v>
      </c>
      <c r="AJ91" s="655">
        <v>391202</v>
      </c>
      <c r="AK91" s="655">
        <v>2087958</v>
      </c>
      <c r="AL91" s="655">
        <v>1967505</v>
      </c>
      <c r="AM91" s="655">
        <v>120453</v>
      </c>
    </row>
    <row r="92" spans="1:39" x14ac:dyDescent="0.2">
      <c r="A92" s="649">
        <v>2013</v>
      </c>
      <c r="B92" s="650">
        <v>7</v>
      </c>
      <c r="C92" s="656" t="s">
        <v>165</v>
      </c>
      <c r="D92" s="651">
        <v>1791</v>
      </c>
      <c r="E92" s="648" t="s">
        <v>2007</v>
      </c>
      <c r="F92" s="655">
        <v>4946624</v>
      </c>
      <c r="G92" s="655">
        <v>0</v>
      </c>
      <c r="H92" s="655">
        <v>115303</v>
      </c>
      <c r="I92" s="655">
        <v>613182</v>
      </c>
      <c r="J92" s="655">
        <v>444817</v>
      </c>
      <c r="K92" s="655">
        <v>46532</v>
      </c>
      <c r="L92" s="655">
        <v>43284</v>
      </c>
      <c r="M92" s="655">
        <v>0</v>
      </c>
      <c r="N92" s="655">
        <v>247537</v>
      </c>
      <c r="O92" s="655">
        <v>0</v>
      </c>
      <c r="P92" s="655">
        <v>40813</v>
      </c>
      <c r="Q92" s="655">
        <v>45628</v>
      </c>
      <c r="R92" s="655">
        <v>0</v>
      </c>
      <c r="S92" s="655">
        <v>31973</v>
      </c>
      <c r="T92" s="655">
        <v>3669</v>
      </c>
      <c r="U92" s="655">
        <v>0</v>
      </c>
      <c r="V92" s="655">
        <v>0</v>
      </c>
      <c r="W92" s="655">
        <v>134422</v>
      </c>
      <c r="X92" s="655">
        <v>8725</v>
      </c>
      <c r="Y92" s="655">
        <v>0</v>
      </c>
      <c r="Z92" s="655">
        <v>0</v>
      </c>
      <c r="AA92" s="655">
        <v>0</v>
      </c>
      <c r="AB92" s="655">
        <v>0</v>
      </c>
      <c r="AC92" s="655">
        <v>0</v>
      </c>
      <c r="AD92" s="655">
        <v>44323</v>
      </c>
      <c r="AE92" s="655">
        <v>6678186</v>
      </c>
      <c r="AF92" s="655">
        <v>162027</v>
      </c>
      <c r="AG92" s="655">
        <v>359421</v>
      </c>
      <c r="AH92" s="655">
        <v>0</v>
      </c>
      <c r="AI92" s="655">
        <v>688455</v>
      </c>
      <c r="AJ92" s="655">
        <v>1331382</v>
      </c>
      <c r="AK92" s="655">
        <v>9219471</v>
      </c>
      <c r="AL92" s="655">
        <v>7708074</v>
      </c>
      <c r="AM92" s="655">
        <v>1511397</v>
      </c>
    </row>
    <row r="93" spans="1:39" x14ac:dyDescent="0.2">
      <c r="A93" s="649">
        <v>2013</v>
      </c>
      <c r="B93" s="650">
        <v>1</v>
      </c>
      <c r="C93" s="656" t="s">
        <v>166</v>
      </c>
      <c r="D93" s="651">
        <v>1863</v>
      </c>
      <c r="E93" s="648" t="s">
        <v>1092</v>
      </c>
      <c r="F93" s="655">
        <v>62902558</v>
      </c>
      <c r="G93" s="655">
        <v>0</v>
      </c>
      <c r="H93" s="655">
        <v>499739</v>
      </c>
      <c r="I93" s="655">
        <v>12385612</v>
      </c>
      <c r="J93" s="655">
        <v>5623225</v>
      </c>
      <c r="K93" s="655">
        <v>670591</v>
      </c>
      <c r="L93" s="655">
        <v>670905</v>
      </c>
      <c r="M93" s="655">
        <v>0</v>
      </c>
      <c r="N93" s="655">
        <v>3484459</v>
      </c>
      <c r="O93" s="655">
        <v>0</v>
      </c>
      <c r="P93" s="655">
        <v>605152</v>
      </c>
      <c r="Q93" s="655">
        <v>675863</v>
      </c>
      <c r="R93" s="655">
        <v>0</v>
      </c>
      <c r="S93" s="655">
        <v>341854</v>
      </c>
      <c r="T93" s="655">
        <v>36341</v>
      </c>
      <c r="U93" s="655">
        <v>3145128</v>
      </c>
      <c r="V93" s="655">
        <v>288362</v>
      </c>
      <c r="W93" s="655">
        <v>318184</v>
      </c>
      <c r="X93" s="655">
        <v>1359591</v>
      </c>
      <c r="Y93" s="655">
        <v>0</v>
      </c>
      <c r="Z93" s="655">
        <v>0</v>
      </c>
      <c r="AA93" s="655">
        <v>0</v>
      </c>
      <c r="AB93" s="655">
        <v>0</v>
      </c>
      <c r="AC93" s="655">
        <v>0</v>
      </c>
      <c r="AD93" s="655">
        <v>628657</v>
      </c>
      <c r="AE93" s="655">
        <v>92378907</v>
      </c>
      <c r="AF93" s="655">
        <v>2187423</v>
      </c>
      <c r="AG93" s="655">
        <v>4691273</v>
      </c>
      <c r="AH93" s="655">
        <v>0</v>
      </c>
      <c r="AI93" s="655">
        <v>12500269</v>
      </c>
      <c r="AJ93" s="655">
        <v>15793205</v>
      </c>
      <c r="AK93" s="655">
        <v>127551077</v>
      </c>
      <c r="AL93" s="655">
        <v>111886939</v>
      </c>
      <c r="AM93" s="655">
        <v>15664138</v>
      </c>
    </row>
    <row r="94" spans="1:39" x14ac:dyDescent="0.2">
      <c r="A94" s="649">
        <v>2013</v>
      </c>
      <c r="B94" s="650">
        <v>7</v>
      </c>
      <c r="C94" s="656" t="s">
        <v>167</v>
      </c>
      <c r="D94" s="651">
        <v>1908</v>
      </c>
      <c r="E94" s="648" t="s">
        <v>1093</v>
      </c>
      <c r="F94" s="655">
        <v>2821670</v>
      </c>
      <c r="G94" s="655">
        <v>31002</v>
      </c>
      <c r="H94" s="655">
        <v>29309</v>
      </c>
      <c r="I94" s="655">
        <v>551372</v>
      </c>
      <c r="J94" s="655">
        <v>257574</v>
      </c>
      <c r="K94" s="655">
        <v>26545</v>
      </c>
      <c r="L94" s="655">
        <v>28489</v>
      </c>
      <c r="M94" s="655">
        <v>0</v>
      </c>
      <c r="N94" s="655">
        <v>150177</v>
      </c>
      <c r="O94" s="655">
        <v>3505</v>
      </c>
      <c r="P94" s="655">
        <v>24063</v>
      </c>
      <c r="Q94" s="655">
        <v>26902</v>
      </c>
      <c r="R94" s="655">
        <v>0</v>
      </c>
      <c r="S94" s="655">
        <v>19397</v>
      </c>
      <c r="T94" s="655">
        <v>2226</v>
      </c>
      <c r="U94" s="655">
        <v>32625</v>
      </c>
      <c r="V94" s="655">
        <v>0</v>
      </c>
      <c r="W94" s="655">
        <v>38406</v>
      </c>
      <c r="X94" s="655">
        <v>0</v>
      </c>
      <c r="Y94" s="655">
        <v>96864</v>
      </c>
      <c r="Z94" s="655">
        <v>0</v>
      </c>
      <c r="AA94" s="655">
        <v>0</v>
      </c>
      <c r="AB94" s="655">
        <v>0</v>
      </c>
      <c r="AC94" s="655">
        <v>0</v>
      </c>
      <c r="AD94" s="655">
        <v>28057</v>
      </c>
      <c r="AE94" s="655">
        <v>3918341</v>
      </c>
      <c r="AF94" s="655">
        <v>54009</v>
      </c>
      <c r="AG94" s="655">
        <v>214521</v>
      </c>
      <c r="AH94" s="655">
        <v>0</v>
      </c>
      <c r="AI94" s="655">
        <v>522236</v>
      </c>
      <c r="AJ94" s="655">
        <v>1109988</v>
      </c>
      <c r="AK94" s="655">
        <v>5819095</v>
      </c>
      <c r="AL94" s="655">
        <v>4822800</v>
      </c>
      <c r="AM94" s="655">
        <v>996295</v>
      </c>
    </row>
    <row r="95" spans="1:39" x14ac:dyDescent="0.2">
      <c r="A95" s="649">
        <v>2013</v>
      </c>
      <c r="B95" s="650">
        <v>13</v>
      </c>
      <c r="C95" s="656" t="s">
        <v>168</v>
      </c>
      <c r="D95" s="651">
        <v>1917</v>
      </c>
      <c r="E95" s="648" t="s">
        <v>1094</v>
      </c>
      <c r="F95" s="655">
        <v>2669799</v>
      </c>
      <c r="G95" s="655">
        <v>0</v>
      </c>
      <c r="H95" s="655">
        <v>149306</v>
      </c>
      <c r="I95" s="655">
        <v>505657</v>
      </c>
      <c r="J95" s="655">
        <v>262070</v>
      </c>
      <c r="K95" s="655">
        <v>31559</v>
      </c>
      <c r="L95" s="655">
        <v>29488</v>
      </c>
      <c r="M95" s="655">
        <v>0</v>
      </c>
      <c r="N95" s="655">
        <v>139437</v>
      </c>
      <c r="O95" s="655">
        <v>0</v>
      </c>
      <c r="P95" s="655">
        <v>22050</v>
      </c>
      <c r="Q95" s="655">
        <v>24390</v>
      </c>
      <c r="R95" s="655">
        <v>0</v>
      </c>
      <c r="S95" s="655">
        <v>14321</v>
      </c>
      <c r="T95" s="655">
        <v>1511</v>
      </c>
      <c r="U95" s="655">
        <v>0</v>
      </c>
      <c r="V95" s="655">
        <v>0</v>
      </c>
      <c r="W95" s="655">
        <v>41915</v>
      </c>
      <c r="X95" s="655">
        <v>0</v>
      </c>
      <c r="Y95" s="655">
        <v>19445</v>
      </c>
      <c r="Z95" s="655">
        <v>0</v>
      </c>
      <c r="AA95" s="655">
        <v>0</v>
      </c>
      <c r="AB95" s="655">
        <v>0</v>
      </c>
      <c r="AC95" s="655">
        <v>0</v>
      </c>
      <c r="AD95" s="655">
        <v>31359</v>
      </c>
      <c r="AE95" s="655">
        <v>3840699</v>
      </c>
      <c r="AF95" s="655">
        <v>57010</v>
      </c>
      <c r="AG95" s="655">
        <v>214091</v>
      </c>
      <c r="AH95" s="655">
        <v>0</v>
      </c>
      <c r="AI95" s="655">
        <v>546663</v>
      </c>
      <c r="AJ95" s="655">
        <v>1737109</v>
      </c>
      <c r="AK95" s="655">
        <v>6395572</v>
      </c>
      <c r="AL95" s="655">
        <v>4890357</v>
      </c>
      <c r="AM95" s="655">
        <v>1505215</v>
      </c>
    </row>
    <row r="96" spans="1:39" x14ac:dyDescent="0.2">
      <c r="A96" s="649">
        <v>2013</v>
      </c>
      <c r="B96" s="650">
        <v>9</v>
      </c>
      <c r="C96" s="656" t="s">
        <v>169</v>
      </c>
      <c r="D96" s="651">
        <v>1926</v>
      </c>
      <c r="E96" s="648" t="s">
        <v>1095</v>
      </c>
      <c r="F96" s="655">
        <v>3539914</v>
      </c>
      <c r="G96" s="655">
        <v>0</v>
      </c>
      <c r="H96" s="655">
        <v>17040</v>
      </c>
      <c r="I96" s="655">
        <v>535160</v>
      </c>
      <c r="J96" s="655">
        <v>363042</v>
      </c>
      <c r="K96" s="655">
        <v>41072</v>
      </c>
      <c r="L96" s="655">
        <v>31910</v>
      </c>
      <c r="M96" s="655">
        <v>0</v>
      </c>
      <c r="N96" s="655">
        <v>178462</v>
      </c>
      <c r="O96" s="655">
        <v>0</v>
      </c>
      <c r="P96" s="655">
        <v>28667</v>
      </c>
      <c r="Q96" s="655">
        <v>31246</v>
      </c>
      <c r="R96" s="655">
        <v>0</v>
      </c>
      <c r="S96" s="655">
        <v>15891</v>
      </c>
      <c r="T96" s="655">
        <v>1867</v>
      </c>
      <c r="U96" s="655">
        <v>86109</v>
      </c>
      <c r="V96" s="655">
        <v>0</v>
      </c>
      <c r="W96" s="655">
        <v>17649</v>
      </c>
      <c r="X96" s="655">
        <v>7310</v>
      </c>
      <c r="Y96" s="655">
        <v>0</v>
      </c>
      <c r="Z96" s="655">
        <v>0</v>
      </c>
      <c r="AA96" s="655">
        <v>0</v>
      </c>
      <c r="AB96" s="655">
        <v>0</v>
      </c>
      <c r="AC96" s="655">
        <v>0</v>
      </c>
      <c r="AD96" s="655">
        <v>33763</v>
      </c>
      <c r="AE96" s="655">
        <v>4861576</v>
      </c>
      <c r="AF96" s="655">
        <v>36006</v>
      </c>
      <c r="AG96" s="655">
        <v>274591</v>
      </c>
      <c r="AH96" s="655">
        <v>0</v>
      </c>
      <c r="AI96" s="655">
        <v>1272108</v>
      </c>
      <c r="AJ96" s="655">
        <v>2308359</v>
      </c>
      <c r="AK96" s="655">
        <v>8752640</v>
      </c>
      <c r="AL96" s="655">
        <v>6799237</v>
      </c>
      <c r="AM96" s="655">
        <v>1953403</v>
      </c>
    </row>
    <row r="97" spans="1:39" x14ac:dyDescent="0.2">
      <c r="A97" s="649">
        <v>2013</v>
      </c>
      <c r="B97" s="650">
        <v>7</v>
      </c>
      <c r="C97" s="656" t="s">
        <v>170</v>
      </c>
      <c r="D97" s="651">
        <v>6536</v>
      </c>
      <c r="E97" s="648" t="s">
        <v>639</v>
      </c>
      <c r="F97" s="655">
        <v>7523454</v>
      </c>
      <c r="G97" s="655">
        <v>30855</v>
      </c>
      <c r="H97" s="655">
        <v>47326</v>
      </c>
      <c r="I97" s="655">
        <v>1026689</v>
      </c>
      <c r="J97" s="655">
        <v>662628</v>
      </c>
      <c r="K97" s="655">
        <v>55891</v>
      </c>
      <c r="L97" s="655">
        <v>68704</v>
      </c>
      <c r="M97" s="655">
        <v>0</v>
      </c>
      <c r="N97" s="655">
        <v>375543</v>
      </c>
      <c r="O97" s="655">
        <v>0</v>
      </c>
      <c r="P97" s="655">
        <v>61960</v>
      </c>
      <c r="Q97" s="655">
        <v>69271</v>
      </c>
      <c r="R97" s="655">
        <v>0</v>
      </c>
      <c r="S97" s="655">
        <v>48633</v>
      </c>
      <c r="T97" s="655">
        <v>5582</v>
      </c>
      <c r="U97" s="655">
        <v>214505</v>
      </c>
      <c r="V97" s="655">
        <v>0</v>
      </c>
      <c r="W97" s="655">
        <v>35886</v>
      </c>
      <c r="X97" s="655">
        <v>193852</v>
      </c>
      <c r="Y97" s="655">
        <v>0</v>
      </c>
      <c r="Z97" s="655">
        <v>0</v>
      </c>
      <c r="AA97" s="655">
        <v>0</v>
      </c>
      <c r="AB97" s="655">
        <v>0</v>
      </c>
      <c r="AC97" s="655">
        <v>0</v>
      </c>
      <c r="AD97" s="655">
        <v>66511</v>
      </c>
      <c r="AE97" s="655">
        <v>10354268</v>
      </c>
      <c r="AF97" s="655">
        <v>0</v>
      </c>
      <c r="AG97" s="655">
        <v>563929</v>
      </c>
      <c r="AH97" s="655">
        <v>0</v>
      </c>
      <c r="AI97" s="655">
        <v>978278</v>
      </c>
      <c r="AJ97" s="655">
        <v>2759309</v>
      </c>
      <c r="AK97" s="655">
        <v>14655784</v>
      </c>
      <c r="AL97" s="655">
        <v>12109909</v>
      </c>
      <c r="AM97" s="655">
        <v>2545875</v>
      </c>
    </row>
    <row r="98" spans="1:39" x14ac:dyDescent="0.2">
      <c r="A98" s="649">
        <v>2013</v>
      </c>
      <c r="B98" s="650">
        <v>5</v>
      </c>
      <c r="C98" s="656" t="s">
        <v>171</v>
      </c>
      <c r="D98" s="651">
        <v>1944</v>
      </c>
      <c r="E98" s="648" t="s">
        <v>1096</v>
      </c>
      <c r="F98" s="655">
        <v>5097127</v>
      </c>
      <c r="G98" s="655">
        <v>0</v>
      </c>
      <c r="H98" s="655">
        <v>181263</v>
      </c>
      <c r="I98" s="655">
        <v>963069</v>
      </c>
      <c r="J98" s="655">
        <v>443181</v>
      </c>
      <c r="K98" s="655">
        <v>48314</v>
      </c>
      <c r="L98" s="655">
        <v>54653</v>
      </c>
      <c r="M98" s="655">
        <v>0</v>
      </c>
      <c r="N98" s="655">
        <v>271179</v>
      </c>
      <c r="O98" s="655">
        <v>0</v>
      </c>
      <c r="P98" s="655">
        <v>41250</v>
      </c>
      <c r="Q98" s="655">
        <v>46387</v>
      </c>
      <c r="R98" s="655">
        <v>5424</v>
      </c>
      <c r="S98" s="655">
        <v>28959</v>
      </c>
      <c r="T98" s="655">
        <v>3456</v>
      </c>
      <c r="U98" s="655">
        <v>254856</v>
      </c>
      <c r="V98" s="655">
        <v>0</v>
      </c>
      <c r="W98" s="655">
        <v>82645</v>
      </c>
      <c r="X98" s="655">
        <v>12865</v>
      </c>
      <c r="Y98" s="655">
        <v>0</v>
      </c>
      <c r="Z98" s="655">
        <v>0</v>
      </c>
      <c r="AA98" s="655">
        <v>0</v>
      </c>
      <c r="AB98" s="655">
        <v>0</v>
      </c>
      <c r="AC98" s="655">
        <v>0</v>
      </c>
      <c r="AD98" s="655">
        <v>55111</v>
      </c>
      <c r="AE98" s="655">
        <v>7479517</v>
      </c>
      <c r="AF98" s="655">
        <v>150025</v>
      </c>
      <c r="AG98" s="655">
        <v>266636</v>
      </c>
      <c r="AH98" s="655">
        <v>0</v>
      </c>
      <c r="AI98" s="655">
        <v>1127060</v>
      </c>
      <c r="AJ98" s="655">
        <v>1100851</v>
      </c>
      <c r="AK98" s="655">
        <v>10124089</v>
      </c>
      <c r="AL98" s="655">
        <v>9240812</v>
      </c>
      <c r="AM98" s="655">
        <v>883277</v>
      </c>
    </row>
    <row r="99" spans="1:39" x14ac:dyDescent="0.2">
      <c r="A99" s="649">
        <v>2013</v>
      </c>
      <c r="B99" s="650">
        <v>11</v>
      </c>
      <c r="C99" s="656" t="s">
        <v>172</v>
      </c>
      <c r="D99" s="651">
        <v>1953</v>
      </c>
      <c r="E99" s="648" t="s">
        <v>1097</v>
      </c>
      <c r="F99" s="655">
        <v>3658810</v>
      </c>
      <c r="G99" s="655">
        <v>145744</v>
      </c>
      <c r="H99" s="655">
        <v>83912</v>
      </c>
      <c r="I99" s="655">
        <v>327295</v>
      </c>
      <c r="J99" s="655">
        <v>346697</v>
      </c>
      <c r="K99" s="655">
        <v>34506</v>
      </c>
      <c r="L99" s="655">
        <v>39449</v>
      </c>
      <c r="M99" s="655">
        <v>0</v>
      </c>
      <c r="N99" s="655">
        <v>169913</v>
      </c>
      <c r="O99" s="655">
        <v>3686</v>
      </c>
      <c r="P99" s="655">
        <v>29976</v>
      </c>
      <c r="Q99" s="655">
        <v>32889</v>
      </c>
      <c r="R99" s="655">
        <v>0</v>
      </c>
      <c r="S99" s="655">
        <v>13841</v>
      </c>
      <c r="T99" s="655">
        <v>1783</v>
      </c>
      <c r="U99" s="655">
        <v>37258</v>
      </c>
      <c r="V99" s="655">
        <v>0</v>
      </c>
      <c r="W99" s="655">
        <v>83259</v>
      </c>
      <c r="X99" s="655">
        <v>72053</v>
      </c>
      <c r="Y99" s="655">
        <v>0</v>
      </c>
      <c r="Z99" s="655">
        <v>0</v>
      </c>
      <c r="AA99" s="655">
        <v>0</v>
      </c>
      <c r="AB99" s="655">
        <v>0</v>
      </c>
      <c r="AC99" s="655">
        <v>0</v>
      </c>
      <c r="AD99" s="655">
        <v>27980</v>
      </c>
      <c r="AE99" s="655">
        <v>5053091</v>
      </c>
      <c r="AF99" s="655">
        <v>0</v>
      </c>
      <c r="AG99" s="655">
        <v>276286</v>
      </c>
      <c r="AH99" s="655">
        <v>0</v>
      </c>
      <c r="AI99" s="655">
        <v>670593</v>
      </c>
      <c r="AJ99" s="655">
        <v>2219163</v>
      </c>
      <c r="AK99" s="655">
        <v>8219133</v>
      </c>
      <c r="AL99" s="655">
        <v>6149331</v>
      </c>
      <c r="AM99" s="655">
        <v>2069802</v>
      </c>
    </row>
    <row r="100" spans="1:39" x14ac:dyDescent="0.2">
      <c r="A100" s="649">
        <v>2013</v>
      </c>
      <c r="B100" s="650">
        <v>7</v>
      </c>
      <c r="C100" s="656" t="s">
        <v>173</v>
      </c>
      <c r="D100" s="651">
        <v>1963</v>
      </c>
      <c r="E100" s="648" t="s">
        <v>1098</v>
      </c>
      <c r="F100" s="655">
        <v>3342557</v>
      </c>
      <c r="G100" s="655">
        <v>0</v>
      </c>
      <c r="H100" s="655">
        <v>59986</v>
      </c>
      <c r="I100" s="655">
        <v>776169</v>
      </c>
      <c r="J100" s="655">
        <v>320854</v>
      </c>
      <c r="K100" s="655">
        <v>31699</v>
      </c>
      <c r="L100" s="655">
        <v>33164</v>
      </c>
      <c r="M100" s="655">
        <v>0</v>
      </c>
      <c r="N100" s="655">
        <v>183376</v>
      </c>
      <c r="O100" s="655">
        <v>0</v>
      </c>
      <c r="P100" s="655">
        <v>27867</v>
      </c>
      <c r="Q100" s="655">
        <v>31155</v>
      </c>
      <c r="R100" s="655">
        <v>0</v>
      </c>
      <c r="S100" s="655">
        <v>23686</v>
      </c>
      <c r="T100" s="655">
        <v>2718</v>
      </c>
      <c r="U100" s="655">
        <v>60096</v>
      </c>
      <c r="V100" s="655">
        <v>0</v>
      </c>
      <c r="W100" s="655">
        <v>73114</v>
      </c>
      <c r="X100" s="655">
        <v>0</v>
      </c>
      <c r="Y100" s="655">
        <v>46783</v>
      </c>
      <c r="Z100" s="655">
        <v>0</v>
      </c>
      <c r="AA100" s="655">
        <v>0</v>
      </c>
      <c r="AB100" s="655">
        <v>0</v>
      </c>
      <c r="AC100" s="655">
        <v>0</v>
      </c>
      <c r="AD100" s="655">
        <v>35233</v>
      </c>
      <c r="AE100" s="655">
        <v>4884425</v>
      </c>
      <c r="AF100" s="655">
        <v>90015</v>
      </c>
      <c r="AG100" s="655">
        <v>253901</v>
      </c>
      <c r="AH100" s="655">
        <v>0</v>
      </c>
      <c r="AI100" s="655">
        <v>786440</v>
      </c>
      <c r="AJ100" s="655">
        <v>1096231</v>
      </c>
      <c r="AK100" s="655">
        <v>7111012</v>
      </c>
      <c r="AL100" s="655">
        <v>6031848</v>
      </c>
      <c r="AM100" s="655">
        <v>1079164</v>
      </c>
    </row>
    <row r="101" spans="1:39" x14ac:dyDescent="0.2">
      <c r="A101" s="649">
        <v>2013</v>
      </c>
      <c r="B101" s="650">
        <v>9</v>
      </c>
      <c r="C101" s="656" t="s">
        <v>174</v>
      </c>
      <c r="D101" s="651">
        <v>1965</v>
      </c>
      <c r="E101" s="648" t="s">
        <v>1524</v>
      </c>
      <c r="F101" s="655">
        <v>4134089</v>
      </c>
      <c r="G101" s="655">
        <v>140728</v>
      </c>
      <c r="H101" s="655">
        <v>168106</v>
      </c>
      <c r="I101" s="655">
        <v>534629</v>
      </c>
      <c r="J101" s="655">
        <v>375005</v>
      </c>
      <c r="K101" s="655">
        <v>40988</v>
      </c>
      <c r="L101" s="655">
        <v>36906</v>
      </c>
      <c r="M101" s="655">
        <v>0</v>
      </c>
      <c r="N101" s="655">
        <v>206027</v>
      </c>
      <c r="O101" s="655">
        <v>13250</v>
      </c>
      <c r="P101" s="655">
        <v>33999</v>
      </c>
      <c r="Q101" s="655">
        <v>37057</v>
      </c>
      <c r="R101" s="655">
        <v>0</v>
      </c>
      <c r="S101" s="655">
        <v>18907</v>
      </c>
      <c r="T101" s="655">
        <v>2222</v>
      </c>
      <c r="U101" s="655">
        <v>47001</v>
      </c>
      <c r="V101" s="655">
        <v>0</v>
      </c>
      <c r="W101" s="655">
        <v>117660</v>
      </c>
      <c r="X101" s="655">
        <v>105831</v>
      </c>
      <c r="Y101" s="655">
        <v>0</v>
      </c>
      <c r="Z101" s="655">
        <v>0</v>
      </c>
      <c r="AA101" s="655">
        <v>0</v>
      </c>
      <c r="AB101" s="655">
        <v>0</v>
      </c>
      <c r="AC101" s="655">
        <v>0</v>
      </c>
      <c r="AD101" s="655">
        <v>43603</v>
      </c>
      <c r="AE101" s="655">
        <v>5968802</v>
      </c>
      <c r="AF101" s="655">
        <v>96017</v>
      </c>
      <c r="AG101" s="655">
        <v>312877</v>
      </c>
      <c r="AH101" s="655">
        <v>0</v>
      </c>
      <c r="AI101" s="655">
        <v>1210168</v>
      </c>
      <c r="AJ101" s="655">
        <v>1439977</v>
      </c>
      <c r="AK101" s="655">
        <v>9027841</v>
      </c>
      <c r="AL101" s="655">
        <v>7260782</v>
      </c>
      <c r="AM101" s="655">
        <v>1767059</v>
      </c>
    </row>
    <row r="102" spans="1:39" x14ac:dyDescent="0.2">
      <c r="A102" s="649">
        <v>2013</v>
      </c>
      <c r="B102" s="650">
        <v>13</v>
      </c>
      <c r="C102" s="656" t="s">
        <v>175</v>
      </c>
      <c r="D102" s="651">
        <v>1970</v>
      </c>
      <c r="E102" s="648" t="s">
        <v>1099</v>
      </c>
      <c r="F102" s="655">
        <v>2770898</v>
      </c>
      <c r="G102" s="655">
        <v>136368</v>
      </c>
      <c r="H102" s="655">
        <v>52538</v>
      </c>
      <c r="I102" s="655">
        <v>256364</v>
      </c>
      <c r="J102" s="655">
        <v>257489</v>
      </c>
      <c r="K102" s="655">
        <v>24384</v>
      </c>
      <c r="L102" s="655">
        <v>31002</v>
      </c>
      <c r="M102" s="655">
        <v>0</v>
      </c>
      <c r="N102" s="655">
        <v>132576</v>
      </c>
      <c r="O102" s="655">
        <v>16520</v>
      </c>
      <c r="P102" s="655">
        <v>22934</v>
      </c>
      <c r="Q102" s="655">
        <v>25367</v>
      </c>
      <c r="R102" s="655">
        <v>0</v>
      </c>
      <c r="S102" s="655">
        <v>14202</v>
      </c>
      <c r="T102" s="655">
        <v>1497</v>
      </c>
      <c r="U102" s="655">
        <v>138545</v>
      </c>
      <c r="V102" s="655">
        <v>0</v>
      </c>
      <c r="W102" s="655">
        <v>186775</v>
      </c>
      <c r="X102" s="655">
        <v>70686</v>
      </c>
      <c r="Y102" s="655">
        <v>0</v>
      </c>
      <c r="Z102" s="655">
        <v>0</v>
      </c>
      <c r="AA102" s="655">
        <v>0</v>
      </c>
      <c r="AB102" s="655">
        <v>0</v>
      </c>
      <c r="AC102" s="655">
        <v>0</v>
      </c>
      <c r="AD102" s="655">
        <v>31429</v>
      </c>
      <c r="AE102" s="655">
        <v>4106716</v>
      </c>
      <c r="AF102" s="655">
        <v>143316</v>
      </c>
      <c r="AG102" s="655">
        <v>220197</v>
      </c>
      <c r="AH102" s="655">
        <v>0</v>
      </c>
      <c r="AI102" s="655">
        <v>963058</v>
      </c>
      <c r="AJ102" s="655">
        <v>1332060</v>
      </c>
      <c r="AK102" s="655">
        <v>6765347</v>
      </c>
      <c r="AL102" s="655">
        <v>5874474</v>
      </c>
      <c r="AM102" s="655">
        <v>890873</v>
      </c>
    </row>
    <row r="103" spans="1:39" x14ac:dyDescent="0.2">
      <c r="A103" s="649">
        <v>2013</v>
      </c>
      <c r="B103" s="650">
        <v>1</v>
      </c>
      <c r="C103" s="656" t="s">
        <v>176</v>
      </c>
      <c r="D103" s="651">
        <v>1972</v>
      </c>
      <c r="E103" s="648" t="s">
        <v>1100</v>
      </c>
      <c r="F103" s="655">
        <v>2304384</v>
      </c>
      <c r="G103" s="655">
        <v>66406</v>
      </c>
      <c r="H103" s="655">
        <v>175493</v>
      </c>
      <c r="I103" s="655">
        <v>292609</v>
      </c>
      <c r="J103" s="655">
        <v>231823</v>
      </c>
      <c r="K103" s="655">
        <v>21506</v>
      </c>
      <c r="L103" s="655">
        <v>26561</v>
      </c>
      <c r="M103" s="655">
        <v>0</v>
      </c>
      <c r="N103" s="655">
        <v>120333</v>
      </c>
      <c r="O103" s="655">
        <v>7894</v>
      </c>
      <c r="P103" s="655">
        <v>19061</v>
      </c>
      <c r="Q103" s="655">
        <v>21288</v>
      </c>
      <c r="R103" s="655">
        <v>0</v>
      </c>
      <c r="S103" s="655">
        <v>11806</v>
      </c>
      <c r="T103" s="655">
        <v>1255</v>
      </c>
      <c r="U103" s="655">
        <v>94400</v>
      </c>
      <c r="V103" s="655">
        <v>0</v>
      </c>
      <c r="W103" s="655">
        <v>23532</v>
      </c>
      <c r="X103" s="655">
        <v>0</v>
      </c>
      <c r="Y103" s="655">
        <v>47291</v>
      </c>
      <c r="Z103" s="655">
        <v>0</v>
      </c>
      <c r="AA103" s="655">
        <v>0</v>
      </c>
      <c r="AB103" s="655">
        <v>0</v>
      </c>
      <c r="AC103" s="655">
        <v>0</v>
      </c>
      <c r="AD103" s="655">
        <v>29014</v>
      </c>
      <c r="AE103" s="655">
        <v>3342046</v>
      </c>
      <c r="AF103" s="655">
        <v>69012</v>
      </c>
      <c r="AG103" s="655">
        <v>201517</v>
      </c>
      <c r="AH103" s="655">
        <v>0</v>
      </c>
      <c r="AI103" s="655">
        <v>496242</v>
      </c>
      <c r="AJ103" s="655">
        <v>1856036</v>
      </c>
      <c r="AK103" s="655">
        <v>5964853</v>
      </c>
      <c r="AL103" s="655">
        <v>4102066</v>
      </c>
      <c r="AM103" s="655">
        <v>1862787</v>
      </c>
    </row>
    <row r="104" spans="1:39" x14ac:dyDescent="0.2">
      <c r="A104" s="649">
        <v>2013</v>
      </c>
      <c r="B104" s="650">
        <v>12</v>
      </c>
      <c r="C104" s="656" t="s">
        <v>177</v>
      </c>
      <c r="D104" s="651">
        <v>1975</v>
      </c>
      <c r="E104" s="648" t="s">
        <v>1101</v>
      </c>
      <c r="F104" s="655">
        <v>2527205</v>
      </c>
      <c r="G104" s="655">
        <v>100721</v>
      </c>
      <c r="H104" s="655">
        <v>28824</v>
      </c>
      <c r="I104" s="655">
        <v>260954</v>
      </c>
      <c r="J104" s="655">
        <v>246461</v>
      </c>
      <c r="K104" s="655">
        <v>26774</v>
      </c>
      <c r="L104" s="655">
        <v>30258</v>
      </c>
      <c r="M104" s="655">
        <v>0</v>
      </c>
      <c r="N104" s="655">
        <v>125463</v>
      </c>
      <c r="O104" s="655">
        <v>8431</v>
      </c>
      <c r="P104" s="655">
        <v>20843</v>
      </c>
      <c r="Q104" s="655">
        <v>23429</v>
      </c>
      <c r="R104" s="655">
        <v>0</v>
      </c>
      <c r="S104" s="655">
        <v>13025</v>
      </c>
      <c r="T104" s="655">
        <v>1563</v>
      </c>
      <c r="U104" s="655">
        <v>68717</v>
      </c>
      <c r="V104" s="655">
        <v>0</v>
      </c>
      <c r="W104" s="655">
        <v>77801</v>
      </c>
      <c r="X104" s="655">
        <v>116091</v>
      </c>
      <c r="Y104" s="655">
        <v>0</v>
      </c>
      <c r="Z104" s="655">
        <v>0</v>
      </c>
      <c r="AA104" s="655">
        <v>0</v>
      </c>
      <c r="AB104" s="655">
        <v>0</v>
      </c>
      <c r="AC104" s="655">
        <v>0</v>
      </c>
      <c r="AD104" s="655">
        <v>30342</v>
      </c>
      <c r="AE104" s="655">
        <v>3646218</v>
      </c>
      <c r="AF104" s="655">
        <v>75013</v>
      </c>
      <c r="AG104" s="655">
        <v>217198</v>
      </c>
      <c r="AH104" s="655">
        <v>0</v>
      </c>
      <c r="AI104" s="655">
        <v>556762</v>
      </c>
      <c r="AJ104" s="655">
        <v>1187857</v>
      </c>
      <c r="AK104" s="655">
        <v>5683048</v>
      </c>
      <c r="AL104" s="655">
        <v>4371139</v>
      </c>
      <c r="AM104" s="655">
        <v>1311909</v>
      </c>
    </row>
    <row r="105" spans="1:39" x14ac:dyDescent="0.2">
      <c r="A105" s="649">
        <v>2013</v>
      </c>
      <c r="B105" s="650">
        <v>1</v>
      </c>
      <c r="C105" s="656" t="s">
        <v>178</v>
      </c>
      <c r="D105" s="651">
        <v>1989</v>
      </c>
      <c r="E105" s="648" t="s">
        <v>1102</v>
      </c>
      <c r="F105" s="655">
        <v>2767061</v>
      </c>
      <c r="G105" s="655">
        <v>43425</v>
      </c>
      <c r="H105" s="655">
        <v>51351</v>
      </c>
      <c r="I105" s="655">
        <v>260083</v>
      </c>
      <c r="J105" s="655">
        <v>266460</v>
      </c>
      <c r="K105" s="655">
        <v>29676</v>
      </c>
      <c r="L105" s="655">
        <v>31795</v>
      </c>
      <c r="M105" s="655">
        <v>0</v>
      </c>
      <c r="N105" s="655">
        <v>140265</v>
      </c>
      <c r="O105" s="655">
        <v>3254</v>
      </c>
      <c r="P105" s="655">
        <v>23851</v>
      </c>
      <c r="Q105" s="655">
        <v>26637</v>
      </c>
      <c r="R105" s="655">
        <v>0</v>
      </c>
      <c r="S105" s="655">
        <v>13924</v>
      </c>
      <c r="T105" s="655">
        <v>1478</v>
      </c>
      <c r="U105" s="655">
        <v>0</v>
      </c>
      <c r="V105" s="655">
        <v>0</v>
      </c>
      <c r="W105" s="655">
        <v>0</v>
      </c>
      <c r="X105" s="655">
        <v>28785</v>
      </c>
      <c r="Y105" s="655">
        <v>0</v>
      </c>
      <c r="Z105" s="655">
        <v>0</v>
      </c>
      <c r="AA105" s="655">
        <v>0</v>
      </c>
      <c r="AB105" s="655">
        <v>0</v>
      </c>
      <c r="AC105" s="655">
        <v>0</v>
      </c>
      <c r="AD105" s="655">
        <v>33067</v>
      </c>
      <c r="AE105" s="655">
        <v>3654978</v>
      </c>
      <c r="AF105" s="655">
        <v>69012</v>
      </c>
      <c r="AG105" s="655">
        <v>205503</v>
      </c>
      <c r="AH105" s="655">
        <v>0</v>
      </c>
      <c r="AI105" s="655">
        <v>1377708</v>
      </c>
      <c r="AJ105" s="655">
        <v>2508399</v>
      </c>
      <c r="AK105" s="655">
        <v>7815600</v>
      </c>
      <c r="AL105" s="655">
        <v>5580050</v>
      </c>
      <c r="AM105" s="655">
        <v>2235550</v>
      </c>
    </row>
    <row r="106" spans="1:39" x14ac:dyDescent="0.2">
      <c r="A106" s="649">
        <v>2013</v>
      </c>
      <c r="B106" s="650">
        <v>7</v>
      </c>
      <c r="C106" s="656" t="s">
        <v>179</v>
      </c>
      <c r="D106" s="651">
        <v>2007</v>
      </c>
      <c r="E106" s="648" t="s">
        <v>1103</v>
      </c>
      <c r="F106" s="655">
        <v>3801033</v>
      </c>
      <c r="G106" s="655">
        <v>5304</v>
      </c>
      <c r="H106" s="655">
        <v>94876</v>
      </c>
      <c r="I106" s="655">
        <v>848541</v>
      </c>
      <c r="J106" s="655">
        <v>345900</v>
      </c>
      <c r="K106" s="655">
        <v>40398</v>
      </c>
      <c r="L106" s="655">
        <v>39702</v>
      </c>
      <c r="M106" s="655">
        <v>0</v>
      </c>
      <c r="N106" s="655">
        <v>207011</v>
      </c>
      <c r="O106" s="655">
        <v>952</v>
      </c>
      <c r="P106" s="655">
        <v>31820</v>
      </c>
      <c r="Q106" s="655">
        <v>35575</v>
      </c>
      <c r="R106" s="655">
        <v>0</v>
      </c>
      <c r="S106" s="655">
        <v>27153</v>
      </c>
      <c r="T106" s="655">
        <v>3117</v>
      </c>
      <c r="U106" s="655">
        <v>190051</v>
      </c>
      <c r="V106" s="655">
        <v>0</v>
      </c>
      <c r="W106" s="655">
        <v>73812</v>
      </c>
      <c r="X106" s="655">
        <v>155699</v>
      </c>
      <c r="Y106" s="655">
        <v>0</v>
      </c>
      <c r="Z106" s="655">
        <v>0</v>
      </c>
      <c r="AA106" s="655">
        <v>0</v>
      </c>
      <c r="AB106" s="655">
        <v>0</v>
      </c>
      <c r="AC106" s="655">
        <v>0</v>
      </c>
      <c r="AD106" s="655">
        <v>38231</v>
      </c>
      <c r="AE106" s="655">
        <v>5862713</v>
      </c>
      <c r="AF106" s="655">
        <v>132022</v>
      </c>
      <c r="AG106" s="655">
        <v>279081</v>
      </c>
      <c r="AH106" s="655">
        <v>0</v>
      </c>
      <c r="AI106" s="655">
        <v>1544847</v>
      </c>
      <c r="AJ106" s="655">
        <v>439277</v>
      </c>
      <c r="AK106" s="655">
        <v>8257940</v>
      </c>
      <c r="AL106" s="655">
        <v>7922575</v>
      </c>
      <c r="AM106" s="655">
        <v>335365</v>
      </c>
    </row>
    <row r="107" spans="1:39" x14ac:dyDescent="0.2">
      <c r="A107" s="649">
        <v>2013</v>
      </c>
      <c r="B107" s="650">
        <v>5</v>
      </c>
      <c r="C107" s="656" t="s">
        <v>180</v>
      </c>
      <c r="D107" s="651">
        <v>2088</v>
      </c>
      <c r="E107" s="648" t="s">
        <v>1104</v>
      </c>
      <c r="F107" s="655">
        <v>4076134</v>
      </c>
      <c r="G107" s="655">
        <v>147057</v>
      </c>
      <c r="H107" s="655">
        <v>57449</v>
      </c>
      <c r="I107" s="655">
        <v>586128</v>
      </c>
      <c r="J107" s="655">
        <v>353440</v>
      </c>
      <c r="K107" s="655">
        <v>41507</v>
      </c>
      <c r="L107" s="655">
        <v>42176</v>
      </c>
      <c r="M107" s="655">
        <v>0</v>
      </c>
      <c r="N107" s="655">
        <v>208454</v>
      </c>
      <c r="O107" s="655">
        <v>5993</v>
      </c>
      <c r="P107" s="655">
        <v>36897</v>
      </c>
      <c r="Q107" s="655">
        <v>41493</v>
      </c>
      <c r="R107" s="655">
        <v>4170</v>
      </c>
      <c r="S107" s="655">
        <v>22918</v>
      </c>
      <c r="T107" s="655">
        <v>2738</v>
      </c>
      <c r="U107" s="655">
        <v>175352</v>
      </c>
      <c r="V107" s="655">
        <v>0</v>
      </c>
      <c r="W107" s="655">
        <v>32568</v>
      </c>
      <c r="X107" s="655">
        <v>73526</v>
      </c>
      <c r="Y107" s="655">
        <v>0</v>
      </c>
      <c r="Z107" s="655">
        <v>0</v>
      </c>
      <c r="AA107" s="655">
        <v>0</v>
      </c>
      <c r="AB107" s="655">
        <v>0</v>
      </c>
      <c r="AC107" s="655">
        <v>-6006</v>
      </c>
      <c r="AD107" s="655">
        <v>47715</v>
      </c>
      <c r="AE107" s="655">
        <v>5854279</v>
      </c>
      <c r="AF107" s="655">
        <v>159027</v>
      </c>
      <c r="AG107" s="655">
        <v>352130</v>
      </c>
      <c r="AH107" s="655">
        <v>0</v>
      </c>
      <c r="AI107" s="655">
        <v>1161134</v>
      </c>
      <c r="AJ107" s="655">
        <v>2137319</v>
      </c>
      <c r="AK107" s="655">
        <v>9663889</v>
      </c>
      <c r="AL107" s="655">
        <v>7600767</v>
      </c>
      <c r="AM107" s="655">
        <v>2063122</v>
      </c>
    </row>
    <row r="108" spans="1:39" x14ac:dyDescent="0.2">
      <c r="A108" s="649">
        <v>2013</v>
      </c>
      <c r="B108" s="650">
        <v>10</v>
      </c>
      <c r="C108" s="656" t="s">
        <v>181</v>
      </c>
      <c r="D108" s="651">
        <v>2097</v>
      </c>
      <c r="E108" s="648" t="s">
        <v>2008</v>
      </c>
      <c r="F108" s="655">
        <v>3020600</v>
      </c>
      <c r="G108" s="655">
        <v>192311</v>
      </c>
      <c r="H108" s="655">
        <v>79478</v>
      </c>
      <c r="I108" s="655">
        <v>369967</v>
      </c>
      <c r="J108" s="655">
        <v>324273</v>
      </c>
      <c r="K108" s="655">
        <v>33905</v>
      </c>
      <c r="L108" s="655">
        <v>34503</v>
      </c>
      <c r="M108" s="655">
        <v>0</v>
      </c>
      <c r="N108" s="655">
        <v>146753</v>
      </c>
      <c r="O108" s="655">
        <v>28433</v>
      </c>
      <c r="P108" s="655">
        <v>24796</v>
      </c>
      <c r="Q108" s="655">
        <v>27230</v>
      </c>
      <c r="R108" s="655">
        <v>0</v>
      </c>
      <c r="S108" s="655">
        <v>14461</v>
      </c>
      <c r="T108" s="655">
        <v>1683</v>
      </c>
      <c r="U108" s="655">
        <v>151030</v>
      </c>
      <c r="V108" s="655">
        <v>0</v>
      </c>
      <c r="W108" s="655">
        <v>18826</v>
      </c>
      <c r="X108" s="655">
        <v>0</v>
      </c>
      <c r="Y108" s="655">
        <v>0</v>
      </c>
      <c r="Z108" s="655">
        <v>0</v>
      </c>
      <c r="AA108" s="655">
        <v>0</v>
      </c>
      <c r="AB108" s="655">
        <v>0</v>
      </c>
      <c r="AC108" s="655">
        <v>0</v>
      </c>
      <c r="AD108" s="655">
        <v>38485</v>
      </c>
      <c r="AE108" s="655">
        <v>4429764</v>
      </c>
      <c r="AF108" s="655">
        <v>60010</v>
      </c>
      <c r="AG108" s="655">
        <v>251507</v>
      </c>
      <c r="AH108" s="655">
        <v>0</v>
      </c>
      <c r="AI108" s="655">
        <v>666580</v>
      </c>
      <c r="AJ108" s="655">
        <v>2997029</v>
      </c>
      <c r="AK108" s="655">
        <v>8404890</v>
      </c>
      <c r="AL108" s="655">
        <v>5715933</v>
      </c>
      <c r="AM108" s="655">
        <v>2688957</v>
      </c>
    </row>
    <row r="109" spans="1:39" x14ac:dyDescent="0.2">
      <c r="A109" s="649">
        <v>2013</v>
      </c>
      <c r="B109" s="650">
        <v>13</v>
      </c>
      <c r="C109" s="656" t="s">
        <v>182</v>
      </c>
      <c r="D109" s="651">
        <v>2113</v>
      </c>
      <c r="E109" s="648" t="s">
        <v>1105</v>
      </c>
      <c r="F109" s="655">
        <v>1388031</v>
      </c>
      <c r="G109" s="655">
        <v>23748</v>
      </c>
      <c r="H109" s="655">
        <v>118376</v>
      </c>
      <c r="I109" s="655">
        <v>140243</v>
      </c>
      <c r="J109" s="655">
        <v>140094</v>
      </c>
      <c r="K109" s="655">
        <v>13298</v>
      </c>
      <c r="L109" s="655">
        <v>20358</v>
      </c>
      <c r="M109" s="655">
        <v>0</v>
      </c>
      <c r="N109" s="655">
        <v>67197</v>
      </c>
      <c r="O109" s="655">
        <v>5948</v>
      </c>
      <c r="P109" s="655">
        <v>11394</v>
      </c>
      <c r="Q109" s="655">
        <v>12602</v>
      </c>
      <c r="R109" s="655">
        <v>0</v>
      </c>
      <c r="S109" s="655">
        <v>7107</v>
      </c>
      <c r="T109" s="655">
        <v>749</v>
      </c>
      <c r="U109" s="655">
        <v>30841</v>
      </c>
      <c r="V109" s="655">
        <v>0</v>
      </c>
      <c r="W109" s="655">
        <v>70596</v>
      </c>
      <c r="X109" s="655">
        <v>48628</v>
      </c>
      <c r="Y109" s="655">
        <v>0</v>
      </c>
      <c r="Z109" s="655">
        <v>0</v>
      </c>
      <c r="AA109" s="655">
        <v>0</v>
      </c>
      <c r="AB109" s="655">
        <v>0</v>
      </c>
      <c r="AC109" s="655">
        <v>0</v>
      </c>
      <c r="AD109" s="655">
        <v>14663</v>
      </c>
      <c r="AE109" s="655">
        <v>2084547</v>
      </c>
      <c r="AF109" s="655">
        <v>0</v>
      </c>
      <c r="AG109" s="655">
        <v>110655</v>
      </c>
      <c r="AH109" s="655">
        <v>0</v>
      </c>
      <c r="AI109" s="655">
        <v>486318</v>
      </c>
      <c r="AJ109" s="655">
        <v>493063</v>
      </c>
      <c r="AK109" s="655">
        <v>3174583</v>
      </c>
      <c r="AL109" s="655">
        <v>2788086</v>
      </c>
      <c r="AM109" s="655">
        <v>386497</v>
      </c>
    </row>
    <row r="110" spans="1:39" x14ac:dyDescent="0.2">
      <c r="A110" s="649">
        <v>2013</v>
      </c>
      <c r="B110" s="650">
        <v>5</v>
      </c>
      <c r="C110" s="656" t="s">
        <v>183</v>
      </c>
      <c r="D110" s="651">
        <v>2124</v>
      </c>
      <c r="E110" s="648" t="s">
        <v>1106</v>
      </c>
      <c r="F110" s="655">
        <v>8182831</v>
      </c>
      <c r="G110" s="655">
        <v>0</v>
      </c>
      <c r="H110" s="655">
        <v>287961</v>
      </c>
      <c r="I110" s="655">
        <v>1107556</v>
      </c>
      <c r="J110" s="655">
        <v>711929</v>
      </c>
      <c r="K110" s="655">
        <v>79653</v>
      </c>
      <c r="L110" s="655">
        <v>90964</v>
      </c>
      <c r="M110" s="655">
        <v>0</v>
      </c>
      <c r="N110" s="655">
        <v>422628</v>
      </c>
      <c r="O110" s="655">
        <v>0</v>
      </c>
      <c r="P110" s="655">
        <v>67266</v>
      </c>
      <c r="Q110" s="655">
        <v>75643</v>
      </c>
      <c r="R110" s="655">
        <v>8453</v>
      </c>
      <c r="S110" s="655">
        <v>45132</v>
      </c>
      <c r="T110" s="655">
        <v>5387</v>
      </c>
      <c r="U110" s="655">
        <v>287994</v>
      </c>
      <c r="V110" s="655">
        <v>0</v>
      </c>
      <c r="W110" s="655">
        <v>80603</v>
      </c>
      <c r="X110" s="655">
        <v>224399</v>
      </c>
      <c r="Y110" s="655">
        <v>0</v>
      </c>
      <c r="Z110" s="655">
        <v>0</v>
      </c>
      <c r="AA110" s="655">
        <v>0</v>
      </c>
      <c r="AB110" s="655">
        <v>0</v>
      </c>
      <c r="AC110" s="655">
        <v>0</v>
      </c>
      <c r="AD110" s="655">
        <v>85920</v>
      </c>
      <c r="AE110" s="655">
        <v>11592479</v>
      </c>
      <c r="AF110" s="655">
        <v>219037</v>
      </c>
      <c r="AG110" s="655">
        <v>565679</v>
      </c>
      <c r="AH110" s="655">
        <v>0</v>
      </c>
      <c r="AI110" s="655">
        <v>1265993</v>
      </c>
      <c r="AJ110" s="655">
        <v>1824684</v>
      </c>
      <c r="AK110" s="655">
        <v>15467872</v>
      </c>
      <c r="AL110" s="655">
        <v>13313718</v>
      </c>
      <c r="AM110" s="655">
        <v>2154154</v>
      </c>
    </row>
    <row r="111" spans="1:39" x14ac:dyDescent="0.2">
      <c r="A111" s="649">
        <v>2013</v>
      </c>
      <c r="B111" s="650">
        <v>11</v>
      </c>
      <c r="C111" s="656" t="s">
        <v>184</v>
      </c>
      <c r="D111" s="651">
        <v>2151</v>
      </c>
      <c r="E111" s="648" t="s">
        <v>1637</v>
      </c>
      <c r="F111" s="655">
        <v>2862483</v>
      </c>
      <c r="G111" s="655">
        <v>98096</v>
      </c>
      <c r="H111" s="655">
        <v>123410</v>
      </c>
      <c r="I111" s="655">
        <v>286996</v>
      </c>
      <c r="J111" s="655">
        <v>291852</v>
      </c>
      <c r="K111" s="655">
        <v>30475</v>
      </c>
      <c r="L111" s="655">
        <v>28660</v>
      </c>
      <c r="M111" s="655">
        <v>0</v>
      </c>
      <c r="N111" s="655">
        <v>134494</v>
      </c>
      <c r="O111" s="655">
        <v>21037</v>
      </c>
      <c r="P111" s="655">
        <v>23100</v>
      </c>
      <c r="Q111" s="655">
        <v>25449</v>
      </c>
      <c r="R111" s="655">
        <v>0</v>
      </c>
      <c r="S111" s="655">
        <v>12553</v>
      </c>
      <c r="T111" s="655">
        <v>1449</v>
      </c>
      <c r="U111" s="655">
        <v>494</v>
      </c>
      <c r="V111" s="655">
        <v>0</v>
      </c>
      <c r="W111" s="655">
        <v>44711</v>
      </c>
      <c r="X111" s="655">
        <v>109746</v>
      </c>
      <c r="Y111" s="655">
        <v>0</v>
      </c>
      <c r="Z111" s="655">
        <v>0</v>
      </c>
      <c r="AA111" s="655">
        <v>0</v>
      </c>
      <c r="AB111" s="655">
        <v>0</v>
      </c>
      <c r="AC111" s="655">
        <v>0</v>
      </c>
      <c r="AD111" s="655">
        <v>36260</v>
      </c>
      <c r="AE111" s="655">
        <v>4058745</v>
      </c>
      <c r="AF111" s="655">
        <v>69012</v>
      </c>
      <c r="AG111" s="655">
        <v>238600</v>
      </c>
      <c r="AH111" s="655">
        <v>0</v>
      </c>
      <c r="AI111" s="655">
        <v>1467008</v>
      </c>
      <c r="AJ111" s="655">
        <v>760585</v>
      </c>
      <c r="AK111" s="655">
        <v>6593950</v>
      </c>
      <c r="AL111" s="655">
        <v>6045812</v>
      </c>
      <c r="AM111" s="655">
        <v>548138</v>
      </c>
    </row>
    <row r="112" spans="1:39" x14ac:dyDescent="0.2">
      <c r="A112" s="649">
        <v>2013</v>
      </c>
      <c r="B112" s="650">
        <v>15</v>
      </c>
      <c r="C112" s="656" t="s">
        <v>185</v>
      </c>
      <c r="D112" s="651">
        <v>2169</v>
      </c>
      <c r="E112" s="648" t="s">
        <v>1107</v>
      </c>
      <c r="F112" s="655">
        <v>10271912</v>
      </c>
      <c r="G112" s="655">
        <v>0</v>
      </c>
      <c r="H112" s="655">
        <v>152491</v>
      </c>
      <c r="I112" s="655">
        <v>1563261</v>
      </c>
      <c r="J112" s="655">
        <v>914048</v>
      </c>
      <c r="K112" s="655">
        <v>94725</v>
      </c>
      <c r="L112" s="655">
        <v>104071</v>
      </c>
      <c r="M112" s="655">
        <v>0</v>
      </c>
      <c r="N112" s="655">
        <v>515178</v>
      </c>
      <c r="O112" s="655">
        <v>9006</v>
      </c>
      <c r="P112" s="655">
        <v>92319</v>
      </c>
      <c r="Q112" s="655">
        <v>101367</v>
      </c>
      <c r="R112" s="655">
        <v>0</v>
      </c>
      <c r="S112" s="655">
        <v>51494</v>
      </c>
      <c r="T112" s="655">
        <v>5542</v>
      </c>
      <c r="U112" s="655">
        <v>287500</v>
      </c>
      <c r="V112" s="655">
        <v>0</v>
      </c>
      <c r="W112" s="655">
        <v>81588</v>
      </c>
      <c r="X112" s="655">
        <v>489512</v>
      </c>
      <c r="Y112" s="655">
        <v>0</v>
      </c>
      <c r="Z112" s="655">
        <v>0</v>
      </c>
      <c r="AA112" s="655">
        <v>0</v>
      </c>
      <c r="AB112" s="655">
        <v>0</v>
      </c>
      <c r="AC112" s="655">
        <v>0</v>
      </c>
      <c r="AD112" s="655">
        <v>112431</v>
      </c>
      <c r="AE112" s="655">
        <v>14621583</v>
      </c>
      <c r="AF112" s="655">
        <v>51009</v>
      </c>
      <c r="AG112" s="655">
        <v>818363</v>
      </c>
      <c r="AH112" s="655">
        <v>0</v>
      </c>
      <c r="AI112" s="655">
        <v>2211370</v>
      </c>
      <c r="AJ112" s="655">
        <v>720395</v>
      </c>
      <c r="AK112" s="655">
        <v>18422720</v>
      </c>
      <c r="AL112" s="655">
        <v>17425893</v>
      </c>
      <c r="AM112" s="655">
        <v>996827</v>
      </c>
    </row>
    <row r="113" spans="1:39" x14ac:dyDescent="0.2">
      <c r="A113" s="649">
        <v>2013</v>
      </c>
      <c r="B113" s="650">
        <v>7</v>
      </c>
      <c r="C113" s="656" t="s">
        <v>187</v>
      </c>
      <c r="D113" s="651">
        <v>2295</v>
      </c>
      <c r="E113" s="648" t="s">
        <v>1109</v>
      </c>
      <c r="F113" s="655">
        <v>7023435</v>
      </c>
      <c r="G113" s="655">
        <v>309733</v>
      </c>
      <c r="H113" s="655">
        <v>231138</v>
      </c>
      <c r="I113" s="655">
        <v>1257906</v>
      </c>
      <c r="J113" s="655">
        <v>667537</v>
      </c>
      <c r="K113" s="655">
        <v>77831</v>
      </c>
      <c r="L113" s="655">
        <v>73991</v>
      </c>
      <c r="M113" s="655">
        <v>0</v>
      </c>
      <c r="N113" s="655">
        <v>368323</v>
      </c>
      <c r="O113" s="655">
        <v>52446</v>
      </c>
      <c r="P113" s="655">
        <v>57909</v>
      </c>
      <c r="Q113" s="655">
        <v>64741</v>
      </c>
      <c r="R113" s="655">
        <v>0</v>
      </c>
      <c r="S113" s="655">
        <v>50488</v>
      </c>
      <c r="T113" s="655">
        <v>5796</v>
      </c>
      <c r="U113" s="655">
        <v>296908</v>
      </c>
      <c r="V113" s="655">
        <v>0</v>
      </c>
      <c r="W113" s="655">
        <v>42154</v>
      </c>
      <c r="X113" s="655">
        <v>308349</v>
      </c>
      <c r="Y113" s="655">
        <v>0</v>
      </c>
      <c r="Z113" s="655">
        <v>0</v>
      </c>
      <c r="AA113" s="655">
        <v>0</v>
      </c>
      <c r="AB113" s="655">
        <v>0</v>
      </c>
      <c r="AC113" s="655">
        <v>0</v>
      </c>
      <c r="AD113" s="655">
        <v>89830</v>
      </c>
      <c r="AE113" s="655">
        <v>10798855</v>
      </c>
      <c r="AF113" s="655">
        <v>129022</v>
      </c>
      <c r="AG113" s="655">
        <v>540712</v>
      </c>
      <c r="AH113" s="655">
        <v>0</v>
      </c>
      <c r="AI113" s="655">
        <v>2506259</v>
      </c>
      <c r="AJ113" s="655">
        <v>2018665</v>
      </c>
      <c r="AK113" s="655">
        <v>15993513</v>
      </c>
      <c r="AL113" s="655">
        <v>14163089</v>
      </c>
      <c r="AM113" s="655">
        <v>1830424</v>
      </c>
    </row>
    <row r="114" spans="1:39" x14ac:dyDescent="0.2">
      <c r="A114" s="649">
        <v>2013</v>
      </c>
      <c r="B114" s="650">
        <v>5</v>
      </c>
      <c r="C114" s="656" t="s">
        <v>188</v>
      </c>
      <c r="D114" s="651">
        <v>2313</v>
      </c>
      <c r="E114" s="648" t="s">
        <v>1110</v>
      </c>
      <c r="F114" s="655">
        <v>22040779</v>
      </c>
      <c r="G114" s="655">
        <v>268732</v>
      </c>
      <c r="H114" s="655">
        <v>216037</v>
      </c>
      <c r="I114" s="655">
        <v>3444580</v>
      </c>
      <c r="J114" s="655">
        <v>1939538</v>
      </c>
      <c r="K114" s="655">
        <v>226530</v>
      </c>
      <c r="L114" s="655">
        <v>258336</v>
      </c>
      <c r="M114" s="655">
        <v>0</v>
      </c>
      <c r="N114" s="655">
        <v>1157622</v>
      </c>
      <c r="O114" s="655">
        <v>59816</v>
      </c>
      <c r="P114" s="655">
        <v>220888</v>
      </c>
      <c r="Q114" s="655">
        <v>248399</v>
      </c>
      <c r="R114" s="655">
        <v>23151</v>
      </c>
      <c r="S114" s="655">
        <v>124771</v>
      </c>
      <c r="T114" s="655">
        <v>14906</v>
      </c>
      <c r="U114" s="655">
        <v>665916</v>
      </c>
      <c r="V114" s="655">
        <v>0</v>
      </c>
      <c r="W114" s="655">
        <v>347213</v>
      </c>
      <c r="X114" s="655">
        <v>295624</v>
      </c>
      <c r="Y114" s="655">
        <v>0</v>
      </c>
      <c r="Z114" s="655">
        <v>0</v>
      </c>
      <c r="AA114" s="655">
        <v>0</v>
      </c>
      <c r="AB114" s="655">
        <v>0</v>
      </c>
      <c r="AC114" s="655">
        <v>0</v>
      </c>
      <c r="AD114" s="655">
        <v>259890</v>
      </c>
      <c r="AE114" s="655">
        <v>31292948</v>
      </c>
      <c r="AF114" s="655">
        <v>726121</v>
      </c>
      <c r="AG114" s="655">
        <v>1247191</v>
      </c>
      <c r="AH114" s="655">
        <v>0</v>
      </c>
      <c r="AI114" s="655">
        <v>5058193</v>
      </c>
      <c r="AJ114" s="655">
        <v>4327246</v>
      </c>
      <c r="AK114" s="655">
        <v>42651699</v>
      </c>
      <c r="AL114" s="655">
        <v>38474604</v>
      </c>
      <c r="AM114" s="655">
        <v>4177095</v>
      </c>
    </row>
    <row r="115" spans="1:39" x14ac:dyDescent="0.2">
      <c r="A115" s="649">
        <v>2013</v>
      </c>
      <c r="B115" s="650">
        <v>15</v>
      </c>
      <c r="C115" s="656" t="s">
        <v>189</v>
      </c>
      <c r="D115" s="651">
        <v>2322</v>
      </c>
      <c r="E115" s="648" t="s">
        <v>1111</v>
      </c>
      <c r="F115" s="655">
        <v>13491448</v>
      </c>
      <c r="G115" s="655">
        <v>91575</v>
      </c>
      <c r="H115" s="655">
        <v>109596</v>
      </c>
      <c r="I115" s="655">
        <v>1876513</v>
      </c>
      <c r="J115" s="655">
        <v>1103619</v>
      </c>
      <c r="K115" s="655">
        <v>123516</v>
      </c>
      <c r="L115" s="655">
        <v>138174</v>
      </c>
      <c r="M115" s="655">
        <v>0</v>
      </c>
      <c r="N115" s="655">
        <v>668958</v>
      </c>
      <c r="O115" s="655">
        <v>43885</v>
      </c>
      <c r="P115" s="655">
        <v>123485</v>
      </c>
      <c r="Q115" s="655">
        <v>135587</v>
      </c>
      <c r="R115" s="655">
        <v>0</v>
      </c>
      <c r="S115" s="655">
        <v>67497</v>
      </c>
      <c r="T115" s="655">
        <v>7256</v>
      </c>
      <c r="U115" s="655">
        <v>674550</v>
      </c>
      <c r="V115" s="655">
        <v>0</v>
      </c>
      <c r="W115" s="655">
        <v>337103</v>
      </c>
      <c r="X115" s="655">
        <v>715741</v>
      </c>
      <c r="Y115" s="655">
        <v>0</v>
      </c>
      <c r="Z115" s="655">
        <v>0</v>
      </c>
      <c r="AA115" s="655">
        <v>0</v>
      </c>
      <c r="AB115" s="655">
        <v>0</v>
      </c>
      <c r="AC115" s="655">
        <v>0</v>
      </c>
      <c r="AD115" s="655">
        <v>152451</v>
      </c>
      <c r="AE115" s="655">
        <v>19556052</v>
      </c>
      <c r="AF115" s="655">
        <v>0</v>
      </c>
      <c r="AG115" s="655">
        <v>0</v>
      </c>
      <c r="AH115" s="655">
        <v>0</v>
      </c>
      <c r="AI115" s="655">
        <v>1678823</v>
      </c>
      <c r="AJ115" s="655">
        <v>4957353</v>
      </c>
      <c r="AK115" s="655">
        <v>26192228</v>
      </c>
      <c r="AL115" s="655">
        <v>21488868</v>
      </c>
      <c r="AM115" s="655">
        <v>4703360</v>
      </c>
    </row>
    <row r="116" spans="1:39" x14ac:dyDescent="0.2">
      <c r="A116" s="649">
        <v>2013</v>
      </c>
      <c r="B116" s="650">
        <v>13</v>
      </c>
      <c r="C116" s="656" t="s">
        <v>190</v>
      </c>
      <c r="D116" s="651">
        <v>2369</v>
      </c>
      <c r="E116" s="648" t="s">
        <v>1112</v>
      </c>
      <c r="F116" s="655">
        <v>2540223</v>
      </c>
      <c r="G116" s="655">
        <v>0</v>
      </c>
      <c r="H116" s="655">
        <v>237958</v>
      </c>
      <c r="I116" s="655">
        <v>301790</v>
      </c>
      <c r="J116" s="655">
        <v>219409</v>
      </c>
      <c r="K116" s="655">
        <v>20890</v>
      </c>
      <c r="L116" s="655">
        <v>28386</v>
      </c>
      <c r="M116" s="655">
        <v>0</v>
      </c>
      <c r="N116" s="655">
        <v>124961</v>
      </c>
      <c r="O116" s="655">
        <v>9279</v>
      </c>
      <c r="P116" s="655">
        <v>20872</v>
      </c>
      <c r="Q116" s="655">
        <v>23086</v>
      </c>
      <c r="R116" s="655">
        <v>0</v>
      </c>
      <c r="S116" s="655">
        <v>12834</v>
      </c>
      <c r="T116" s="655">
        <v>1354</v>
      </c>
      <c r="U116" s="655">
        <v>0</v>
      </c>
      <c r="V116" s="655">
        <v>0</v>
      </c>
      <c r="W116" s="655">
        <v>139823</v>
      </c>
      <c r="X116" s="655">
        <v>162894</v>
      </c>
      <c r="Y116" s="655">
        <v>0</v>
      </c>
      <c r="Z116" s="655">
        <v>0</v>
      </c>
      <c r="AA116" s="655">
        <v>0</v>
      </c>
      <c r="AB116" s="655">
        <v>0</v>
      </c>
      <c r="AC116" s="655">
        <v>0</v>
      </c>
      <c r="AD116" s="655">
        <v>25253</v>
      </c>
      <c r="AE116" s="655">
        <v>3818506</v>
      </c>
      <c r="AF116" s="655">
        <v>84014</v>
      </c>
      <c r="AG116" s="655">
        <v>199661</v>
      </c>
      <c r="AH116" s="655">
        <v>0</v>
      </c>
      <c r="AI116" s="655">
        <v>664694</v>
      </c>
      <c r="AJ116" s="655">
        <v>1511533</v>
      </c>
      <c r="AK116" s="655">
        <v>6278408</v>
      </c>
      <c r="AL116" s="655">
        <v>4808915</v>
      </c>
      <c r="AM116" s="655">
        <v>1469493</v>
      </c>
    </row>
    <row r="117" spans="1:39" x14ac:dyDescent="0.2">
      <c r="A117" s="649">
        <v>2013</v>
      </c>
      <c r="B117" s="650">
        <v>12</v>
      </c>
      <c r="C117" s="656" t="s">
        <v>191</v>
      </c>
      <c r="D117" s="651">
        <v>2376</v>
      </c>
      <c r="E117" s="648" t="s">
        <v>1113</v>
      </c>
      <c r="F117" s="655">
        <v>2611856</v>
      </c>
      <c r="G117" s="655">
        <v>46191</v>
      </c>
      <c r="H117" s="655">
        <v>352564</v>
      </c>
      <c r="I117" s="655">
        <v>233800</v>
      </c>
      <c r="J117" s="655">
        <v>246935</v>
      </c>
      <c r="K117" s="655">
        <v>25361</v>
      </c>
      <c r="L117" s="655">
        <v>26308</v>
      </c>
      <c r="M117" s="655">
        <v>0</v>
      </c>
      <c r="N117" s="655">
        <v>127583</v>
      </c>
      <c r="O117" s="655">
        <v>6747</v>
      </c>
      <c r="P117" s="655">
        <v>21633</v>
      </c>
      <c r="Q117" s="655">
        <v>24318</v>
      </c>
      <c r="R117" s="655">
        <v>0</v>
      </c>
      <c r="S117" s="655">
        <v>13147</v>
      </c>
      <c r="T117" s="655">
        <v>1577</v>
      </c>
      <c r="U117" s="655">
        <v>0</v>
      </c>
      <c r="V117" s="655">
        <v>0</v>
      </c>
      <c r="W117" s="655">
        <v>66352</v>
      </c>
      <c r="X117" s="655">
        <v>0</v>
      </c>
      <c r="Y117" s="655">
        <v>3981</v>
      </c>
      <c r="Z117" s="655">
        <v>0</v>
      </c>
      <c r="AA117" s="655">
        <v>0</v>
      </c>
      <c r="AB117" s="655">
        <v>0</v>
      </c>
      <c r="AC117" s="655">
        <v>0</v>
      </c>
      <c r="AD117" s="655">
        <v>31586</v>
      </c>
      <c r="AE117" s="655">
        <v>3768805</v>
      </c>
      <c r="AF117" s="655">
        <v>78013</v>
      </c>
      <c r="AG117" s="655">
        <v>0</v>
      </c>
      <c r="AH117" s="655">
        <v>0</v>
      </c>
      <c r="AI117" s="655">
        <v>1306228</v>
      </c>
      <c r="AJ117" s="655">
        <v>868922</v>
      </c>
      <c r="AK117" s="655">
        <v>6021968</v>
      </c>
      <c r="AL117" s="655">
        <v>5168724</v>
      </c>
      <c r="AM117" s="655">
        <v>853244</v>
      </c>
    </row>
    <row r="118" spans="1:39" x14ac:dyDescent="0.2">
      <c r="A118" s="649">
        <v>2013</v>
      </c>
      <c r="B118" s="650">
        <v>7</v>
      </c>
      <c r="C118" s="656" t="s">
        <v>192</v>
      </c>
      <c r="D118" s="651">
        <v>2403</v>
      </c>
      <c r="E118" s="648" t="s">
        <v>1747</v>
      </c>
      <c r="F118" s="655">
        <v>6236696</v>
      </c>
      <c r="G118" s="655">
        <v>46314</v>
      </c>
      <c r="H118" s="655">
        <v>261196</v>
      </c>
      <c r="I118" s="655">
        <v>655507</v>
      </c>
      <c r="J118" s="655">
        <v>576163</v>
      </c>
      <c r="K118" s="655">
        <v>63812</v>
      </c>
      <c r="L118" s="655">
        <v>65165</v>
      </c>
      <c r="M118" s="655">
        <v>0</v>
      </c>
      <c r="N118" s="655">
        <v>305248</v>
      </c>
      <c r="O118" s="655">
        <v>4723</v>
      </c>
      <c r="P118" s="655">
        <v>51090</v>
      </c>
      <c r="Q118" s="655">
        <v>57118</v>
      </c>
      <c r="R118" s="655">
        <v>0</v>
      </c>
      <c r="S118" s="655">
        <v>39662</v>
      </c>
      <c r="T118" s="655">
        <v>4552</v>
      </c>
      <c r="U118" s="655">
        <v>0</v>
      </c>
      <c r="V118" s="655">
        <v>0</v>
      </c>
      <c r="W118" s="655">
        <v>128924</v>
      </c>
      <c r="X118" s="655">
        <v>114434</v>
      </c>
      <c r="Y118" s="655">
        <v>6511</v>
      </c>
      <c r="Z118" s="655">
        <v>0</v>
      </c>
      <c r="AA118" s="655">
        <v>0</v>
      </c>
      <c r="AB118" s="655">
        <v>0</v>
      </c>
      <c r="AC118" s="655">
        <v>-5883</v>
      </c>
      <c r="AD118" s="655">
        <v>60752</v>
      </c>
      <c r="AE118" s="655">
        <v>8537458</v>
      </c>
      <c r="AF118" s="655">
        <v>117020</v>
      </c>
      <c r="AG118" s="655">
        <v>490418</v>
      </c>
      <c r="AH118" s="655">
        <v>81822</v>
      </c>
      <c r="AI118" s="655">
        <v>3487877</v>
      </c>
      <c r="AJ118" s="655">
        <v>3147370</v>
      </c>
      <c r="AK118" s="655">
        <v>15861965</v>
      </c>
      <c r="AL118" s="655">
        <v>12510541</v>
      </c>
      <c r="AM118" s="655">
        <v>3351424</v>
      </c>
    </row>
    <row r="119" spans="1:39" x14ac:dyDescent="0.2">
      <c r="A119" s="649">
        <v>2013</v>
      </c>
      <c r="B119" s="650">
        <v>12</v>
      </c>
      <c r="C119" s="656" t="s">
        <v>193</v>
      </c>
      <c r="D119" s="651">
        <v>2457</v>
      </c>
      <c r="E119" s="648" t="s">
        <v>1002</v>
      </c>
      <c r="F119" s="655">
        <v>2820470</v>
      </c>
      <c r="G119" s="655">
        <v>0</v>
      </c>
      <c r="H119" s="655">
        <v>28859</v>
      </c>
      <c r="I119" s="655">
        <v>327835</v>
      </c>
      <c r="J119" s="655">
        <v>254599</v>
      </c>
      <c r="K119" s="655">
        <v>28242</v>
      </c>
      <c r="L119" s="655">
        <v>28524</v>
      </c>
      <c r="M119" s="655">
        <v>0</v>
      </c>
      <c r="N119" s="655">
        <v>141881</v>
      </c>
      <c r="O119" s="655">
        <v>4691</v>
      </c>
      <c r="P119" s="655">
        <v>23361</v>
      </c>
      <c r="Q119" s="655">
        <v>26261</v>
      </c>
      <c r="R119" s="655">
        <v>0</v>
      </c>
      <c r="S119" s="655">
        <v>14228</v>
      </c>
      <c r="T119" s="655">
        <v>1705</v>
      </c>
      <c r="U119" s="655">
        <v>140533</v>
      </c>
      <c r="V119" s="655">
        <v>0</v>
      </c>
      <c r="W119" s="655">
        <v>41181</v>
      </c>
      <c r="X119" s="655">
        <v>0</v>
      </c>
      <c r="Y119" s="655">
        <v>0</v>
      </c>
      <c r="Z119" s="655">
        <v>0</v>
      </c>
      <c r="AA119" s="655">
        <v>0</v>
      </c>
      <c r="AB119" s="655">
        <v>0</v>
      </c>
      <c r="AC119" s="655">
        <v>0</v>
      </c>
      <c r="AD119" s="655">
        <v>29355</v>
      </c>
      <c r="AE119" s="655">
        <v>3853015</v>
      </c>
      <c r="AF119" s="655">
        <v>54009</v>
      </c>
      <c r="AG119" s="655">
        <v>228966</v>
      </c>
      <c r="AH119" s="655">
        <v>0</v>
      </c>
      <c r="AI119" s="655">
        <v>573064</v>
      </c>
      <c r="AJ119" s="655">
        <v>870283</v>
      </c>
      <c r="AK119" s="655">
        <v>5579337</v>
      </c>
      <c r="AL119" s="655">
        <v>4829324</v>
      </c>
      <c r="AM119" s="655">
        <v>750013</v>
      </c>
    </row>
    <row r="120" spans="1:39" x14ac:dyDescent="0.2">
      <c r="A120" s="649">
        <v>2013</v>
      </c>
      <c r="B120" s="650">
        <v>11</v>
      </c>
      <c r="C120" s="656" t="s">
        <v>194</v>
      </c>
      <c r="D120" s="651">
        <v>2466</v>
      </c>
      <c r="E120" s="648" t="s">
        <v>1114</v>
      </c>
      <c r="F120" s="655">
        <v>7588865</v>
      </c>
      <c r="G120" s="655">
        <v>0</v>
      </c>
      <c r="H120" s="655">
        <v>86834</v>
      </c>
      <c r="I120" s="655">
        <v>457756</v>
      </c>
      <c r="J120" s="655">
        <v>615038</v>
      </c>
      <c r="K120" s="655">
        <v>67985</v>
      </c>
      <c r="L120" s="655">
        <v>57211</v>
      </c>
      <c r="M120" s="655">
        <v>0</v>
      </c>
      <c r="N120" s="655">
        <v>342997</v>
      </c>
      <c r="O120" s="655">
        <v>0</v>
      </c>
      <c r="P120" s="655">
        <v>63968</v>
      </c>
      <c r="Q120" s="655">
        <v>70184</v>
      </c>
      <c r="R120" s="655">
        <v>0</v>
      </c>
      <c r="S120" s="655">
        <v>27568</v>
      </c>
      <c r="T120" s="655">
        <v>3540</v>
      </c>
      <c r="U120" s="655">
        <v>131734</v>
      </c>
      <c r="V120" s="655">
        <v>0</v>
      </c>
      <c r="W120" s="655">
        <v>191552</v>
      </c>
      <c r="X120" s="655">
        <v>417119</v>
      </c>
      <c r="Y120" s="655">
        <v>0</v>
      </c>
      <c r="Z120" s="655">
        <v>0</v>
      </c>
      <c r="AA120" s="655">
        <v>0</v>
      </c>
      <c r="AB120" s="655">
        <v>0</v>
      </c>
      <c r="AC120" s="655">
        <v>0</v>
      </c>
      <c r="AD120" s="655">
        <v>47655</v>
      </c>
      <c r="AE120" s="655">
        <v>10074696</v>
      </c>
      <c r="AF120" s="655">
        <v>99017</v>
      </c>
      <c r="AG120" s="655">
        <v>568786</v>
      </c>
      <c r="AH120" s="655">
        <v>0</v>
      </c>
      <c r="AI120" s="655">
        <v>1804037</v>
      </c>
      <c r="AJ120" s="655">
        <v>2653049</v>
      </c>
      <c r="AK120" s="655">
        <v>15199585</v>
      </c>
      <c r="AL120" s="655">
        <v>12907955</v>
      </c>
      <c r="AM120" s="655">
        <v>2291630</v>
      </c>
    </row>
    <row r="121" spans="1:39" x14ac:dyDescent="0.2">
      <c r="A121" s="649">
        <v>2013</v>
      </c>
      <c r="B121" s="650">
        <v>5</v>
      </c>
      <c r="C121" s="656" t="s">
        <v>195</v>
      </c>
      <c r="D121" s="651">
        <v>2493</v>
      </c>
      <c r="E121" s="648" t="s">
        <v>1115</v>
      </c>
      <c r="F121" s="655">
        <v>808008</v>
      </c>
      <c r="G121" s="655">
        <v>34471</v>
      </c>
      <c r="H121" s="655">
        <v>64406</v>
      </c>
      <c r="I121" s="655">
        <v>64764</v>
      </c>
      <c r="J121" s="655">
        <v>77509</v>
      </c>
      <c r="K121" s="655">
        <v>9191</v>
      </c>
      <c r="L121" s="655">
        <v>5919</v>
      </c>
      <c r="M121" s="655">
        <v>0</v>
      </c>
      <c r="N121" s="655">
        <v>38744</v>
      </c>
      <c r="O121" s="655">
        <v>19315</v>
      </c>
      <c r="P121" s="655">
        <v>6479</v>
      </c>
      <c r="Q121" s="655">
        <v>7286</v>
      </c>
      <c r="R121" s="655">
        <v>775</v>
      </c>
      <c r="S121" s="655">
        <v>4137</v>
      </c>
      <c r="T121" s="655">
        <v>494</v>
      </c>
      <c r="U121" s="655">
        <v>0</v>
      </c>
      <c r="V121" s="655">
        <v>0</v>
      </c>
      <c r="W121" s="655">
        <v>64713</v>
      </c>
      <c r="X121" s="655">
        <v>51049</v>
      </c>
      <c r="Y121" s="655">
        <v>0</v>
      </c>
      <c r="Z121" s="655">
        <v>0</v>
      </c>
      <c r="AA121" s="655">
        <v>0</v>
      </c>
      <c r="AB121" s="655">
        <v>0</v>
      </c>
      <c r="AC121" s="655">
        <v>0</v>
      </c>
      <c r="AD121" s="655">
        <v>13215</v>
      </c>
      <c r="AE121" s="655">
        <v>1244045</v>
      </c>
      <c r="AF121" s="655">
        <v>36006</v>
      </c>
      <c r="AG121" s="655">
        <v>75166</v>
      </c>
      <c r="AH121" s="655">
        <v>0</v>
      </c>
      <c r="AI121" s="655">
        <v>118316</v>
      </c>
      <c r="AJ121" s="655">
        <v>986671</v>
      </c>
      <c r="AK121" s="655">
        <v>2460204</v>
      </c>
      <c r="AL121" s="655">
        <v>1525520</v>
      </c>
      <c r="AM121" s="655">
        <v>934684</v>
      </c>
    </row>
    <row r="122" spans="1:39" x14ac:dyDescent="0.2">
      <c r="A122" s="649">
        <v>2013</v>
      </c>
      <c r="B122" s="650">
        <v>7</v>
      </c>
      <c r="C122" s="656" t="s">
        <v>196</v>
      </c>
      <c r="D122" s="651">
        <v>2502</v>
      </c>
      <c r="E122" s="648" t="s">
        <v>1116</v>
      </c>
      <c r="F122" s="655">
        <v>3829598</v>
      </c>
      <c r="G122" s="655">
        <v>84343</v>
      </c>
      <c r="H122" s="655">
        <v>90978</v>
      </c>
      <c r="I122" s="655">
        <v>525479</v>
      </c>
      <c r="J122" s="655">
        <v>359585</v>
      </c>
      <c r="K122" s="655">
        <v>36553</v>
      </c>
      <c r="L122" s="655">
        <v>30040</v>
      </c>
      <c r="M122" s="655">
        <v>0</v>
      </c>
      <c r="N122" s="655">
        <v>190721</v>
      </c>
      <c r="O122" s="655">
        <v>17894</v>
      </c>
      <c r="P122" s="655">
        <v>31178</v>
      </c>
      <c r="Q122" s="655">
        <v>34856</v>
      </c>
      <c r="R122" s="655">
        <v>0</v>
      </c>
      <c r="S122" s="655">
        <v>24634</v>
      </c>
      <c r="T122" s="655">
        <v>2827</v>
      </c>
      <c r="U122" s="655">
        <v>32812</v>
      </c>
      <c r="V122" s="655">
        <v>0</v>
      </c>
      <c r="W122" s="655">
        <v>53535</v>
      </c>
      <c r="X122" s="655">
        <v>0</v>
      </c>
      <c r="Y122" s="655">
        <v>0</v>
      </c>
      <c r="Z122" s="655">
        <v>0</v>
      </c>
      <c r="AA122" s="655">
        <v>0</v>
      </c>
      <c r="AB122" s="655">
        <v>0</v>
      </c>
      <c r="AC122" s="655">
        <v>0</v>
      </c>
      <c r="AD122" s="655">
        <v>46712</v>
      </c>
      <c r="AE122" s="655">
        <v>5298321</v>
      </c>
      <c r="AF122" s="655">
        <v>0</v>
      </c>
      <c r="AG122" s="655">
        <v>319965</v>
      </c>
      <c r="AH122" s="655">
        <v>0</v>
      </c>
      <c r="AI122" s="655">
        <v>506728</v>
      </c>
      <c r="AJ122" s="655">
        <v>1468552</v>
      </c>
      <c r="AK122" s="655">
        <v>7593566</v>
      </c>
      <c r="AL122" s="655">
        <v>6436917</v>
      </c>
      <c r="AM122" s="655">
        <v>1156649</v>
      </c>
    </row>
    <row r="123" spans="1:39" x14ac:dyDescent="0.2">
      <c r="A123" s="649">
        <v>2013</v>
      </c>
      <c r="B123" s="650">
        <v>13</v>
      </c>
      <c r="C123" s="656" t="s">
        <v>197</v>
      </c>
      <c r="D123" s="651">
        <v>2511</v>
      </c>
      <c r="E123" s="648" t="s">
        <v>1117</v>
      </c>
      <c r="F123" s="655">
        <v>12115419</v>
      </c>
      <c r="G123" s="655">
        <v>398669</v>
      </c>
      <c r="H123" s="655">
        <v>104261</v>
      </c>
      <c r="I123" s="655">
        <v>1445281</v>
      </c>
      <c r="J123" s="655">
        <v>1016572</v>
      </c>
      <c r="K123" s="655">
        <v>109222</v>
      </c>
      <c r="L123" s="655">
        <v>125903</v>
      </c>
      <c r="M123" s="655">
        <v>0</v>
      </c>
      <c r="N123" s="655">
        <v>596255</v>
      </c>
      <c r="O123" s="655">
        <v>13193</v>
      </c>
      <c r="P123" s="655">
        <v>100479</v>
      </c>
      <c r="Q123" s="655">
        <v>111139</v>
      </c>
      <c r="R123" s="655">
        <v>0</v>
      </c>
      <c r="S123" s="655">
        <v>62596</v>
      </c>
      <c r="T123" s="655">
        <v>6597</v>
      </c>
      <c r="U123" s="655">
        <v>478172</v>
      </c>
      <c r="V123" s="655">
        <v>0</v>
      </c>
      <c r="W123" s="655">
        <v>88788</v>
      </c>
      <c r="X123" s="655">
        <v>261607</v>
      </c>
      <c r="Y123" s="655">
        <v>0</v>
      </c>
      <c r="Z123" s="655">
        <v>0</v>
      </c>
      <c r="AA123" s="655">
        <v>0</v>
      </c>
      <c r="AB123" s="655">
        <v>0</v>
      </c>
      <c r="AC123" s="655">
        <v>0</v>
      </c>
      <c r="AD123" s="655">
        <v>108908</v>
      </c>
      <c r="AE123" s="655">
        <v>16925245</v>
      </c>
      <c r="AF123" s="655">
        <v>171029</v>
      </c>
      <c r="AG123" s="655">
        <v>778251</v>
      </c>
      <c r="AH123" s="655">
        <v>0</v>
      </c>
      <c r="AI123" s="655">
        <v>2241476</v>
      </c>
      <c r="AJ123" s="655">
        <v>5682849</v>
      </c>
      <c r="AK123" s="655">
        <v>25798850</v>
      </c>
      <c r="AL123" s="655">
        <v>19306241</v>
      </c>
      <c r="AM123" s="655">
        <v>6492609</v>
      </c>
    </row>
    <row r="124" spans="1:39" x14ac:dyDescent="0.2">
      <c r="A124" s="649">
        <v>2013</v>
      </c>
      <c r="B124" s="650">
        <v>11</v>
      </c>
      <c r="C124" s="656" t="s">
        <v>198</v>
      </c>
      <c r="D124" s="651">
        <v>2520</v>
      </c>
      <c r="E124" s="648" t="s">
        <v>1118</v>
      </c>
      <c r="F124" s="655">
        <v>1951900</v>
      </c>
      <c r="G124" s="655">
        <v>53895</v>
      </c>
      <c r="H124" s="655">
        <v>76869</v>
      </c>
      <c r="I124" s="655">
        <v>109513</v>
      </c>
      <c r="J124" s="655">
        <v>188637</v>
      </c>
      <c r="K124" s="655">
        <v>19778</v>
      </c>
      <c r="L124" s="655">
        <v>20045</v>
      </c>
      <c r="M124" s="655">
        <v>0</v>
      </c>
      <c r="N124" s="655">
        <v>87826</v>
      </c>
      <c r="O124" s="655">
        <v>10204</v>
      </c>
      <c r="P124" s="655">
        <v>16261</v>
      </c>
      <c r="Q124" s="655">
        <v>17842</v>
      </c>
      <c r="R124" s="655">
        <v>0</v>
      </c>
      <c r="S124" s="655">
        <v>7191</v>
      </c>
      <c r="T124" s="655">
        <v>926</v>
      </c>
      <c r="U124" s="655">
        <v>44810</v>
      </c>
      <c r="V124" s="655">
        <v>0</v>
      </c>
      <c r="W124" s="655">
        <v>0</v>
      </c>
      <c r="X124" s="655">
        <v>109605</v>
      </c>
      <c r="Y124" s="655">
        <v>0</v>
      </c>
      <c r="Z124" s="655">
        <v>0</v>
      </c>
      <c r="AA124" s="655">
        <v>0</v>
      </c>
      <c r="AB124" s="655">
        <v>0</v>
      </c>
      <c r="AC124" s="655">
        <v>0</v>
      </c>
      <c r="AD124" s="655">
        <v>21295</v>
      </c>
      <c r="AE124" s="655">
        <v>2694007</v>
      </c>
      <c r="AF124" s="655">
        <v>81014</v>
      </c>
      <c r="AG124" s="655">
        <v>163433</v>
      </c>
      <c r="AH124" s="655">
        <v>0</v>
      </c>
      <c r="AI124" s="655">
        <v>552793</v>
      </c>
      <c r="AJ124" s="655">
        <v>3816808</v>
      </c>
      <c r="AK124" s="655">
        <v>7308055</v>
      </c>
      <c r="AL124" s="655">
        <v>3739551</v>
      </c>
      <c r="AM124" s="655">
        <v>3568504</v>
      </c>
    </row>
    <row r="125" spans="1:39" x14ac:dyDescent="0.2">
      <c r="A125" s="649">
        <v>2013</v>
      </c>
      <c r="B125" s="650">
        <v>5</v>
      </c>
      <c r="C125" s="656" t="s">
        <v>199</v>
      </c>
      <c r="D125" s="651">
        <v>2556</v>
      </c>
      <c r="E125" s="648" t="s">
        <v>630</v>
      </c>
      <c r="F125" s="655">
        <v>2183808</v>
      </c>
      <c r="G125" s="655">
        <v>25667</v>
      </c>
      <c r="H125" s="655">
        <v>325105</v>
      </c>
      <c r="I125" s="655">
        <v>259290</v>
      </c>
      <c r="J125" s="655">
        <v>200579</v>
      </c>
      <c r="K125" s="655">
        <v>18571</v>
      </c>
      <c r="L125" s="655">
        <v>23105</v>
      </c>
      <c r="M125" s="655">
        <v>0</v>
      </c>
      <c r="N125" s="655">
        <v>111194</v>
      </c>
      <c r="O125" s="655">
        <v>11919</v>
      </c>
      <c r="P125" s="655">
        <v>18251</v>
      </c>
      <c r="Q125" s="655">
        <v>20524</v>
      </c>
      <c r="R125" s="655">
        <v>2223</v>
      </c>
      <c r="S125" s="655">
        <v>11874</v>
      </c>
      <c r="T125" s="655">
        <v>1417</v>
      </c>
      <c r="U125" s="655">
        <v>36886</v>
      </c>
      <c r="V125" s="655">
        <v>0</v>
      </c>
      <c r="W125" s="655">
        <v>35298</v>
      </c>
      <c r="X125" s="655">
        <v>34892</v>
      </c>
      <c r="Y125" s="655">
        <v>0</v>
      </c>
      <c r="Z125" s="655">
        <v>0</v>
      </c>
      <c r="AA125" s="655">
        <v>0</v>
      </c>
      <c r="AB125" s="655">
        <v>0</v>
      </c>
      <c r="AC125" s="655">
        <v>0</v>
      </c>
      <c r="AD125" s="655">
        <v>28619</v>
      </c>
      <c r="AE125" s="655">
        <v>3291984</v>
      </c>
      <c r="AF125" s="655">
        <v>54009</v>
      </c>
      <c r="AG125" s="655">
        <v>190943</v>
      </c>
      <c r="AH125" s="655">
        <v>0</v>
      </c>
      <c r="AI125" s="655">
        <v>510314</v>
      </c>
      <c r="AJ125" s="655">
        <v>1720585</v>
      </c>
      <c r="AK125" s="655">
        <v>5767835</v>
      </c>
      <c r="AL125" s="655">
        <v>4085864</v>
      </c>
      <c r="AM125" s="655">
        <v>1681971</v>
      </c>
    </row>
    <row r="126" spans="1:39" x14ac:dyDescent="0.2">
      <c r="A126" s="649">
        <v>2013</v>
      </c>
      <c r="B126" s="650">
        <v>13</v>
      </c>
      <c r="C126" s="656" t="s">
        <v>200</v>
      </c>
      <c r="D126" s="651">
        <v>2673</v>
      </c>
      <c r="E126" s="648" t="s">
        <v>2009</v>
      </c>
      <c r="F126" s="655">
        <v>4155955</v>
      </c>
      <c r="G126" s="655">
        <v>0</v>
      </c>
      <c r="H126" s="655">
        <v>55332</v>
      </c>
      <c r="I126" s="655">
        <v>568236</v>
      </c>
      <c r="J126" s="655">
        <v>382378</v>
      </c>
      <c r="K126" s="655">
        <v>43845</v>
      </c>
      <c r="L126" s="655">
        <v>42613</v>
      </c>
      <c r="M126" s="655">
        <v>0</v>
      </c>
      <c r="N126" s="655">
        <v>206447</v>
      </c>
      <c r="O126" s="655">
        <v>668</v>
      </c>
      <c r="P126" s="655">
        <v>33788</v>
      </c>
      <c r="Q126" s="655">
        <v>37372</v>
      </c>
      <c r="R126" s="655">
        <v>0</v>
      </c>
      <c r="S126" s="655">
        <v>21203</v>
      </c>
      <c r="T126" s="655">
        <v>2238</v>
      </c>
      <c r="U126" s="655">
        <v>0</v>
      </c>
      <c r="V126" s="655">
        <v>0</v>
      </c>
      <c r="W126" s="655">
        <v>18977</v>
      </c>
      <c r="X126" s="655">
        <v>115453</v>
      </c>
      <c r="Y126" s="655">
        <v>0</v>
      </c>
      <c r="Z126" s="655">
        <v>0</v>
      </c>
      <c r="AA126" s="655">
        <v>0</v>
      </c>
      <c r="AB126" s="655">
        <v>0</v>
      </c>
      <c r="AC126" s="655">
        <v>0</v>
      </c>
      <c r="AD126" s="655">
        <v>48353</v>
      </c>
      <c r="AE126" s="655">
        <v>5636152</v>
      </c>
      <c r="AF126" s="655">
        <v>99017</v>
      </c>
      <c r="AG126" s="655">
        <v>323625</v>
      </c>
      <c r="AH126" s="655">
        <v>0</v>
      </c>
      <c r="AI126" s="655">
        <v>571252</v>
      </c>
      <c r="AJ126" s="655">
        <v>819530</v>
      </c>
      <c r="AK126" s="655">
        <v>7449576</v>
      </c>
      <c r="AL126" s="655">
        <v>7141300</v>
      </c>
      <c r="AM126" s="655">
        <v>308276</v>
      </c>
    </row>
    <row r="127" spans="1:39" x14ac:dyDescent="0.2">
      <c r="A127" s="649">
        <v>2013</v>
      </c>
      <c r="B127" s="650">
        <v>7</v>
      </c>
      <c r="C127" s="656" t="s">
        <v>201</v>
      </c>
      <c r="D127" s="651">
        <v>2682</v>
      </c>
      <c r="E127" s="648" t="s">
        <v>1119</v>
      </c>
      <c r="F127" s="655">
        <v>1910118</v>
      </c>
      <c r="G127" s="655">
        <v>47121</v>
      </c>
      <c r="H127" s="655">
        <v>27119</v>
      </c>
      <c r="I127" s="655">
        <v>171209</v>
      </c>
      <c r="J127" s="655">
        <v>199284</v>
      </c>
      <c r="K127" s="655">
        <v>23690</v>
      </c>
      <c r="L127" s="655">
        <v>23555</v>
      </c>
      <c r="M127" s="655">
        <v>0</v>
      </c>
      <c r="N127" s="655">
        <v>92666</v>
      </c>
      <c r="O127" s="655">
        <v>12709</v>
      </c>
      <c r="P127" s="655">
        <v>15811</v>
      </c>
      <c r="Q127" s="655">
        <v>17677</v>
      </c>
      <c r="R127" s="655">
        <v>0</v>
      </c>
      <c r="S127" s="655">
        <v>12784</v>
      </c>
      <c r="T127" s="655">
        <v>1467</v>
      </c>
      <c r="U127" s="655">
        <v>88575</v>
      </c>
      <c r="V127" s="655">
        <v>0</v>
      </c>
      <c r="W127" s="655">
        <v>41181</v>
      </c>
      <c r="X127" s="655">
        <v>88440</v>
      </c>
      <c r="Y127" s="655">
        <v>0</v>
      </c>
      <c r="Z127" s="655">
        <v>0</v>
      </c>
      <c r="AA127" s="655">
        <v>0</v>
      </c>
      <c r="AB127" s="655">
        <v>0</v>
      </c>
      <c r="AC127" s="655">
        <v>0</v>
      </c>
      <c r="AD127" s="655">
        <v>21260</v>
      </c>
      <c r="AE127" s="655">
        <v>2752146</v>
      </c>
      <c r="AF127" s="655">
        <v>108018</v>
      </c>
      <c r="AG127" s="655">
        <v>158791</v>
      </c>
      <c r="AH127" s="655">
        <v>0</v>
      </c>
      <c r="AI127" s="655">
        <v>1338274</v>
      </c>
      <c r="AJ127" s="655">
        <v>1694287</v>
      </c>
      <c r="AK127" s="655">
        <v>6051516</v>
      </c>
      <c r="AL127" s="655">
        <v>4424310</v>
      </c>
      <c r="AM127" s="655">
        <v>1627206</v>
      </c>
    </row>
    <row r="128" spans="1:39" x14ac:dyDescent="0.2">
      <c r="A128" s="649">
        <v>2013</v>
      </c>
      <c r="B128" s="650">
        <v>7</v>
      </c>
      <c r="C128" s="656" t="s">
        <v>202</v>
      </c>
      <c r="D128" s="651">
        <v>2709</v>
      </c>
      <c r="E128" s="648" t="s">
        <v>1120</v>
      </c>
      <c r="F128" s="655">
        <v>10500434</v>
      </c>
      <c r="G128" s="655">
        <v>0</v>
      </c>
      <c r="H128" s="655">
        <v>75704</v>
      </c>
      <c r="I128" s="655">
        <v>1545819</v>
      </c>
      <c r="J128" s="655">
        <v>885355</v>
      </c>
      <c r="K128" s="655">
        <v>96428</v>
      </c>
      <c r="L128" s="655">
        <v>107584</v>
      </c>
      <c r="M128" s="655">
        <v>0</v>
      </c>
      <c r="N128" s="655">
        <v>534283</v>
      </c>
      <c r="O128" s="655">
        <v>0</v>
      </c>
      <c r="P128" s="655">
        <v>87703</v>
      </c>
      <c r="Q128" s="655">
        <v>98051</v>
      </c>
      <c r="R128" s="655">
        <v>0</v>
      </c>
      <c r="S128" s="655">
        <v>69010</v>
      </c>
      <c r="T128" s="655">
        <v>7919</v>
      </c>
      <c r="U128" s="655">
        <v>411595</v>
      </c>
      <c r="V128" s="655">
        <v>0</v>
      </c>
      <c r="W128" s="655">
        <v>24857</v>
      </c>
      <c r="X128" s="655">
        <v>206740</v>
      </c>
      <c r="Y128" s="655">
        <v>0</v>
      </c>
      <c r="Z128" s="655">
        <v>0</v>
      </c>
      <c r="AA128" s="655">
        <v>0</v>
      </c>
      <c r="AB128" s="655">
        <v>0</v>
      </c>
      <c r="AC128" s="655">
        <v>0</v>
      </c>
      <c r="AD128" s="655">
        <v>100237</v>
      </c>
      <c r="AE128" s="655">
        <v>14551245</v>
      </c>
      <c r="AF128" s="655">
        <v>168028</v>
      </c>
      <c r="AG128" s="655">
        <v>798873</v>
      </c>
      <c r="AH128" s="655">
        <v>0</v>
      </c>
      <c r="AI128" s="655">
        <v>1117085</v>
      </c>
      <c r="AJ128" s="655">
        <v>5342712</v>
      </c>
      <c r="AK128" s="655">
        <v>21977943</v>
      </c>
      <c r="AL128" s="655">
        <v>16568349</v>
      </c>
      <c r="AM128" s="655">
        <v>5409594</v>
      </c>
    </row>
    <row r="129" spans="1:39" x14ac:dyDescent="0.2">
      <c r="A129" s="649">
        <v>2013</v>
      </c>
      <c r="B129" s="650">
        <v>13</v>
      </c>
      <c r="C129" s="656" t="s">
        <v>203</v>
      </c>
      <c r="D129" s="651">
        <v>2718</v>
      </c>
      <c r="E129" s="648" t="s">
        <v>1121</v>
      </c>
      <c r="F129" s="655">
        <v>3554676</v>
      </c>
      <c r="G129" s="655">
        <v>43805</v>
      </c>
      <c r="H129" s="655">
        <v>143898</v>
      </c>
      <c r="I129" s="655">
        <v>518097</v>
      </c>
      <c r="J129" s="655">
        <v>296984</v>
      </c>
      <c r="K129" s="655">
        <v>30507</v>
      </c>
      <c r="L129" s="655">
        <v>30472</v>
      </c>
      <c r="M129" s="655">
        <v>0</v>
      </c>
      <c r="N129" s="655">
        <v>177158</v>
      </c>
      <c r="O129" s="655">
        <v>4398</v>
      </c>
      <c r="P129" s="655">
        <v>28778</v>
      </c>
      <c r="Q129" s="655">
        <v>31832</v>
      </c>
      <c r="R129" s="655">
        <v>0</v>
      </c>
      <c r="S129" s="655">
        <v>18248</v>
      </c>
      <c r="T129" s="655">
        <v>1923</v>
      </c>
      <c r="U129" s="655">
        <v>9880</v>
      </c>
      <c r="V129" s="655">
        <v>0</v>
      </c>
      <c r="W129" s="655">
        <v>75480</v>
      </c>
      <c r="X129" s="655">
        <v>121280</v>
      </c>
      <c r="Y129" s="655">
        <v>0</v>
      </c>
      <c r="Z129" s="655">
        <v>0</v>
      </c>
      <c r="AA129" s="655">
        <v>0</v>
      </c>
      <c r="AB129" s="655">
        <v>0</v>
      </c>
      <c r="AC129" s="655">
        <v>0</v>
      </c>
      <c r="AD129" s="655">
        <v>37975</v>
      </c>
      <c r="AE129" s="655">
        <v>5049441</v>
      </c>
      <c r="AF129" s="655">
        <v>87015</v>
      </c>
      <c r="AG129" s="655">
        <v>292520</v>
      </c>
      <c r="AH129" s="655">
        <v>0</v>
      </c>
      <c r="AI129" s="655">
        <v>409440</v>
      </c>
      <c r="AJ129" s="655">
        <v>2135547</v>
      </c>
      <c r="AK129" s="655">
        <v>7973963</v>
      </c>
      <c r="AL129" s="655">
        <v>6160506</v>
      </c>
      <c r="AM129" s="655">
        <v>1813457</v>
      </c>
    </row>
    <row r="130" spans="1:39" x14ac:dyDescent="0.2">
      <c r="A130" s="649">
        <v>2013</v>
      </c>
      <c r="B130" s="650">
        <v>7</v>
      </c>
      <c r="C130" s="656" t="s">
        <v>204</v>
      </c>
      <c r="D130" s="651">
        <v>2727</v>
      </c>
      <c r="E130" s="648" t="s">
        <v>1122</v>
      </c>
      <c r="F130" s="655">
        <v>3922854</v>
      </c>
      <c r="G130" s="655">
        <v>0</v>
      </c>
      <c r="H130" s="655">
        <v>168346</v>
      </c>
      <c r="I130" s="655">
        <v>501984</v>
      </c>
      <c r="J130" s="655">
        <v>372524</v>
      </c>
      <c r="K130" s="655">
        <v>39588</v>
      </c>
      <c r="L130" s="655">
        <v>34823</v>
      </c>
      <c r="M130" s="655">
        <v>0</v>
      </c>
      <c r="N130" s="655">
        <v>197005</v>
      </c>
      <c r="O130" s="655">
        <v>0</v>
      </c>
      <c r="P130" s="655">
        <v>32611</v>
      </c>
      <c r="Q130" s="655">
        <v>36458</v>
      </c>
      <c r="R130" s="655">
        <v>0</v>
      </c>
      <c r="S130" s="655">
        <v>25446</v>
      </c>
      <c r="T130" s="655">
        <v>2920</v>
      </c>
      <c r="U130" s="655">
        <v>100000</v>
      </c>
      <c r="V130" s="655">
        <v>0</v>
      </c>
      <c r="W130" s="655">
        <v>11766</v>
      </c>
      <c r="X130" s="655">
        <v>93405</v>
      </c>
      <c r="Y130" s="655">
        <v>0</v>
      </c>
      <c r="Z130" s="655">
        <v>0</v>
      </c>
      <c r="AA130" s="655">
        <v>0</v>
      </c>
      <c r="AB130" s="655">
        <v>0</v>
      </c>
      <c r="AC130" s="655">
        <v>0</v>
      </c>
      <c r="AD130" s="655">
        <v>36039</v>
      </c>
      <c r="AE130" s="655">
        <v>5503691</v>
      </c>
      <c r="AF130" s="655">
        <v>0</v>
      </c>
      <c r="AG130" s="655">
        <v>291782</v>
      </c>
      <c r="AH130" s="655">
        <v>0</v>
      </c>
      <c r="AI130" s="655">
        <v>690277</v>
      </c>
      <c r="AJ130" s="655">
        <v>950301</v>
      </c>
      <c r="AK130" s="655">
        <v>7436051</v>
      </c>
      <c r="AL130" s="655">
        <v>6598020</v>
      </c>
      <c r="AM130" s="655">
        <v>838031</v>
      </c>
    </row>
    <row r="131" spans="1:39" x14ac:dyDescent="0.2">
      <c r="A131" s="649">
        <v>2013</v>
      </c>
      <c r="B131" s="650">
        <v>11</v>
      </c>
      <c r="C131" s="656" t="s">
        <v>205</v>
      </c>
      <c r="D131" s="651">
        <v>2754</v>
      </c>
      <c r="E131" s="648" t="s">
        <v>1123</v>
      </c>
      <c r="F131" s="655">
        <v>2854645</v>
      </c>
      <c r="G131" s="655">
        <v>90207</v>
      </c>
      <c r="H131" s="655">
        <v>71770</v>
      </c>
      <c r="I131" s="655">
        <v>368248</v>
      </c>
      <c r="J131" s="655">
        <v>263992</v>
      </c>
      <c r="K131" s="655">
        <v>26556</v>
      </c>
      <c r="L131" s="655">
        <v>32064</v>
      </c>
      <c r="M131" s="655">
        <v>0</v>
      </c>
      <c r="N131" s="655">
        <v>136833</v>
      </c>
      <c r="O131" s="655">
        <v>13047</v>
      </c>
      <c r="P131" s="655">
        <v>23217</v>
      </c>
      <c r="Q131" s="655">
        <v>25473</v>
      </c>
      <c r="R131" s="655">
        <v>0</v>
      </c>
      <c r="S131" s="655">
        <v>11179</v>
      </c>
      <c r="T131" s="655">
        <v>1440</v>
      </c>
      <c r="U131" s="655">
        <v>60000</v>
      </c>
      <c r="V131" s="655">
        <v>0</v>
      </c>
      <c r="W131" s="655">
        <v>27509</v>
      </c>
      <c r="X131" s="655">
        <v>19269</v>
      </c>
      <c r="Y131" s="655">
        <v>0</v>
      </c>
      <c r="Z131" s="655">
        <v>0</v>
      </c>
      <c r="AA131" s="655">
        <v>0</v>
      </c>
      <c r="AB131" s="655">
        <v>0</v>
      </c>
      <c r="AC131" s="655">
        <v>0</v>
      </c>
      <c r="AD131" s="655">
        <v>26496</v>
      </c>
      <c r="AE131" s="655">
        <v>3998953</v>
      </c>
      <c r="AF131" s="655">
        <v>108018</v>
      </c>
      <c r="AG131" s="655">
        <v>223220</v>
      </c>
      <c r="AH131" s="655">
        <v>0</v>
      </c>
      <c r="AI131" s="655">
        <v>905541</v>
      </c>
      <c r="AJ131" s="655">
        <v>1302230</v>
      </c>
      <c r="AK131" s="655">
        <v>6537962</v>
      </c>
      <c r="AL131" s="655">
        <v>5127416</v>
      </c>
      <c r="AM131" s="655">
        <v>1410546</v>
      </c>
    </row>
    <row r="132" spans="1:39" x14ac:dyDescent="0.2">
      <c r="A132" s="649">
        <v>2013</v>
      </c>
      <c r="B132" s="650">
        <v>1</v>
      </c>
      <c r="C132" s="656" t="s">
        <v>206</v>
      </c>
      <c r="D132" s="651">
        <v>2763</v>
      </c>
      <c r="E132" s="648" t="s">
        <v>1056</v>
      </c>
      <c r="F132" s="655">
        <v>3929985</v>
      </c>
      <c r="G132" s="655">
        <v>0</v>
      </c>
      <c r="H132" s="655">
        <v>114938</v>
      </c>
      <c r="I132" s="655">
        <v>558180</v>
      </c>
      <c r="J132" s="655">
        <v>336348</v>
      </c>
      <c r="K132" s="655">
        <v>38061</v>
      </c>
      <c r="L132" s="655">
        <v>33301</v>
      </c>
      <c r="M132" s="655">
        <v>0</v>
      </c>
      <c r="N132" s="655">
        <v>204822</v>
      </c>
      <c r="O132" s="655">
        <v>0</v>
      </c>
      <c r="P132" s="655">
        <v>35850</v>
      </c>
      <c r="Q132" s="655">
        <v>40039</v>
      </c>
      <c r="R132" s="655">
        <v>0</v>
      </c>
      <c r="S132" s="655">
        <v>20095</v>
      </c>
      <c r="T132" s="655">
        <v>2136</v>
      </c>
      <c r="U132" s="655">
        <v>112500</v>
      </c>
      <c r="V132" s="655">
        <v>0</v>
      </c>
      <c r="W132" s="655">
        <v>41181</v>
      </c>
      <c r="X132" s="655">
        <v>0</v>
      </c>
      <c r="Y132" s="655">
        <v>0</v>
      </c>
      <c r="Z132" s="655">
        <v>0</v>
      </c>
      <c r="AA132" s="655">
        <v>0</v>
      </c>
      <c r="AB132" s="655">
        <v>0</v>
      </c>
      <c r="AC132" s="655">
        <v>0</v>
      </c>
      <c r="AD132" s="655">
        <v>48053</v>
      </c>
      <c r="AE132" s="655">
        <v>5419383</v>
      </c>
      <c r="AF132" s="655">
        <v>75013</v>
      </c>
      <c r="AG132" s="655">
        <v>323084</v>
      </c>
      <c r="AH132" s="655">
        <v>0</v>
      </c>
      <c r="AI132" s="655">
        <v>1090896</v>
      </c>
      <c r="AJ132" s="655">
        <v>1622283</v>
      </c>
      <c r="AK132" s="655">
        <v>8530659</v>
      </c>
      <c r="AL132" s="655">
        <v>7000719</v>
      </c>
      <c r="AM132" s="655">
        <v>1529940</v>
      </c>
    </row>
    <row r="133" spans="1:39" x14ac:dyDescent="0.2">
      <c r="A133" s="649">
        <v>2013</v>
      </c>
      <c r="B133" s="650">
        <v>10</v>
      </c>
      <c r="C133" s="656" t="s">
        <v>207</v>
      </c>
      <c r="D133" s="651">
        <v>2766</v>
      </c>
      <c r="E133" s="648" t="s">
        <v>920</v>
      </c>
      <c r="F133" s="655">
        <v>2021261</v>
      </c>
      <c r="G133" s="655">
        <v>101585</v>
      </c>
      <c r="H133" s="655">
        <v>49662</v>
      </c>
      <c r="I133" s="655">
        <v>209081</v>
      </c>
      <c r="J133" s="655">
        <v>186972</v>
      </c>
      <c r="K133" s="655">
        <v>19033</v>
      </c>
      <c r="L133" s="655">
        <v>19121</v>
      </c>
      <c r="M133" s="655">
        <v>0</v>
      </c>
      <c r="N133" s="655">
        <v>96108</v>
      </c>
      <c r="O133" s="655">
        <v>9650</v>
      </c>
      <c r="P133" s="655">
        <v>16596</v>
      </c>
      <c r="Q133" s="655">
        <v>18225</v>
      </c>
      <c r="R133" s="655">
        <v>0</v>
      </c>
      <c r="S133" s="655">
        <v>9226</v>
      </c>
      <c r="T133" s="655">
        <v>1074</v>
      </c>
      <c r="U133" s="655">
        <v>70000</v>
      </c>
      <c r="V133" s="655">
        <v>0</v>
      </c>
      <c r="W133" s="655">
        <v>35298</v>
      </c>
      <c r="X133" s="655">
        <v>50514</v>
      </c>
      <c r="Y133" s="655">
        <v>0</v>
      </c>
      <c r="Z133" s="655">
        <v>0</v>
      </c>
      <c r="AA133" s="655">
        <v>0</v>
      </c>
      <c r="AB133" s="655">
        <v>0</v>
      </c>
      <c r="AC133" s="655">
        <v>0</v>
      </c>
      <c r="AD133" s="655">
        <v>24218</v>
      </c>
      <c r="AE133" s="655">
        <v>2889188</v>
      </c>
      <c r="AF133" s="655">
        <v>51009</v>
      </c>
      <c r="AG133" s="655">
        <v>176494</v>
      </c>
      <c r="AH133" s="655">
        <v>0</v>
      </c>
      <c r="AI133" s="655">
        <v>592454</v>
      </c>
      <c r="AJ133" s="655">
        <v>1703102</v>
      </c>
      <c r="AK133" s="655">
        <v>5412247</v>
      </c>
      <c r="AL133" s="655">
        <v>3769923</v>
      </c>
      <c r="AM133" s="655">
        <v>1642324</v>
      </c>
    </row>
    <row r="134" spans="1:39" x14ac:dyDescent="0.2">
      <c r="A134" s="649">
        <v>2013</v>
      </c>
      <c r="B134" s="650">
        <v>13</v>
      </c>
      <c r="C134" s="656" t="s">
        <v>208</v>
      </c>
      <c r="D134" s="651">
        <v>2772</v>
      </c>
      <c r="E134" s="648" t="s">
        <v>1124</v>
      </c>
      <c r="F134" s="655">
        <v>1486364</v>
      </c>
      <c r="G134" s="655">
        <v>77286</v>
      </c>
      <c r="H134" s="655">
        <v>97381</v>
      </c>
      <c r="I134" s="655">
        <v>255200</v>
      </c>
      <c r="J134" s="655">
        <v>133807</v>
      </c>
      <c r="K134" s="655">
        <v>13624</v>
      </c>
      <c r="L134" s="655">
        <v>15489</v>
      </c>
      <c r="M134" s="655">
        <v>0</v>
      </c>
      <c r="N134" s="655">
        <v>74818</v>
      </c>
      <c r="O134" s="655">
        <v>8919</v>
      </c>
      <c r="P134" s="655">
        <v>11885</v>
      </c>
      <c r="Q134" s="655">
        <v>13145</v>
      </c>
      <c r="R134" s="655">
        <v>0</v>
      </c>
      <c r="S134" s="655">
        <v>8120</v>
      </c>
      <c r="T134" s="655">
        <v>856</v>
      </c>
      <c r="U134" s="655">
        <v>0</v>
      </c>
      <c r="V134" s="655">
        <v>0</v>
      </c>
      <c r="W134" s="655">
        <v>107116</v>
      </c>
      <c r="X134" s="655">
        <v>0</v>
      </c>
      <c r="Y134" s="655">
        <v>0</v>
      </c>
      <c r="Z134" s="655">
        <v>0</v>
      </c>
      <c r="AA134" s="655">
        <v>0</v>
      </c>
      <c r="AB134" s="655">
        <v>0</v>
      </c>
      <c r="AC134" s="655">
        <v>-4819</v>
      </c>
      <c r="AD134" s="655">
        <v>18134</v>
      </c>
      <c r="AE134" s="655">
        <v>2281057</v>
      </c>
      <c r="AF134" s="655">
        <v>45008</v>
      </c>
      <c r="AG134" s="655">
        <v>131534</v>
      </c>
      <c r="AH134" s="655">
        <v>0</v>
      </c>
      <c r="AI134" s="655">
        <v>608034</v>
      </c>
      <c r="AJ134" s="655">
        <v>434758</v>
      </c>
      <c r="AK134" s="655">
        <v>3500391</v>
      </c>
      <c r="AL134" s="655">
        <v>3546741</v>
      </c>
      <c r="AM134" s="655">
        <v>-46350</v>
      </c>
    </row>
    <row r="135" spans="1:39" x14ac:dyDescent="0.2">
      <c r="A135" s="649">
        <v>2013</v>
      </c>
      <c r="B135" s="650">
        <v>7</v>
      </c>
      <c r="C135" s="656" t="s">
        <v>209</v>
      </c>
      <c r="D135" s="651">
        <v>2781</v>
      </c>
      <c r="E135" s="648" t="s">
        <v>1125</v>
      </c>
      <c r="F135" s="655">
        <v>6970762</v>
      </c>
      <c r="G135" s="655">
        <v>0</v>
      </c>
      <c r="H135" s="655">
        <v>348424</v>
      </c>
      <c r="I135" s="655">
        <v>1426918</v>
      </c>
      <c r="J135" s="655">
        <v>629471</v>
      </c>
      <c r="K135" s="655">
        <v>67814</v>
      </c>
      <c r="L135" s="655">
        <v>81568</v>
      </c>
      <c r="M135" s="655">
        <v>0</v>
      </c>
      <c r="N135" s="655">
        <v>373886</v>
      </c>
      <c r="O135" s="655">
        <v>0</v>
      </c>
      <c r="P135" s="655">
        <v>58057</v>
      </c>
      <c r="Q135" s="655">
        <v>64907</v>
      </c>
      <c r="R135" s="655">
        <v>0</v>
      </c>
      <c r="S135" s="655">
        <v>48293</v>
      </c>
      <c r="T135" s="655">
        <v>5542</v>
      </c>
      <c r="U135" s="655">
        <v>207292</v>
      </c>
      <c r="V135" s="655">
        <v>0</v>
      </c>
      <c r="W135" s="655">
        <v>273285</v>
      </c>
      <c r="X135" s="655">
        <v>0</v>
      </c>
      <c r="Y135" s="655">
        <v>0</v>
      </c>
      <c r="Z135" s="655">
        <v>0</v>
      </c>
      <c r="AA135" s="655">
        <v>0</v>
      </c>
      <c r="AB135" s="655">
        <v>0</v>
      </c>
      <c r="AC135" s="655">
        <v>-1294</v>
      </c>
      <c r="AD135" s="655">
        <v>68705</v>
      </c>
      <c r="AE135" s="655">
        <v>10486220</v>
      </c>
      <c r="AF135" s="655">
        <v>117020</v>
      </c>
      <c r="AG135" s="655">
        <v>508587</v>
      </c>
      <c r="AH135" s="655">
        <v>0</v>
      </c>
      <c r="AI135" s="655">
        <v>1577838</v>
      </c>
      <c r="AJ135" s="655">
        <v>2737842</v>
      </c>
      <c r="AK135" s="655">
        <v>15427507</v>
      </c>
      <c r="AL135" s="655">
        <v>12636822</v>
      </c>
      <c r="AM135" s="655">
        <v>2790685</v>
      </c>
    </row>
    <row r="136" spans="1:39" x14ac:dyDescent="0.2">
      <c r="A136" s="649">
        <v>2013</v>
      </c>
      <c r="B136" s="650">
        <v>13</v>
      </c>
      <c r="C136" s="656" t="s">
        <v>210</v>
      </c>
      <c r="D136" s="651">
        <v>2826</v>
      </c>
      <c r="E136" s="648" t="s">
        <v>1126</v>
      </c>
      <c r="F136" s="655">
        <v>8624736</v>
      </c>
      <c r="G136" s="655">
        <v>187687</v>
      </c>
      <c r="H136" s="655">
        <v>222079</v>
      </c>
      <c r="I136" s="655">
        <v>1127371</v>
      </c>
      <c r="J136" s="655">
        <v>747186</v>
      </c>
      <c r="K136" s="655">
        <v>88180</v>
      </c>
      <c r="L136" s="655">
        <v>86147</v>
      </c>
      <c r="M136" s="655">
        <v>0</v>
      </c>
      <c r="N136" s="655">
        <v>425954</v>
      </c>
      <c r="O136" s="655">
        <v>4748</v>
      </c>
      <c r="P136" s="655">
        <v>76071</v>
      </c>
      <c r="Q136" s="655">
        <v>84142</v>
      </c>
      <c r="R136" s="655">
        <v>0</v>
      </c>
      <c r="S136" s="655">
        <v>43881</v>
      </c>
      <c r="T136" s="655">
        <v>4624</v>
      </c>
      <c r="U136" s="655">
        <v>431237</v>
      </c>
      <c r="V136" s="655">
        <v>0</v>
      </c>
      <c r="W136" s="655">
        <v>128673</v>
      </c>
      <c r="X136" s="655">
        <v>56513</v>
      </c>
      <c r="Y136" s="655">
        <v>0</v>
      </c>
      <c r="Z136" s="655">
        <v>0</v>
      </c>
      <c r="AA136" s="655">
        <v>0</v>
      </c>
      <c r="AB136" s="655">
        <v>0</v>
      </c>
      <c r="AC136" s="655">
        <v>0</v>
      </c>
      <c r="AD136" s="655">
        <v>92228</v>
      </c>
      <c r="AE136" s="655">
        <v>12247001</v>
      </c>
      <c r="AF136" s="655">
        <v>69012</v>
      </c>
      <c r="AG136" s="655">
        <v>668510</v>
      </c>
      <c r="AH136" s="655">
        <v>0</v>
      </c>
      <c r="AI136" s="655">
        <v>1695101</v>
      </c>
      <c r="AJ136" s="655">
        <v>8516850</v>
      </c>
      <c r="AK136" s="655">
        <v>23196474</v>
      </c>
      <c r="AL136" s="655">
        <v>14930728</v>
      </c>
      <c r="AM136" s="655">
        <v>8265746</v>
      </c>
    </row>
    <row r="137" spans="1:39" x14ac:dyDescent="0.2">
      <c r="A137" s="649">
        <v>2013</v>
      </c>
      <c r="B137" s="650">
        <v>15</v>
      </c>
      <c r="C137" s="656" t="s">
        <v>211</v>
      </c>
      <c r="D137" s="651">
        <v>2834</v>
      </c>
      <c r="E137" s="648" t="s">
        <v>1127</v>
      </c>
      <c r="F137" s="655">
        <v>2166361</v>
      </c>
      <c r="G137" s="655">
        <v>35801</v>
      </c>
      <c r="H137" s="655">
        <v>16995</v>
      </c>
      <c r="I137" s="655">
        <v>286068</v>
      </c>
      <c r="J137" s="655">
        <v>183359</v>
      </c>
      <c r="K137" s="655">
        <v>17335</v>
      </c>
      <c r="L137" s="655">
        <v>22346</v>
      </c>
      <c r="M137" s="655">
        <v>0</v>
      </c>
      <c r="N137" s="655">
        <v>106753</v>
      </c>
      <c r="O137" s="655">
        <v>13926</v>
      </c>
      <c r="P137" s="655">
        <v>17816</v>
      </c>
      <c r="Q137" s="655">
        <v>19562</v>
      </c>
      <c r="R137" s="655">
        <v>0</v>
      </c>
      <c r="S137" s="655">
        <v>10670</v>
      </c>
      <c r="T137" s="655">
        <v>1148</v>
      </c>
      <c r="U137" s="655">
        <v>0</v>
      </c>
      <c r="V137" s="655">
        <v>0</v>
      </c>
      <c r="W137" s="655">
        <v>93540</v>
      </c>
      <c r="X137" s="655">
        <v>34153</v>
      </c>
      <c r="Y137" s="655">
        <v>0</v>
      </c>
      <c r="Z137" s="655">
        <v>0</v>
      </c>
      <c r="AA137" s="655">
        <v>0</v>
      </c>
      <c r="AB137" s="655">
        <v>0</v>
      </c>
      <c r="AC137" s="655">
        <v>-10517</v>
      </c>
      <c r="AD137" s="655">
        <v>28247</v>
      </c>
      <c r="AE137" s="655">
        <v>2987069</v>
      </c>
      <c r="AF137" s="655">
        <v>72012</v>
      </c>
      <c r="AG137" s="655">
        <v>157565</v>
      </c>
      <c r="AH137" s="655">
        <v>0</v>
      </c>
      <c r="AI137" s="655">
        <v>349321</v>
      </c>
      <c r="AJ137" s="655">
        <v>1360043</v>
      </c>
      <c r="AK137" s="655">
        <v>4926010</v>
      </c>
      <c r="AL137" s="655">
        <v>3802267</v>
      </c>
      <c r="AM137" s="655">
        <v>1123743</v>
      </c>
    </row>
    <row r="138" spans="1:39" x14ac:dyDescent="0.2">
      <c r="A138" s="649">
        <v>2013</v>
      </c>
      <c r="B138" s="650">
        <v>5</v>
      </c>
      <c r="C138" s="656" t="s">
        <v>212</v>
      </c>
      <c r="D138" s="651">
        <v>2846</v>
      </c>
      <c r="E138" s="648" t="s">
        <v>1128</v>
      </c>
      <c r="F138" s="655">
        <v>1884749</v>
      </c>
      <c r="G138" s="655">
        <v>0</v>
      </c>
      <c r="H138" s="655">
        <v>26091</v>
      </c>
      <c r="I138" s="655">
        <v>185257</v>
      </c>
      <c r="J138" s="655">
        <v>168991</v>
      </c>
      <c r="K138" s="655">
        <v>17444</v>
      </c>
      <c r="L138" s="655">
        <v>23097</v>
      </c>
      <c r="M138" s="655">
        <v>0</v>
      </c>
      <c r="N138" s="655">
        <v>93345</v>
      </c>
      <c r="O138" s="655">
        <v>0</v>
      </c>
      <c r="P138" s="655">
        <v>15432</v>
      </c>
      <c r="Q138" s="655">
        <v>17353</v>
      </c>
      <c r="R138" s="655">
        <v>1867</v>
      </c>
      <c r="S138" s="655">
        <v>9968</v>
      </c>
      <c r="T138" s="655">
        <v>1190</v>
      </c>
      <c r="U138" s="655">
        <v>0</v>
      </c>
      <c r="V138" s="655">
        <v>0</v>
      </c>
      <c r="W138" s="655">
        <v>85008</v>
      </c>
      <c r="X138" s="655">
        <v>14260</v>
      </c>
      <c r="Y138" s="655">
        <v>0</v>
      </c>
      <c r="Z138" s="655">
        <v>0</v>
      </c>
      <c r="AA138" s="655">
        <v>0</v>
      </c>
      <c r="AB138" s="655">
        <v>0</v>
      </c>
      <c r="AC138" s="655">
        <v>0</v>
      </c>
      <c r="AD138" s="655">
        <v>18934</v>
      </c>
      <c r="AE138" s="655">
        <v>2525118</v>
      </c>
      <c r="AF138" s="655">
        <v>60010</v>
      </c>
      <c r="AG138" s="655">
        <v>163841</v>
      </c>
      <c r="AH138" s="655">
        <v>0</v>
      </c>
      <c r="AI138" s="655">
        <v>467871</v>
      </c>
      <c r="AJ138" s="655">
        <v>2445095</v>
      </c>
      <c r="AK138" s="655">
        <v>5661935</v>
      </c>
      <c r="AL138" s="655">
        <v>3122104</v>
      </c>
      <c r="AM138" s="655">
        <v>2539831</v>
      </c>
    </row>
    <row r="139" spans="1:39" x14ac:dyDescent="0.2">
      <c r="A139" s="649">
        <v>2013</v>
      </c>
      <c r="B139" s="650">
        <v>12</v>
      </c>
      <c r="C139" s="656" t="s">
        <v>213</v>
      </c>
      <c r="D139" s="651">
        <v>2862</v>
      </c>
      <c r="E139" s="648" t="s">
        <v>1129</v>
      </c>
      <c r="F139" s="655">
        <v>3794515</v>
      </c>
      <c r="G139" s="655">
        <v>39236</v>
      </c>
      <c r="H139" s="655">
        <v>153135</v>
      </c>
      <c r="I139" s="655">
        <v>660804</v>
      </c>
      <c r="J139" s="655">
        <v>346365</v>
      </c>
      <c r="K139" s="655">
        <v>37113</v>
      </c>
      <c r="L139" s="655">
        <v>33892</v>
      </c>
      <c r="M139" s="655">
        <v>0</v>
      </c>
      <c r="N139" s="655">
        <v>199222</v>
      </c>
      <c r="O139" s="655">
        <v>12247</v>
      </c>
      <c r="P139" s="655">
        <v>35413</v>
      </c>
      <c r="Q139" s="655">
        <v>39808</v>
      </c>
      <c r="R139" s="655">
        <v>0</v>
      </c>
      <c r="S139" s="655">
        <v>19978</v>
      </c>
      <c r="T139" s="655">
        <v>2394</v>
      </c>
      <c r="U139" s="655">
        <v>189726</v>
      </c>
      <c r="V139" s="655">
        <v>0</v>
      </c>
      <c r="W139" s="655">
        <v>43320</v>
      </c>
      <c r="X139" s="655">
        <v>188997</v>
      </c>
      <c r="Y139" s="655">
        <v>0</v>
      </c>
      <c r="Z139" s="655">
        <v>0</v>
      </c>
      <c r="AA139" s="655">
        <v>0</v>
      </c>
      <c r="AB139" s="655">
        <v>0</v>
      </c>
      <c r="AC139" s="655">
        <v>0</v>
      </c>
      <c r="AD139" s="655">
        <v>51133</v>
      </c>
      <c r="AE139" s="655">
        <v>5745032</v>
      </c>
      <c r="AF139" s="655">
        <v>89897</v>
      </c>
      <c r="AG139" s="655">
        <v>312949</v>
      </c>
      <c r="AH139" s="655">
        <v>0</v>
      </c>
      <c r="AI139" s="655">
        <v>701023</v>
      </c>
      <c r="AJ139" s="655">
        <v>1877725</v>
      </c>
      <c r="AK139" s="655">
        <v>8726626</v>
      </c>
      <c r="AL139" s="655">
        <v>6647901</v>
      </c>
      <c r="AM139" s="655">
        <v>2078725</v>
      </c>
    </row>
    <row r="140" spans="1:39" x14ac:dyDescent="0.2">
      <c r="A140" s="649">
        <v>2013</v>
      </c>
      <c r="B140" s="650">
        <v>10</v>
      </c>
      <c r="C140" s="656" t="s">
        <v>214</v>
      </c>
      <c r="D140" s="651">
        <v>2977</v>
      </c>
      <c r="E140" s="648" t="s">
        <v>1130</v>
      </c>
      <c r="F140" s="655">
        <v>3879647</v>
      </c>
      <c r="G140" s="655">
        <v>8686</v>
      </c>
      <c r="H140" s="655">
        <v>66617</v>
      </c>
      <c r="I140" s="655">
        <v>528868</v>
      </c>
      <c r="J140" s="655">
        <v>355381</v>
      </c>
      <c r="K140" s="655">
        <v>37258</v>
      </c>
      <c r="L140" s="655">
        <v>41693</v>
      </c>
      <c r="M140" s="655">
        <v>0</v>
      </c>
      <c r="N140" s="655">
        <v>193134</v>
      </c>
      <c r="O140" s="655">
        <v>7844</v>
      </c>
      <c r="P140" s="655">
        <v>32062</v>
      </c>
      <c r="Q140" s="655">
        <v>35210</v>
      </c>
      <c r="R140" s="655">
        <v>0</v>
      </c>
      <c r="S140" s="655">
        <v>17874</v>
      </c>
      <c r="T140" s="655">
        <v>2079</v>
      </c>
      <c r="U140" s="655">
        <v>120000</v>
      </c>
      <c r="V140" s="655">
        <v>0</v>
      </c>
      <c r="W140" s="655">
        <v>81253</v>
      </c>
      <c r="X140" s="655">
        <v>189844</v>
      </c>
      <c r="Y140" s="655">
        <v>0</v>
      </c>
      <c r="Z140" s="655">
        <v>0</v>
      </c>
      <c r="AA140" s="655">
        <v>0</v>
      </c>
      <c r="AB140" s="655">
        <v>0</v>
      </c>
      <c r="AC140" s="655">
        <v>0</v>
      </c>
      <c r="AD140" s="655">
        <v>35168</v>
      </c>
      <c r="AE140" s="655">
        <v>5562282</v>
      </c>
      <c r="AF140" s="655">
        <v>138023</v>
      </c>
      <c r="AG140" s="655">
        <v>291469</v>
      </c>
      <c r="AH140" s="655">
        <v>0</v>
      </c>
      <c r="AI140" s="655">
        <v>1001627</v>
      </c>
      <c r="AJ140" s="655">
        <v>573438</v>
      </c>
      <c r="AK140" s="655">
        <v>7566839</v>
      </c>
      <c r="AL140" s="655">
        <v>7136525</v>
      </c>
      <c r="AM140" s="655">
        <v>430314</v>
      </c>
    </row>
    <row r="141" spans="1:39" x14ac:dyDescent="0.2">
      <c r="A141" s="649">
        <v>2013</v>
      </c>
      <c r="B141" s="650">
        <v>12</v>
      </c>
      <c r="C141" s="656" t="s">
        <v>215</v>
      </c>
      <c r="D141" s="651">
        <v>2988</v>
      </c>
      <c r="E141" s="648" t="s">
        <v>1131</v>
      </c>
      <c r="F141" s="655">
        <v>3193732</v>
      </c>
      <c r="G141" s="655">
        <v>80216</v>
      </c>
      <c r="H141" s="655">
        <v>20457</v>
      </c>
      <c r="I141" s="655">
        <v>302150</v>
      </c>
      <c r="J141" s="655">
        <v>292217</v>
      </c>
      <c r="K141" s="655">
        <v>32768</v>
      </c>
      <c r="L141" s="655">
        <v>35225</v>
      </c>
      <c r="M141" s="655">
        <v>0</v>
      </c>
      <c r="N141" s="655">
        <v>157545</v>
      </c>
      <c r="O141" s="655">
        <v>1774</v>
      </c>
      <c r="P141" s="655">
        <v>27214</v>
      </c>
      <c r="Q141" s="655">
        <v>30592</v>
      </c>
      <c r="R141" s="655">
        <v>0</v>
      </c>
      <c r="S141" s="655">
        <v>15799</v>
      </c>
      <c r="T141" s="655">
        <v>1893</v>
      </c>
      <c r="U141" s="655">
        <v>140100</v>
      </c>
      <c r="V141" s="655">
        <v>0</v>
      </c>
      <c r="W141" s="655">
        <v>23532</v>
      </c>
      <c r="X141" s="655">
        <v>0</v>
      </c>
      <c r="Y141" s="655">
        <v>37724</v>
      </c>
      <c r="Z141" s="655">
        <v>0</v>
      </c>
      <c r="AA141" s="655">
        <v>0</v>
      </c>
      <c r="AB141" s="655">
        <v>0</v>
      </c>
      <c r="AC141" s="655">
        <v>0</v>
      </c>
      <c r="AD141" s="655">
        <v>31717</v>
      </c>
      <c r="AE141" s="655">
        <v>4285773</v>
      </c>
      <c r="AF141" s="655">
        <v>93016</v>
      </c>
      <c r="AG141" s="655">
        <v>255401</v>
      </c>
      <c r="AH141" s="655">
        <v>0</v>
      </c>
      <c r="AI141" s="655">
        <v>1672820</v>
      </c>
      <c r="AJ141" s="655">
        <v>1406467</v>
      </c>
      <c r="AK141" s="655">
        <v>7713477</v>
      </c>
      <c r="AL141" s="655">
        <v>6482007</v>
      </c>
      <c r="AM141" s="655">
        <v>1231470</v>
      </c>
    </row>
    <row r="142" spans="1:39" x14ac:dyDescent="0.2">
      <c r="A142" s="649">
        <v>2013</v>
      </c>
      <c r="B142" s="650">
        <v>1</v>
      </c>
      <c r="C142" s="656" t="s">
        <v>216</v>
      </c>
      <c r="D142" s="651">
        <v>3029</v>
      </c>
      <c r="E142" s="648" t="s">
        <v>1132</v>
      </c>
      <c r="F142" s="655">
        <v>8214121</v>
      </c>
      <c r="G142" s="655">
        <v>181306</v>
      </c>
      <c r="H142" s="655">
        <v>94849</v>
      </c>
      <c r="I142" s="655">
        <v>1183218</v>
      </c>
      <c r="J142" s="655">
        <v>732565</v>
      </c>
      <c r="K142" s="655">
        <v>78279</v>
      </c>
      <c r="L142" s="655">
        <v>75719</v>
      </c>
      <c r="M142" s="655">
        <v>0</v>
      </c>
      <c r="N142" s="655">
        <v>426686</v>
      </c>
      <c r="O142" s="655">
        <v>5244</v>
      </c>
      <c r="P142" s="655">
        <v>74268</v>
      </c>
      <c r="Q142" s="655">
        <v>82946</v>
      </c>
      <c r="R142" s="655">
        <v>0</v>
      </c>
      <c r="S142" s="655">
        <v>42340</v>
      </c>
      <c r="T142" s="655">
        <v>4495</v>
      </c>
      <c r="U142" s="655">
        <v>345011</v>
      </c>
      <c r="V142" s="655">
        <v>0</v>
      </c>
      <c r="W142" s="655">
        <v>58830</v>
      </c>
      <c r="X142" s="655">
        <v>0</v>
      </c>
      <c r="Y142" s="655">
        <v>0</v>
      </c>
      <c r="Z142" s="655">
        <v>0</v>
      </c>
      <c r="AA142" s="655">
        <v>0</v>
      </c>
      <c r="AB142" s="655">
        <v>0</v>
      </c>
      <c r="AC142" s="655">
        <v>0</v>
      </c>
      <c r="AD142" s="655">
        <v>91489</v>
      </c>
      <c r="AE142" s="655">
        <v>11508388</v>
      </c>
      <c r="AF142" s="655">
        <v>291049</v>
      </c>
      <c r="AG142" s="655">
        <v>657194</v>
      </c>
      <c r="AH142" s="655">
        <v>0</v>
      </c>
      <c r="AI142" s="655">
        <v>1262122</v>
      </c>
      <c r="AJ142" s="655">
        <v>2370030</v>
      </c>
      <c r="AK142" s="655">
        <v>16088783</v>
      </c>
      <c r="AL142" s="655">
        <v>13341278</v>
      </c>
      <c r="AM142" s="655">
        <v>2747505</v>
      </c>
    </row>
    <row r="143" spans="1:39" x14ac:dyDescent="0.2">
      <c r="A143" s="649">
        <v>2013</v>
      </c>
      <c r="B143" s="650">
        <v>7</v>
      </c>
      <c r="C143" s="656" t="s">
        <v>217</v>
      </c>
      <c r="D143" s="651">
        <v>3033</v>
      </c>
      <c r="E143" s="648" t="s">
        <v>640</v>
      </c>
      <c r="F143" s="655">
        <v>2449479</v>
      </c>
      <c r="G143" s="655">
        <v>17736</v>
      </c>
      <c r="H143" s="655">
        <v>68894</v>
      </c>
      <c r="I143" s="655">
        <v>261636</v>
      </c>
      <c r="J143" s="655">
        <v>205214</v>
      </c>
      <c r="K143" s="655">
        <v>16849</v>
      </c>
      <c r="L143" s="655">
        <v>19763</v>
      </c>
      <c r="M143" s="655">
        <v>0</v>
      </c>
      <c r="N143" s="655">
        <v>118494</v>
      </c>
      <c r="O143" s="655">
        <v>9763</v>
      </c>
      <c r="P143" s="655">
        <v>19912</v>
      </c>
      <c r="Q143" s="655">
        <v>22262</v>
      </c>
      <c r="R143" s="655">
        <v>0</v>
      </c>
      <c r="S143" s="655">
        <v>15305</v>
      </c>
      <c r="T143" s="655">
        <v>1756</v>
      </c>
      <c r="U143" s="655">
        <v>122474</v>
      </c>
      <c r="V143" s="655">
        <v>0</v>
      </c>
      <c r="W143" s="655">
        <v>158938</v>
      </c>
      <c r="X143" s="655">
        <v>196194</v>
      </c>
      <c r="Y143" s="655">
        <v>0</v>
      </c>
      <c r="Z143" s="655">
        <v>0</v>
      </c>
      <c r="AA143" s="655">
        <v>0</v>
      </c>
      <c r="AB143" s="655">
        <v>0</v>
      </c>
      <c r="AC143" s="655">
        <v>0</v>
      </c>
      <c r="AD143" s="655">
        <v>29197</v>
      </c>
      <c r="AE143" s="655">
        <v>3675472</v>
      </c>
      <c r="AF143" s="655">
        <v>66011</v>
      </c>
      <c r="AG143" s="655">
        <v>212576</v>
      </c>
      <c r="AH143" s="655">
        <v>0</v>
      </c>
      <c r="AI143" s="655">
        <v>1355898</v>
      </c>
      <c r="AJ143" s="655">
        <v>1198289</v>
      </c>
      <c r="AK143" s="655">
        <v>6508246</v>
      </c>
      <c r="AL143" s="655">
        <v>5236803</v>
      </c>
      <c r="AM143" s="655">
        <v>1271443</v>
      </c>
    </row>
    <row r="144" spans="1:39" x14ac:dyDescent="0.2">
      <c r="A144" s="649">
        <v>2013</v>
      </c>
      <c r="B144" s="652" t="s">
        <v>2010</v>
      </c>
      <c r="C144" s="656" t="s">
        <v>218</v>
      </c>
      <c r="D144" s="651">
        <v>3042</v>
      </c>
      <c r="E144" s="648" t="s">
        <v>1134</v>
      </c>
      <c r="F144" s="655">
        <v>4107040</v>
      </c>
      <c r="G144" s="655">
        <v>0</v>
      </c>
      <c r="H144" s="655">
        <v>52323</v>
      </c>
      <c r="I144" s="655">
        <v>438249</v>
      </c>
      <c r="J144" s="655">
        <v>374987</v>
      </c>
      <c r="K144" s="655">
        <v>42440</v>
      </c>
      <c r="L144" s="655">
        <v>31581</v>
      </c>
      <c r="M144" s="655">
        <v>0</v>
      </c>
      <c r="N144" s="655">
        <v>196634</v>
      </c>
      <c r="O144" s="655">
        <v>2329</v>
      </c>
      <c r="P144" s="655">
        <v>33253</v>
      </c>
      <c r="Q144" s="655">
        <v>37177</v>
      </c>
      <c r="R144" s="655">
        <v>0</v>
      </c>
      <c r="S144" s="655">
        <v>25398</v>
      </c>
      <c r="T144" s="655">
        <v>2914</v>
      </c>
      <c r="U144" s="655">
        <v>180370</v>
      </c>
      <c r="V144" s="655">
        <v>0</v>
      </c>
      <c r="W144" s="655">
        <v>166752</v>
      </c>
      <c r="X144" s="655">
        <v>455325</v>
      </c>
      <c r="Y144" s="655">
        <v>0</v>
      </c>
      <c r="Z144" s="655">
        <v>0</v>
      </c>
      <c r="AA144" s="655">
        <v>0</v>
      </c>
      <c r="AB144" s="655">
        <v>0</v>
      </c>
      <c r="AC144" s="655">
        <v>0</v>
      </c>
      <c r="AD144" s="655">
        <v>42205</v>
      </c>
      <c r="AE144" s="655">
        <v>6104567</v>
      </c>
      <c r="AF144" s="655">
        <v>0</v>
      </c>
      <c r="AG144" s="655">
        <v>298993</v>
      </c>
      <c r="AH144" s="655">
        <v>0</v>
      </c>
      <c r="AI144" s="655">
        <v>946476</v>
      </c>
      <c r="AJ144" s="655">
        <v>358256</v>
      </c>
      <c r="AK144" s="655">
        <v>7708292</v>
      </c>
      <c r="AL144" s="655">
        <v>6716751</v>
      </c>
      <c r="AM144" s="655">
        <v>991541</v>
      </c>
    </row>
    <row r="145" spans="1:39" x14ac:dyDescent="0.2">
      <c r="A145" s="649">
        <v>2013</v>
      </c>
      <c r="B145" s="650">
        <v>5</v>
      </c>
      <c r="C145" s="656" t="s">
        <v>219</v>
      </c>
      <c r="D145" s="651">
        <v>3060</v>
      </c>
      <c r="E145" s="648" t="s">
        <v>1135</v>
      </c>
      <c r="F145" s="655">
        <v>6982764</v>
      </c>
      <c r="G145" s="655">
        <v>0</v>
      </c>
      <c r="H145" s="655">
        <v>314668</v>
      </c>
      <c r="I145" s="655">
        <v>721920</v>
      </c>
      <c r="J145" s="655">
        <v>619361</v>
      </c>
      <c r="K145" s="655">
        <v>67512</v>
      </c>
      <c r="L145" s="655">
        <v>75157</v>
      </c>
      <c r="M145" s="655">
        <v>0</v>
      </c>
      <c r="N145" s="655">
        <v>351545</v>
      </c>
      <c r="O145" s="655">
        <v>0</v>
      </c>
      <c r="P145" s="655">
        <v>64545</v>
      </c>
      <c r="Q145" s="655">
        <v>72584</v>
      </c>
      <c r="R145" s="655">
        <v>7031</v>
      </c>
      <c r="S145" s="655">
        <v>37541</v>
      </c>
      <c r="T145" s="655">
        <v>4481</v>
      </c>
      <c r="U145" s="655">
        <v>348838</v>
      </c>
      <c r="V145" s="655">
        <v>0</v>
      </c>
      <c r="W145" s="655">
        <v>13192</v>
      </c>
      <c r="X145" s="655">
        <v>80377</v>
      </c>
      <c r="Y145" s="655">
        <v>0</v>
      </c>
      <c r="Z145" s="655">
        <v>0</v>
      </c>
      <c r="AA145" s="655">
        <v>0</v>
      </c>
      <c r="AB145" s="655">
        <v>0</v>
      </c>
      <c r="AC145" s="655">
        <v>0</v>
      </c>
      <c r="AD145" s="655">
        <v>75675</v>
      </c>
      <c r="AE145" s="655">
        <v>9685841</v>
      </c>
      <c r="AF145" s="655">
        <v>231039</v>
      </c>
      <c r="AG145" s="655">
        <v>541304</v>
      </c>
      <c r="AH145" s="655">
        <v>0</v>
      </c>
      <c r="AI145" s="655">
        <v>2172700</v>
      </c>
      <c r="AJ145" s="655">
        <v>3015655</v>
      </c>
      <c r="AK145" s="655">
        <v>15646539</v>
      </c>
      <c r="AL145" s="655">
        <v>13447852</v>
      </c>
      <c r="AM145" s="655">
        <v>2198687</v>
      </c>
    </row>
    <row r="146" spans="1:39" x14ac:dyDescent="0.2">
      <c r="A146" s="649">
        <v>2013</v>
      </c>
      <c r="B146" s="650">
        <v>7</v>
      </c>
      <c r="C146" s="656" t="s">
        <v>220</v>
      </c>
      <c r="D146" s="651">
        <v>3105</v>
      </c>
      <c r="E146" s="648" t="s">
        <v>1136</v>
      </c>
      <c r="F146" s="655">
        <v>8290982</v>
      </c>
      <c r="G146" s="655">
        <v>0</v>
      </c>
      <c r="H146" s="655">
        <v>187105</v>
      </c>
      <c r="I146" s="655">
        <v>1648415</v>
      </c>
      <c r="J146" s="655">
        <v>751508</v>
      </c>
      <c r="K146" s="655">
        <v>88837</v>
      </c>
      <c r="L146" s="655">
        <v>82661</v>
      </c>
      <c r="M146" s="655">
        <v>0</v>
      </c>
      <c r="N146" s="655">
        <v>442528</v>
      </c>
      <c r="O146" s="655">
        <v>3895</v>
      </c>
      <c r="P146" s="655">
        <v>74411</v>
      </c>
      <c r="Q146" s="655">
        <v>83191</v>
      </c>
      <c r="R146" s="655">
        <v>0</v>
      </c>
      <c r="S146" s="655">
        <v>57159</v>
      </c>
      <c r="T146" s="655">
        <v>6559</v>
      </c>
      <c r="U146" s="655">
        <v>414549</v>
      </c>
      <c r="V146" s="655">
        <v>0</v>
      </c>
      <c r="W146" s="655">
        <v>105894</v>
      </c>
      <c r="X146" s="655">
        <v>0</v>
      </c>
      <c r="Y146" s="655">
        <v>0</v>
      </c>
      <c r="Z146" s="655">
        <v>0</v>
      </c>
      <c r="AA146" s="655">
        <v>0</v>
      </c>
      <c r="AB146" s="655">
        <v>0</v>
      </c>
      <c r="AC146" s="655">
        <v>0</v>
      </c>
      <c r="AD146" s="655">
        <v>90317</v>
      </c>
      <c r="AE146" s="655">
        <v>12147377</v>
      </c>
      <c r="AF146" s="655">
        <v>261044</v>
      </c>
      <c r="AG146" s="655">
        <v>616683</v>
      </c>
      <c r="AH146" s="655">
        <v>0</v>
      </c>
      <c r="AI146" s="655">
        <v>1713799</v>
      </c>
      <c r="AJ146" s="655">
        <v>2972948</v>
      </c>
      <c r="AK146" s="655">
        <v>17711851</v>
      </c>
      <c r="AL146" s="655">
        <v>14894615</v>
      </c>
      <c r="AM146" s="655">
        <v>2817236</v>
      </c>
    </row>
    <row r="147" spans="1:39" x14ac:dyDescent="0.2">
      <c r="A147" s="649">
        <v>2013</v>
      </c>
      <c r="B147" s="650">
        <v>11</v>
      </c>
      <c r="C147" s="656" t="s">
        <v>221</v>
      </c>
      <c r="D147" s="651">
        <v>3114</v>
      </c>
      <c r="E147" s="648" t="s">
        <v>1137</v>
      </c>
      <c r="F147" s="655">
        <v>20102150</v>
      </c>
      <c r="G147" s="655">
        <v>0</v>
      </c>
      <c r="H147" s="655">
        <v>226274</v>
      </c>
      <c r="I147" s="655">
        <v>1863190</v>
      </c>
      <c r="J147" s="655">
        <v>1592796</v>
      </c>
      <c r="K147" s="655">
        <v>189900</v>
      </c>
      <c r="L147" s="655">
        <v>178846</v>
      </c>
      <c r="M147" s="655">
        <v>0</v>
      </c>
      <c r="N147" s="655">
        <v>936300</v>
      </c>
      <c r="O147" s="655">
        <v>0</v>
      </c>
      <c r="P147" s="655">
        <v>165650</v>
      </c>
      <c r="Q147" s="655">
        <v>181749</v>
      </c>
      <c r="R147" s="655">
        <v>0</v>
      </c>
      <c r="S147" s="655">
        <v>75255</v>
      </c>
      <c r="T147" s="655">
        <v>9663</v>
      </c>
      <c r="U147" s="655">
        <v>1000007</v>
      </c>
      <c r="V147" s="655">
        <v>0</v>
      </c>
      <c r="W147" s="655">
        <v>358980</v>
      </c>
      <c r="X147" s="655">
        <v>529528</v>
      </c>
      <c r="Y147" s="655">
        <v>0</v>
      </c>
      <c r="Z147" s="655">
        <v>0</v>
      </c>
      <c r="AA147" s="655">
        <v>0</v>
      </c>
      <c r="AB147" s="655">
        <v>0</v>
      </c>
      <c r="AC147" s="655">
        <v>0</v>
      </c>
      <c r="AD147" s="655">
        <v>170028</v>
      </c>
      <c r="AE147" s="655">
        <v>27240260</v>
      </c>
      <c r="AF147" s="655">
        <v>291049</v>
      </c>
      <c r="AG147" s="655">
        <v>1339607</v>
      </c>
      <c r="AH147" s="655">
        <v>0</v>
      </c>
      <c r="AI147" s="655">
        <v>2630160</v>
      </c>
      <c r="AJ147" s="655">
        <v>7487294</v>
      </c>
      <c r="AK147" s="655">
        <v>38988370</v>
      </c>
      <c r="AL147" s="655">
        <v>32038240</v>
      </c>
      <c r="AM147" s="655">
        <v>6950130</v>
      </c>
    </row>
    <row r="148" spans="1:39" x14ac:dyDescent="0.2">
      <c r="A148" s="649">
        <v>2013</v>
      </c>
      <c r="B148" s="650">
        <v>11</v>
      </c>
      <c r="C148" s="656" t="s">
        <v>222</v>
      </c>
      <c r="D148" s="651">
        <v>3119</v>
      </c>
      <c r="E148" s="648" t="s">
        <v>1138</v>
      </c>
      <c r="F148" s="655">
        <v>5347491</v>
      </c>
      <c r="G148" s="655">
        <v>0</v>
      </c>
      <c r="H148" s="655">
        <v>124935</v>
      </c>
      <c r="I148" s="655">
        <v>509005</v>
      </c>
      <c r="J148" s="655">
        <v>469877</v>
      </c>
      <c r="K148" s="655">
        <v>42372</v>
      </c>
      <c r="L148" s="655">
        <v>48681</v>
      </c>
      <c r="M148" s="655">
        <v>0</v>
      </c>
      <c r="N148" s="655">
        <v>249640</v>
      </c>
      <c r="O148" s="655">
        <v>0</v>
      </c>
      <c r="P148" s="655">
        <v>43788</v>
      </c>
      <c r="Q148" s="655">
        <v>48044</v>
      </c>
      <c r="R148" s="655">
        <v>0</v>
      </c>
      <c r="S148" s="655">
        <v>20065</v>
      </c>
      <c r="T148" s="655">
        <v>2576</v>
      </c>
      <c r="U148" s="655">
        <v>0</v>
      </c>
      <c r="V148" s="655">
        <v>0</v>
      </c>
      <c r="W148" s="655">
        <v>119737</v>
      </c>
      <c r="X148" s="655">
        <v>212639</v>
      </c>
      <c r="Y148" s="655">
        <v>0</v>
      </c>
      <c r="Z148" s="655">
        <v>0</v>
      </c>
      <c r="AA148" s="655">
        <v>0</v>
      </c>
      <c r="AB148" s="655">
        <v>0</v>
      </c>
      <c r="AC148" s="655">
        <v>0</v>
      </c>
      <c r="AD148" s="655">
        <v>41095</v>
      </c>
      <c r="AE148" s="655">
        <v>7197755</v>
      </c>
      <c r="AF148" s="655">
        <v>126021</v>
      </c>
      <c r="AG148" s="655">
        <v>0</v>
      </c>
      <c r="AH148" s="655">
        <v>0</v>
      </c>
      <c r="AI148" s="655">
        <v>900278</v>
      </c>
      <c r="AJ148" s="655">
        <v>2670968</v>
      </c>
      <c r="AK148" s="655">
        <v>10895022</v>
      </c>
      <c r="AL148" s="655">
        <v>8387909</v>
      </c>
      <c r="AM148" s="655">
        <v>2507113</v>
      </c>
    </row>
    <row r="149" spans="1:39" x14ac:dyDescent="0.2">
      <c r="A149" s="649">
        <v>2013</v>
      </c>
      <c r="B149" s="650">
        <v>10</v>
      </c>
      <c r="C149" s="656" t="s">
        <v>223</v>
      </c>
      <c r="D149" s="651">
        <v>3141</v>
      </c>
      <c r="E149" s="648" t="s">
        <v>1139</v>
      </c>
      <c r="F149" s="655">
        <v>74944561</v>
      </c>
      <c r="G149" s="655">
        <v>0</v>
      </c>
      <c r="H149" s="655">
        <v>908766</v>
      </c>
      <c r="I149" s="655">
        <v>9910322</v>
      </c>
      <c r="J149" s="655">
        <v>6164059</v>
      </c>
      <c r="K149" s="655">
        <v>769869</v>
      </c>
      <c r="L149" s="655">
        <v>783817</v>
      </c>
      <c r="M149" s="655">
        <v>0</v>
      </c>
      <c r="N149" s="655">
        <v>3706937</v>
      </c>
      <c r="O149" s="655">
        <v>0</v>
      </c>
      <c r="P149" s="655">
        <v>650722</v>
      </c>
      <c r="Q149" s="655">
        <v>714602</v>
      </c>
      <c r="R149" s="655">
        <v>0</v>
      </c>
      <c r="S149" s="655">
        <v>343057</v>
      </c>
      <c r="T149" s="655">
        <v>39904</v>
      </c>
      <c r="U149" s="655">
        <v>3747228</v>
      </c>
      <c r="V149" s="655">
        <v>728986</v>
      </c>
      <c r="W149" s="655">
        <v>1934426</v>
      </c>
      <c r="X149" s="655">
        <v>3541332</v>
      </c>
      <c r="Y149" s="655">
        <v>0</v>
      </c>
      <c r="Z149" s="655">
        <v>0</v>
      </c>
      <c r="AA149" s="655">
        <v>0</v>
      </c>
      <c r="AB149" s="655">
        <v>0</v>
      </c>
      <c r="AC149" s="655">
        <v>0</v>
      </c>
      <c r="AD149" s="655">
        <v>593378</v>
      </c>
      <c r="AE149" s="655">
        <v>108295210</v>
      </c>
      <c r="AF149" s="655">
        <v>606101</v>
      </c>
      <c r="AG149" s="655">
        <v>6062265</v>
      </c>
      <c r="AH149" s="655">
        <v>0</v>
      </c>
      <c r="AI149" s="655">
        <v>12215968</v>
      </c>
      <c r="AJ149" s="655">
        <v>10922938</v>
      </c>
      <c r="AK149" s="655">
        <v>138102482</v>
      </c>
      <c r="AL149" s="655">
        <v>131155308</v>
      </c>
      <c r="AM149" s="655">
        <v>6947174</v>
      </c>
    </row>
    <row r="150" spans="1:39" x14ac:dyDescent="0.2">
      <c r="A150" s="649">
        <v>2013</v>
      </c>
      <c r="B150" s="650">
        <v>7</v>
      </c>
      <c r="C150" s="656" t="s">
        <v>224</v>
      </c>
      <c r="D150" s="651">
        <v>3150</v>
      </c>
      <c r="E150" s="648" t="s">
        <v>1140</v>
      </c>
      <c r="F150" s="655">
        <v>6501495</v>
      </c>
      <c r="G150" s="655">
        <v>0</v>
      </c>
      <c r="H150" s="655">
        <v>134120</v>
      </c>
      <c r="I150" s="655">
        <v>960540</v>
      </c>
      <c r="J150" s="655">
        <v>570337</v>
      </c>
      <c r="K150" s="655">
        <v>66520</v>
      </c>
      <c r="L150" s="655">
        <v>71672</v>
      </c>
      <c r="M150" s="655">
        <v>0</v>
      </c>
      <c r="N150" s="655">
        <v>331952</v>
      </c>
      <c r="O150" s="655">
        <v>0</v>
      </c>
      <c r="P150" s="655">
        <v>53857</v>
      </c>
      <c r="Q150" s="655">
        <v>60212</v>
      </c>
      <c r="R150" s="655">
        <v>0</v>
      </c>
      <c r="S150" s="655">
        <v>42876</v>
      </c>
      <c r="T150" s="655">
        <v>4920</v>
      </c>
      <c r="U150" s="655">
        <v>325075</v>
      </c>
      <c r="V150" s="655">
        <v>0</v>
      </c>
      <c r="W150" s="655">
        <v>37028</v>
      </c>
      <c r="X150" s="655">
        <v>243945</v>
      </c>
      <c r="Y150" s="655">
        <v>0</v>
      </c>
      <c r="Z150" s="655">
        <v>0</v>
      </c>
      <c r="AA150" s="655">
        <v>0</v>
      </c>
      <c r="AB150" s="655">
        <v>0</v>
      </c>
      <c r="AC150" s="655">
        <v>0</v>
      </c>
      <c r="AD150" s="655">
        <v>60767</v>
      </c>
      <c r="AE150" s="655">
        <v>9343782</v>
      </c>
      <c r="AF150" s="655">
        <v>42007</v>
      </c>
      <c r="AG150" s="655">
        <v>450424</v>
      </c>
      <c r="AH150" s="655">
        <v>0</v>
      </c>
      <c r="AI150" s="655">
        <v>1806193</v>
      </c>
      <c r="AJ150" s="655">
        <v>3645813</v>
      </c>
      <c r="AK150" s="655">
        <v>15288219</v>
      </c>
      <c r="AL150" s="655">
        <v>11537061</v>
      </c>
      <c r="AM150" s="655">
        <v>3751158</v>
      </c>
    </row>
    <row r="151" spans="1:39" x14ac:dyDescent="0.2">
      <c r="A151" s="649">
        <v>2013</v>
      </c>
      <c r="B151" s="650">
        <v>10</v>
      </c>
      <c r="C151" s="656" t="s">
        <v>225</v>
      </c>
      <c r="D151" s="651">
        <v>3154</v>
      </c>
      <c r="E151" s="648" t="s">
        <v>1141</v>
      </c>
      <c r="F151" s="655">
        <v>3497983</v>
      </c>
      <c r="G151" s="655">
        <v>83752</v>
      </c>
      <c r="H151" s="655">
        <v>58834</v>
      </c>
      <c r="I151" s="655">
        <v>453616</v>
      </c>
      <c r="J151" s="655">
        <v>289278</v>
      </c>
      <c r="K151" s="655">
        <v>33871</v>
      </c>
      <c r="L151" s="655">
        <v>27488</v>
      </c>
      <c r="M151" s="655">
        <v>0</v>
      </c>
      <c r="N151" s="655">
        <v>173117</v>
      </c>
      <c r="O151" s="655">
        <v>14491</v>
      </c>
      <c r="P151" s="655">
        <v>28773</v>
      </c>
      <c r="Q151" s="655">
        <v>31597</v>
      </c>
      <c r="R151" s="655">
        <v>0</v>
      </c>
      <c r="S151" s="655">
        <v>16307</v>
      </c>
      <c r="T151" s="655">
        <v>1898</v>
      </c>
      <c r="U151" s="655">
        <v>40246</v>
      </c>
      <c r="V151" s="655">
        <v>0</v>
      </c>
      <c r="W151" s="655">
        <v>41181</v>
      </c>
      <c r="X151" s="655">
        <v>0</v>
      </c>
      <c r="Y151" s="655">
        <v>201324</v>
      </c>
      <c r="Z151" s="655">
        <v>0</v>
      </c>
      <c r="AA151" s="655">
        <v>0</v>
      </c>
      <c r="AB151" s="655">
        <v>0</v>
      </c>
      <c r="AC151" s="655">
        <v>0</v>
      </c>
      <c r="AD151" s="655">
        <v>37812</v>
      </c>
      <c r="AE151" s="655">
        <v>4553296</v>
      </c>
      <c r="AF151" s="655">
        <v>93016</v>
      </c>
      <c r="AG151" s="655">
        <v>242484</v>
      </c>
      <c r="AH151" s="655">
        <v>0</v>
      </c>
      <c r="AI151" s="655">
        <v>665606</v>
      </c>
      <c r="AJ151" s="655">
        <v>1997551</v>
      </c>
      <c r="AK151" s="655">
        <v>7551953</v>
      </c>
      <c r="AL151" s="655">
        <v>6091606</v>
      </c>
      <c r="AM151" s="655">
        <v>1460347</v>
      </c>
    </row>
    <row r="152" spans="1:39" x14ac:dyDescent="0.2">
      <c r="A152" s="649">
        <v>2013</v>
      </c>
      <c r="B152" s="650">
        <v>13</v>
      </c>
      <c r="C152" s="656" t="s">
        <v>1484</v>
      </c>
      <c r="D152" s="651">
        <v>3168</v>
      </c>
      <c r="E152" s="648" t="s">
        <v>1481</v>
      </c>
      <c r="F152" s="655">
        <v>4508158</v>
      </c>
      <c r="G152" s="655">
        <v>130489</v>
      </c>
      <c r="H152" s="655">
        <v>159872</v>
      </c>
      <c r="I152" s="655">
        <v>454843</v>
      </c>
      <c r="J152" s="655">
        <v>428633</v>
      </c>
      <c r="K152" s="655">
        <v>49151</v>
      </c>
      <c r="L152" s="655">
        <v>43087</v>
      </c>
      <c r="M152" s="655">
        <v>0</v>
      </c>
      <c r="N152" s="655">
        <v>214608</v>
      </c>
      <c r="O152" s="655">
        <v>17642</v>
      </c>
      <c r="P152" s="655">
        <v>36685</v>
      </c>
      <c r="Q152" s="655">
        <v>40577</v>
      </c>
      <c r="R152" s="655">
        <v>0</v>
      </c>
      <c r="S152" s="655">
        <v>22818</v>
      </c>
      <c r="T152" s="655">
        <v>2405</v>
      </c>
      <c r="U152" s="655">
        <v>117680</v>
      </c>
      <c r="V152" s="655">
        <v>0</v>
      </c>
      <c r="W152" s="655">
        <v>82362</v>
      </c>
      <c r="X152" s="655">
        <v>46994</v>
      </c>
      <c r="Y152" s="655">
        <v>0</v>
      </c>
      <c r="Z152" s="655">
        <v>0</v>
      </c>
      <c r="AA152" s="655">
        <v>0</v>
      </c>
      <c r="AB152" s="655">
        <v>0</v>
      </c>
      <c r="AC152" s="655">
        <v>0</v>
      </c>
      <c r="AD152" s="655">
        <v>55051</v>
      </c>
      <c r="AE152" s="655">
        <v>6300953</v>
      </c>
      <c r="AF152" s="655">
        <v>84014</v>
      </c>
      <c r="AG152" s="655">
        <v>382642</v>
      </c>
      <c r="AH152" s="655">
        <v>0</v>
      </c>
      <c r="AI152" s="655">
        <v>852251</v>
      </c>
      <c r="AJ152" s="655">
        <v>2185978</v>
      </c>
      <c r="AK152" s="655">
        <v>9805838</v>
      </c>
      <c r="AL152" s="655">
        <v>8056517</v>
      </c>
      <c r="AM152" s="655">
        <v>1749321</v>
      </c>
    </row>
    <row r="153" spans="1:39" x14ac:dyDescent="0.2">
      <c r="A153" s="649">
        <v>2013</v>
      </c>
      <c r="B153" s="650">
        <v>7</v>
      </c>
      <c r="C153" s="656" t="s">
        <v>226</v>
      </c>
      <c r="D153" s="651">
        <v>3186</v>
      </c>
      <c r="E153" s="648" t="s">
        <v>1142</v>
      </c>
      <c r="F153" s="655">
        <v>2207411</v>
      </c>
      <c r="G153" s="655">
        <v>44368</v>
      </c>
      <c r="H153" s="655">
        <v>22828</v>
      </c>
      <c r="I153" s="655">
        <v>267648</v>
      </c>
      <c r="J153" s="655">
        <v>185700</v>
      </c>
      <c r="K153" s="655">
        <v>17335</v>
      </c>
      <c r="L153" s="655">
        <v>14754</v>
      </c>
      <c r="M153" s="655">
        <v>0</v>
      </c>
      <c r="N153" s="655">
        <v>108836</v>
      </c>
      <c r="O153" s="655">
        <v>0</v>
      </c>
      <c r="P153" s="655">
        <v>18479</v>
      </c>
      <c r="Q153" s="655">
        <v>20660</v>
      </c>
      <c r="R153" s="655">
        <v>0</v>
      </c>
      <c r="S153" s="655">
        <v>14068</v>
      </c>
      <c r="T153" s="655">
        <v>1615</v>
      </c>
      <c r="U153" s="655">
        <v>0</v>
      </c>
      <c r="V153" s="655">
        <v>0</v>
      </c>
      <c r="W153" s="655">
        <v>70596</v>
      </c>
      <c r="X153" s="655">
        <v>0</v>
      </c>
      <c r="Y153" s="655">
        <v>37424</v>
      </c>
      <c r="Z153" s="655">
        <v>0</v>
      </c>
      <c r="AA153" s="655">
        <v>0</v>
      </c>
      <c r="AB153" s="655">
        <v>0</v>
      </c>
      <c r="AC153" s="655">
        <v>0</v>
      </c>
      <c r="AD153" s="655">
        <v>19481</v>
      </c>
      <c r="AE153" s="655">
        <v>2937393</v>
      </c>
      <c r="AF153" s="655">
        <v>99017</v>
      </c>
      <c r="AG153" s="655">
        <v>172036</v>
      </c>
      <c r="AH153" s="655">
        <v>0</v>
      </c>
      <c r="AI153" s="655">
        <v>852277</v>
      </c>
      <c r="AJ153" s="655">
        <v>1540353</v>
      </c>
      <c r="AK153" s="655">
        <v>5601076</v>
      </c>
      <c r="AL153" s="655">
        <v>3659048</v>
      </c>
      <c r="AM153" s="655">
        <v>1942028</v>
      </c>
    </row>
    <row r="154" spans="1:39" x14ac:dyDescent="0.2">
      <c r="A154" s="649">
        <v>2013</v>
      </c>
      <c r="B154" s="650">
        <v>5</v>
      </c>
      <c r="C154" s="656" t="s">
        <v>227</v>
      </c>
      <c r="D154" s="651">
        <v>3195</v>
      </c>
      <c r="E154" s="648" t="s">
        <v>1638</v>
      </c>
      <c r="F154" s="655">
        <v>8221723</v>
      </c>
      <c r="G154" s="655">
        <v>16462</v>
      </c>
      <c r="H154" s="655">
        <v>313184</v>
      </c>
      <c r="I154" s="655">
        <v>1018877</v>
      </c>
      <c r="J154" s="655">
        <v>713215</v>
      </c>
      <c r="K154" s="655">
        <v>81123</v>
      </c>
      <c r="L154" s="655">
        <v>87659</v>
      </c>
      <c r="M154" s="655">
        <v>0</v>
      </c>
      <c r="N154" s="655">
        <v>416500</v>
      </c>
      <c r="O154" s="655">
        <v>11096</v>
      </c>
      <c r="P154" s="655">
        <v>67019</v>
      </c>
      <c r="Q154" s="655">
        <v>75365</v>
      </c>
      <c r="R154" s="655">
        <v>8330</v>
      </c>
      <c r="S154" s="655">
        <v>44478</v>
      </c>
      <c r="T154" s="655">
        <v>5309</v>
      </c>
      <c r="U154" s="655">
        <v>362014</v>
      </c>
      <c r="V154" s="655">
        <v>385437</v>
      </c>
      <c r="W154" s="655">
        <v>148252</v>
      </c>
      <c r="X154" s="655">
        <v>304700</v>
      </c>
      <c r="Y154" s="655">
        <v>0</v>
      </c>
      <c r="Z154" s="655">
        <v>0</v>
      </c>
      <c r="AA154" s="655">
        <v>0</v>
      </c>
      <c r="AB154" s="655">
        <v>0</v>
      </c>
      <c r="AC154" s="655">
        <v>0</v>
      </c>
      <c r="AD154" s="655">
        <v>96807</v>
      </c>
      <c r="AE154" s="655">
        <v>12183936</v>
      </c>
      <c r="AF154" s="655">
        <v>246041</v>
      </c>
      <c r="AG154" s="655">
        <v>639548</v>
      </c>
      <c r="AH154" s="655">
        <v>0</v>
      </c>
      <c r="AI154" s="655">
        <v>3427619</v>
      </c>
      <c r="AJ154" s="655">
        <v>979474</v>
      </c>
      <c r="AK154" s="655">
        <v>17476618</v>
      </c>
      <c r="AL154" s="655">
        <v>16734015</v>
      </c>
      <c r="AM154" s="655">
        <v>742603</v>
      </c>
    </row>
    <row r="155" spans="1:39" x14ac:dyDescent="0.2">
      <c r="A155" s="649">
        <v>2013</v>
      </c>
      <c r="B155" s="650">
        <v>7</v>
      </c>
      <c r="C155" s="656" t="s">
        <v>228</v>
      </c>
      <c r="D155" s="651">
        <v>3204</v>
      </c>
      <c r="E155" s="648" t="s">
        <v>1146</v>
      </c>
      <c r="F155" s="655">
        <v>5365494</v>
      </c>
      <c r="G155" s="655">
        <v>0</v>
      </c>
      <c r="H155" s="655">
        <v>198351</v>
      </c>
      <c r="I155" s="655">
        <v>640367</v>
      </c>
      <c r="J155" s="655">
        <v>415095</v>
      </c>
      <c r="K155" s="655">
        <v>44741</v>
      </c>
      <c r="L155" s="655">
        <v>55470</v>
      </c>
      <c r="M155" s="655">
        <v>0</v>
      </c>
      <c r="N155" s="655">
        <v>267396</v>
      </c>
      <c r="O155" s="655">
        <v>0</v>
      </c>
      <c r="P155" s="655">
        <v>50349</v>
      </c>
      <c r="Q155" s="655">
        <v>56290</v>
      </c>
      <c r="R155" s="655">
        <v>0</v>
      </c>
      <c r="S155" s="655">
        <v>34538</v>
      </c>
      <c r="T155" s="655">
        <v>3963</v>
      </c>
      <c r="U155" s="655">
        <v>84000</v>
      </c>
      <c r="V155" s="655">
        <v>0</v>
      </c>
      <c r="W155" s="655">
        <v>103217</v>
      </c>
      <c r="X155" s="655">
        <v>207975</v>
      </c>
      <c r="Y155" s="655">
        <v>0</v>
      </c>
      <c r="Z155" s="655">
        <v>0</v>
      </c>
      <c r="AA155" s="655">
        <v>0</v>
      </c>
      <c r="AB155" s="655">
        <v>0</v>
      </c>
      <c r="AC155" s="655">
        <v>0</v>
      </c>
      <c r="AD155" s="655">
        <v>50146</v>
      </c>
      <c r="AE155" s="655">
        <v>7477100</v>
      </c>
      <c r="AF155" s="655">
        <v>0</v>
      </c>
      <c r="AG155" s="655">
        <v>0</v>
      </c>
      <c r="AH155" s="655">
        <v>0</v>
      </c>
      <c r="AI155" s="655">
        <v>791097</v>
      </c>
      <c r="AJ155" s="655">
        <v>3703708</v>
      </c>
      <c r="AK155" s="655">
        <v>11971905</v>
      </c>
      <c r="AL155" s="655">
        <v>8402029</v>
      </c>
      <c r="AM155" s="655">
        <v>3569876</v>
      </c>
    </row>
    <row r="156" spans="1:39" x14ac:dyDescent="0.2">
      <c r="A156" s="649">
        <v>2013</v>
      </c>
      <c r="B156" s="650">
        <v>11</v>
      </c>
      <c r="C156" s="656" t="s">
        <v>229</v>
      </c>
      <c r="D156" s="651">
        <v>3231</v>
      </c>
      <c r="E156" s="648" t="s">
        <v>1147</v>
      </c>
      <c r="F156" s="655">
        <v>36892348</v>
      </c>
      <c r="G156" s="655">
        <v>0</v>
      </c>
      <c r="H156" s="655">
        <v>442208</v>
      </c>
      <c r="I156" s="655">
        <v>2926988</v>
      </c>
      <c r="J156" s="655">
        <v>2936203</v>
      </c>
      <c r="K156" s="655">
        <v>324906</v>
      </c>
      <c r="L156" s="655">
        <v>313779</v>
      </c>
      <c r="M156" s="655">
        <v>0</v>
      </c>
      <c r="N156" s="655">
        <v>1697348</v>
      </c>
      <c r="O156" s="655">
        <v>0</v>
      </c>
      <c r="P156" s="655">
        <v>322533</v>
      </c>
      <c r="Q156" s="655">
        <v>353878</v>
      </c>
      <c r="R156" s="655">
        <v>0</v>
      </c>
      <c r="S156" s="655">
        <v>136425</v>
      </c>
      <c r="T156" s="655">
        <v>17518</v>
      </c>
      <c r="U156" s="655">
        <v>1187410</v>
      </c>
      <c r="V156" s="655">
        <v>354352</v>
      </c>
      <c r="W156" s="655">
        <v>756966</v>
      </c>
      <c r="X156" s="655">
        <v>3140130</v>
      </c>
      <c r="Y156" s="655">
        <v>0</v>
      </c>
      <c r="Z156" s="655">
        <v>0</v>
      </c>
      <c r="AA156" s="655">
        <v>0</v>
      </c>
      <c r="AB156" s="655">
        <v>0</v>
      </c>
      <c r="AC156" s="655">
        <v>-11766</v>
      </c>
      <c r="AD156" s="655">
        <v>219867</v>
      </c>
      <c r="AE156" s="655">
        <v>51571359</v>
      </c>
      <c r="AF156" s="655">
        <v>648108</v>
      </c>
      <c r="AG156" s="655">
        <v>2747373</v>
      </c>
      <c r="AH156" s="655">
        <v>0</v>
      </c>
      <c r="AI156" s="655">
        <v>6992962</v>
      </c>
      <c r="AJ156" s="655">
        <v>8042698</v>
      </c>
      <c r="AK156" s="655">
        <v>70002500</v>
      </c>
      <c r="AL156" s="655">
        <v>63484686</v>
      </c>
      <c r="AM156" s="655">
        <v>6517814</v>
      </c>
    </row>
    <row r="157" spans="1:39" x14ac:dyDescent="0.2">
      <c r="A157" s="649">
        <v>2013</v>
      </c>
      <c r="B157" s="650">
        <v>15</v>
      </c>
      <c r="C157" s="656" t="s">
        <v>230</v>
      </c>
      <c r="D157" s="651">
        <v>3312</v>
      </c>
      <c r="E157" s="648" t="s">
        <v>1148</v>
      </c>
      <c r="F157" s="655">
        <v>11838773</v>
      </c>
      <c r="G157" s="655">
        <v>54988</v>
      </c>
      <c r="H157" s="655">
        <v>153062</v>
      </c>
      <c r="I157" s="655">
        <v>2017956</v>
      </c>
      <c r="J157" s="655">
        <v>999736</v>
      </c>
      <c r="K157" s="655">
        <v>119552</v>
      </c>
      <c r="L157" s="655">
        <v>128883</v>
      </c>
      <c r="M157" s="655">
        <v>0</v>
      </c>
      <c r="N157" s="655">
        <v>603175</v>
      </c>
      <c r="O157" s="655">
        <v>53830</v>
      </c>
      <c r="P157" s="655">
        <v>100221</v>
      </c>
      <c r="Q157" s="655">
        <v>110043</v>
      </c>
      <c r="R157" s="655">
        <v>0</v>
      </c>
      <c r="S157" s="655">
        <v>60650</v>
      </c>
      <c r="T157" s="655">
        <v>6520</v>
      </c>
      <c r="U157" s="655">
        <v>456716</v>
      </c>
      <c r="V157" s="655">
        <v>0</v>
      </c>
      <c r="W157" s="655">
        <v>144624</v>
      </c>
      <c r="X157" s="655">
        <v>61014</v>
      </c>
      <c r="Y157" s="655">
        <v>0</v>
      </c>
      <c r="Z157" s="655">
        <v>0</v>
      </c>
      <c r="AA157" s="655">
        <v>0</v>
      </c>
      <c r="AB157" s="655">
        <v>0</v>
      </c>
      <c r="AC157" s="655">
        <v>0</v>
      </c>
      <c r="AD157" s="655">
        <v>127683</v>
      </c>
      <c r="AE157" s="655">
        <v>16782060</v>
      </c>
      <c r="AF157" s="655">
        <v>174029</v>
      </c>
      <c r="AG157" s="655">
        <v>720524</v>
      </c>
      <c r="AH157" s="655">
        <v>0</v>
      </c>
      <c r="AI157" s="655">
        <v>1973247</v>
      </c>
      <c r="AJ157" s="655">
        <v>8186644</v>
      </c>
      <c r="AK157" s="655">
        <v>27836504</v>
      </c>
      <c r="AL157" s="655">
        <v>21321968</v>
      </c>
      <c r="AM157" s="655">
        <v>6514536</v>
      </c>
    </row>
    <row r="158" spans="1:39" x14ac:dyDescent="0.2">
      <c r="A158" s="649">
        <v>2013</v>
      </c>
      <c r="B158" s="650">
        <v>15</v>
      </c>
      <c r="C158" s="656" t="s">
        <v>231</v>
      </c>
      <c r="D158" s="651">
        <v>3330</v>
      </c>
      <c r="E158" s="648" t="s">
        <v>1149</v>
      </c>
      <c r="F158" s="655">
        <v>1968857</v>
      </c>
      <c r="G158" s="655">
        <v>0</v>
      </c>
      <c r="H158" s="655">
        <v>69173</v>
      </c>
      <c r="I158" s="655">
        <v>295782</v>
      </c>
      <c r="J158" s="655">
        <v>182236</v>
      </c>
      <c r="K158" s="655">
        <v>18913</v>
      </c>
      <c r="L158" s="655">
        <v>17008</v>
      </c>
      <c r="M158" s="655">
        <v>0</v>
      </c>
      <c r="N158" s="655">
        <v>97861</v>
      </c>
      <c r="O158" s="655">
        <v>0</v>
      </c>
      <c r="P158" s="655">
        <v>16049</v>
      </c>
      <c r="Q158" s="655">
        <v>17622</v>
      </c>
      <c r="R158" s="655">
        <v>0</v>
      </c>
      <c r="S158" s="655">
        <v>9782</v>
      </c>
      <c r="T158" s="655">
        <v>1053</v>
      </c>
      <c r="U158" s="655">
        <v>33976</v>
      </c>
      <c r="V158" s="655">
        <v>0</v>
      </c>
      <c r="W158" s="655">
        <v>97325</v>
      </c>
      <c r="X158" s="655">
        <v>23872</v>
      </c>
      <c r="Y158" s="655">
        <v>0</v>
      </c>
      <c r="Z158" s="655">
        <v>0</v>
      </c>
      <c r="AA158" s="655">
        <v>0</v>
      </c>
      <c r="AB158" s="655">
        <v>0</v>
      </c>
      <c r="AC158" s="655">
        <v>0</v>
      </c>
      <c r="AD158" s="655">
        <v>21737</v>
      </c>
      <c r="AE158" s="655">
        <v>2827772</v>
      </c>
      <c r="AF158" s="655">
        <v>30005</v>
      </c>
      <c r="AG158" s="655">
        <v>167077</v>
      </c>
      <c r="AH158" s="655">
        <v>0</v>
      </c>
      <c r="AI158" s="655">
        <v>383425</v>
      </c>
      <c r="AJ158" s="655">
        <v>1037723</v>
      </c>
      <c r="AK158" s="655">
        <v>4446002</v>
      </c>
      <c r="AL158" s="655">
        <v>3727681</v>
      </c>
      <c r="AM158" s="655">
        <v>718321</v>
      </c>
    </row>
    <row r="159" spans="1:39" x14ac:dyDescent="0.2">
      <c r="A159" s="649">
        <v>2013</v>
      </c>
      <c r="B159" s="650">
        <v>12</v>
      </c>
      <c r="C159" s="656" t="s">
        <v>232</v>
      </c>
      <c r="D159" s="651">
        <v>3348</v>
      </c>
      <c r="E159" s="648" t="s">
        <v>1150</v>
      </c>
      <c r="F159" s="655">
        <v>2856672</v>
      </c>
      <c r="G159" s="655">
        <v>0</v>
      </c>
      <c r="H159" s="655">
        <v>43045</v>
      </c>
      <c r="I159" s="655">
        <v>412997</v>
      </c>
      <c r="J159" s="655">
        <v>260526</v>
      </c>
      <c r="K159" s="655">
        <v>30275</v>
      </c>
      <c r="L159" s="655">
        <v>33017</v>
      </c>
      <c r="M159" s="655">
        <v>0</v>
      </c>
      <c r="N159" s="655">
        <v>144864</v>
      </c>
      <c r="O159" s="655">
        <v>0</v>
      </c>
      <c r="P159" s="655">
        <v>23312</v>
      </c>
      <c r="Q159" s="655">
        <v>26205</v>
      </c>
      <c r="R159" s="655">
        <v>0</v>
      </c>
      <c r="S159" s="655">
        <v>14527</v>
      </c>
      <c r="T159" s="655">
        <v>1741</v>
      </c>
      <c r="U159" s="655">
        <v>84080</v>
      </c>
      <c r="V159" s="655">
        <v>0</v>
      </c>
      <c r="W159" s="655">
        <v>37063</v>
      </c>
      <c r="X159" s="655">
        <v>0</v>
      </c>
      <c r="Y159" s="655">
        <v>4942</v>
      </c>
      <c r="Z159" s="655">
        <v>0</v>
      </c>
      <c r="AA159" s="655">
        <v>0</v>
      </c>
      <c r="AB159" s="655">
        <v>0</v>
      </c>
      <c r="AC159" s="655">
        <v>0</v>
      </c>
      <c r="AD159" s="655">
        <v>26598</v>
      </c>
      <c r="AE159" s="655">
        <v>3936784</v>
      </c>
      <c r="AF159" s="655">
        <v>0</v>
      </c>
      <c r="AG159" s="655">
        <v>221249</v>
      </c>
      <c r="AH159" s="655">
        <v>0</v>
      </c>
      <c r="AI159" s="655">
        <v>500003</v>
      </c>
      <c r="AJ159" s="655">
        <v>619192</v>
      </c>
      <c r="AK159" s="655">
        <v>5277228</v>
      </c>
      <c r="AL159" s="655">
        <v>4809711</v>
      </c>
      <c r="AM159" s="655">
        <v>467517</v>
      </c>
    </row>
    <row r="160" spans="1:39" x14ac:dyDescent="0.2">
      <c r="A160" s="649">
        <v>2013</v>
      </c>
      <c r="B160" s="650">
        <v>11</v>
      </c>
      <c r="C160" s="656" t="s">
        <v>233</v>
      </c>
      <c r="D160" s="651">
        <v>3375</v>
      </c>
      <c r="E160" s="648" t="s">
        <v>1151</v>
      </c>
      <c r="F160" s="655">
        <v>11214069</v>
      </c>
      <c r="G160" s="655">
        <v>139579</v>
      </c>
      <c r="H160" s="655">
        <v>124617</v>
      </c>
      <c r="I160" s="655">
        <v>1525934</v>
      </c>
      <c r="J160" s="655">
        <v>974776</v>
      </c>
      <c r="K160" s="655">
        <v>103393</v>
      </c>
      <c r="L160" s="655">
        <v>114629</v>
      </c>
      <c r="M160" s="655">
        <v>0</v>
      </c>
      <c r="N160" s="655">
        <v>543058</v>
      </c>
      <c r="O160" s="655">
        <v>9358</v>
      </c>
      <c r="P160" s="655">
        <v>92719</v>
      </c>
      <c r="Q160" s="655">
        <v>101730</v>
      </c>
      <c r="R160" s="655">
        <v>0</v>
      </c>
      <c r="S160" s="655">
        <v>43648</v>
      </c>
      <c r="T160" s="655">
        <v>5605</v>
      </c>
      <c r="U160" s="655">
        <v>296688</v>
      </c>
      <c r="V160" s="655">
        <v>0</v>
      </c>
      <c r="W160" s="655">
        <v>186491</v>
      </c>
      <c r="X160" s="655">
        <v>0</v>
      </c>
      <c r="Y160" s="655">
        <v>0</v>
      </c>
      <c r="Z160" s="655">
        <v>0</v>
      </c>
      <c r="AA160" s="655">
        <v>0</v>
      </c>
      <c r="AB160" s="655">
        <v>0</v>
      </c>
      <c r="AC160" s="655">
        <v>0</v>
      </c>
      <c r="AD160" s="655">
        <v>109522</v>
      </c>
      <c r="AE160" s="655">
        <v>15366772</v>
      </c>
      <c r="AF160" s="655">
        <v>279047</v>
      </c>
      <c r="AG160" s="655">
        <v>497358</v>
      </c>
      <c r="AH160" s="655">
        <v>0</v>
      </c>
      <c r="AI160" s="655">
        <v>1183880</v>
      </c>
      <c r="AJ160" s="655">
        <v>4897744</v>
      </c>
      <c r="AK160" s="655">
        <v>22224801</v>
      </c>
      <c r="AL160" s="655">
        <v>17152145</v>
      </c>
      <c r="AM160" s="655">
        <v>5072656</v>
      </c>
    </row>
    <row r="161" spans="1:39" x14ac:dyDescent="0.2">
      <c r="A161" s="649">
        <v>2013</v>
      </c>
      <c r="B161" s="650">
        <v>7</v>
      </c>
      <c r="C161" s="656" t="s">
        <v>234</v>
      </c>
      <c r="D161" s="651">
        <v>3420</v>
      </c>
      <c r="E161" s="648" t="s">
        <v>1152</v>
      </c>
      <c r="F161" s="655">
        <v>3565794</v>
      </c>
      <c r="G161" s="655">
        <v>0</v>
      </c>
      <c r="H161" s="655">
        <v>26692</v>
      </c>
      <c r="I161" s="655">
        <v>353579</v>
      </c>
      <c r="J161" s="655">
        <v>328872</v>
      </c>
      <c r="K161" s="655">
        <v>33394</v>
      </c>
      <c r="L161" s="655">
        <v>38504</v>
      </c>
      <c r="M161" s="655">
        <v>0</v>
      </c>
      <c r="N161" s="655">
        <v>174501</v>
      </c>
      <c r="O161" s="655">
        <v>3383</v>
      </c>
      <c r="P161" s="655">
        <v>29350</v>
      </c>
      <c r="Q161" s="655">
        <v>32813</v>
      </c>
      <c r="R161" s="655">
        <v>0</v>
      </c>
      <c r="S161" s="655">
        <v>22539</v>
      </c>
      <c r="T161" s="655">
        <v>2586</v>
      </c>
      <c r="U161" s="655">
        <v>0</v>
      </c>
      <c r="V161" s="655">
        <v>0</v>
      </c>
      <c r="W161" s="655">
        <v>48972</v>
      </c>
      <c r="X161" s="655">
        <v>90273</v>
      </c>
      <c r="Y161" s="655">
        <v>0</v>
      </c>
      <c r="Z161" s="655">
        <v>0</v>
      </c>
      <c r="AA161" s="655">
        <v>0</v>
      </c>
      <c r="AB161" s="655">
        <v>0</v>
      </c>
      <c r="AC161" s="655">
        <v>0</v>
      </c>
      <c r="AD161" s="655">
        <v>40266</v>
      </c>
      <c r="AE161" s="655">
        <v>4710986</v>
      </c>
      <c r="AF161" s="655">
        <v>105018</v>
      </c>
      <c r="AG161" s="655">
        <v>289578</v>
      </c>
      <c r="AH161" s="655">
        <v>0</v>
      </c>
      <c r="AI161" s="655">
        <v>1190525</v>
      </c>
      <c r="AJ161" s="655">
        <v>2246653</v>
      </c>
      <c r="AK161" s="655">
        <v>8542760</v>
      </c>
      <c r="AL161" s="655">
        <v>6366198</v>
      </c>
      <c r="AM161" s="655">
        <v>2176562</v>
      </c>
    </row>
    <row r="162" spans="1:39" x14ac:dyDescent="0.2">
      <c r="A162" s="649">
        <v>2013</v>
      </c>
      <c r="B162" s="650">
        <v>13</v>
      </c>
      <c r="C162" s="656" t="s">
        <v>235</v>
      </c>
      <c r="D162" s="651">
        <v>3465</v>
      </c>
      <c r="E162" s="648" t="s">
        <v>1153</v>
      </c>
      <c r="F162" s="655">
        <v>2066744</v>
      </c>
      <c r="G162" s="655">
        <v>17650</v>
      </c>
      <c r="H162" s="655">
        <v>74682</v>
      </c>
      <c r="I162" s="655">
        <v>264884</v>
      </c>
      <c r="J162" s="655">
        <v>206137</v>
      </c>
      <c r="K162" s="655">
        <v>22069</v>
      </c>
      <c r="L162" s="655">
        <v>21962</v>
      </c>
      <c r="M162" s="655">
        <v>0</v>
      </c>
      <c r="N162" s="655">
        <v>102520</v>
      </c>
      <c r="O162" s="655">
        <v>3724</v>
      </c>
      <c r="P162" s="655">
        <v>16943</v>
      </c>
      <c r="Q162" s="655">
        <v>18740</v>
      </c>
      <c r="R162" s="655">
        <v>0</v>
      </c>
      <c r="S162" s="655">
        <v>10912</v>
      </c>
      <c r="T162" s="655">
        <v>1150</v>
      </c>
      <c r="U162" s="655">
        <v>51607</v>
      </c>
      <c r="V162" s="655">
        <v>0</v>
      </c>
      <c r="W162" s="655">
        <v>9844</v>
      </c>
      <c r="X162" s="655">
        <v>129789</v>
      </c>
      <c r="Y162" s="655">
        <v>0</v>
      </c>
      <c r="Z162" s="655">
        <v>0</v>
      </c>
      <c r="AA162" s="655">
        <v>0</v>
      </c>
      <c r="AB162" s="655">
        <v>0</v>
      </c>
      <c r="AC162" s="655">
        <v>0</v>
      </c>
      <c r="AD162" s="655">
        <v>20641</v>
      </c>
      <c r="AE162" s="655">
        <v>2998716</v>
      </c>
      <c r="AF162" s="655">
        <v>75013</v>
      </c>
      <c r="AG162" s="655">
        <v>96606</v>
      </c>
      <c r="AH162" s="655">
        <v>0</v>
      </c>
      <c r="AI162" s="655">
        <v>784420</v>
      </c>
      <c r="AJ162" s="655">
        <v>1671340</v>
      </c>
      <c r="AK162" s="655">
        <v>5626095</v>
      </c>
      <c r="AL162" s="655">
        <v>3751685</v>
      </c>
      <c r="AM162" s="655">
        <v>1874410</v>
      </c>
    </row>
    <row r="163" spans="1:39" x14ac:dyDescent="0.2">
      <c r="A163" s="649">
        <v>2013</v>
      </c>
      <c r="B163" s="650">
        <v>5</v>
      </c>
      <c r="C163" s="656" t="s">
        <v>236</v>
      </c>
      <c r="D163" s="651">
        <v>3537</v>
      </c>
      <c r="E163" s="648" t="s">
        <v>1154</v>
      </c>
      <c r="F163" s="655">
        <v>1986331</v>
      </c>
      <c r="G163" s="655">
        <v>30326</v>
      </c>
      <c r="H163" s="655">
        <v>23404</v>
      </c>
      <c r="I163" s="655">
        <v>241720</v>
      </c>
      <c r="J163" s="655">
        <v>194941</v>
      </c>
      <c r="K163" s="655">
        <v>21158</v>
      </c>
      <c r="L163" s="655">
        <v>19516</v>
      </c>
      <c r="M163" s="655">
        <v>0</v>
      </c>
      <c r="N163" s="655">
        <v>101660</v>
      </c>
      <c r="O163" s="655">
        <v>10605</v>
      </c>
      <c r="P163" s="655">
        <v>16421</v>
      </c>
      <c r="Q163" s="655">
        <v>18466</v>
      </c>
      <c r="R163" s="655">
        <v>2032</v>
      </c>
      <c r="S163" s="655">
        <v>11029</v>
      </c>
      <c r="T163" s="655">
        <v>1318</v>
      </c>
      <c r="U163" s="655">
        <v>63000</v>
      </c>
      <c r="V163" s="655">
        <v>0</v>
      </c>
      <c r="W163" s="655">
        <v>23532</v>
      </c>
      <c r="X163" s="655">
        <v>53782</v>
      </c>
      <c r="Y163" s="655">
        <v>0</v>
      </c>
      <c r="Z163" s="655">
        <v>0</v>
      </c>
      <c r="AA163" s="655">
        <v>0</v>
      </c>
      <c r="AB163" s="655">
        <v>0</v>
      </c>
      <c r="AC163" s="655">
        <v>0</v>
      </c>
      <c r="AD163" s="655">
        <v>26609</v>
      </c>
      <c r="AE163" s="655">
        <v>2792632</v>
      </c>
      <c r="AF163" s="655">
        <v>42007</v>
      </c>
      <c r="AG163" s="655">
        <v>168532</v>
      </c>
      <c r="AH163" s="655">
        <v>0</v>
      </c>
      <c r="AI163" s="655">
        <v>317817</v>
      </c>
      <c r="AJ163" s="655">
        <v>635900</v>
      </c>
      <c r="AK163" s="655">
        <v>3956888</v>
      </c>
      <c r="AL163" s="655">
        <v>3936001</v>
      </c>
      <c r="AM163" s="655">
        <v>20887</v>
      </c>
    </row>
    <row r="164" spans="1:39" x14ac:dyDescent="0.2">
      <c r="A164" s="649">
        <v>2013</v>
      </c>
      <c r="B164" s="650">
        <v>12</v>
      </c>
      <c r="C164" s="656" t="s">
        <v>237</v>
      </c>
      <c r="D164" s="651">
        <v>3555</v>
      </c>
      <c r="E164" s="648" t="s">
        <v>1155</v>
      </c>
      <c r="F164" s="655">
        <v>3732022</v>
      </c>
      <c r="G164" s="655">
        <v>22026</v>
      </c>
      <c r="H164" s="655">
        <v>30437</v>
      </c>
      <c r="I164" s="655">
        <v>329935</v>
      </c>
      <c r="J164" s="655">
        <v>316056</v>
      </c>
      <c r="K164" s="655">
        <v>33253</v>
      </c>
      <c r="L164" s="655">
        <v>31449</v>
      </c>
      <c r="M164" s="655">
        <v>0</v>
      </c>
      <c r="N164" s="655">
        <v>183055</v>
      </c>
      <c r="O164" s="655">
        <v>833</v>
      </c>
      <c r="P164" s="655">
        <v>32005</v>
      </c>
      <c r="Q164" s="655">
        <v>35977</v>
      </c>
      <c r="R164" s="655">
        <v>0</v>
      </c>
      <c r="S164" s="655">
        <v>18432</v>
      </c>
      <c r="T164" s="655">
        <v>2211</v>
      </c>
      <c r="U164" s="655">
        <v>126691</v>
      </c>
      <c r="V164" s="655">
        <v>0</v>
      </c>
      <c r="W164" s="655">
        <v>132432</v>
      </c>
      <c r="X164" s="655">
        <v>0</v>
      </c>
      <c r="Y164" s="655">
        <v>0</v>
      </c>
      <c r="Z164" s="655">
        <v>0</v>
      </c>
      <c r="AA164" s="655">
        <v>0</v>
      </c>
      <c r="AB164" s="655">
        <v>0</v>
      </c>
      <c r="AC164" s="655">
        <v>0</v>
      </c>
      <c r="AD164" s="655">
        <v>34460</v>
      </c>
      <c r="AE164" s="655">
        <v>4992354</v>
      </c>
      <c r="AF164" s="655">
        <v>84014</v>
      </c>
      <c r="AG164" s="655">
        <v>140626</v>
      </c>
      <c r="AH164" s="655">
        <v>0</v>
      </c>
      <c r="AI164" s="655">
        <v>667669</v>
      </c>
      <c r="AJ164" s="655">
        <v>706775</v>
      </c>
      <c r="AK164" s="655">
        <v>6591438</v>
      </c>
      <c r="AL164" s="655">
        <v>5744169</v>
      </c>
      <c r="AM164" s="655">
        <v>847269</v>
      </c>
    </row>
    <row r="165" spans="1:39" x14ac:dyDescent="0.2">
      <c r="A165" s="649">
        <v>2013</v>
      </c>
      <c r="B165" s="650">
        <v>7</v>
      </c>
      <c r="C165" s="656" t="s">
        <v>238</v>
      </c>
      <c r="D165" s="651">
        <v>1968</v>
      </c>
      <c r="E165" s="648" t="s">
        <v>1157</v>
      </c>
      <c r="F165" s="655">
        <v>4014275</v>
      </c>
      <c r="G165" s="655">
        <v>151962</v>
      </c>
      <c r="H165" s="655">
        <v>44013</v>
      </c>
      <c r="I165" s="655">
        <v>593592</v>
      </c>
      <c r="J165" s="655">
        <v>384231</v>
      </c>
      <c r="K165" s="655">
        <v>43690</v>
      </c>
      <c r="L165" s="655">
        <v>43524</v>
      </c>
      <c r="M165" s="655">
        <v>0</v>
      </c>
      <c r="N165" s="655">
        <v>202322</v>
      </c>
      <c r="O165" s="655">
        <v>13281</v>
      </c>
      <c r="P165" s="655">
        <v>32907</v>
      </c>
      <c r="Q165" s="655">
        <v>36790</v>
      </c>
      <c r="R165" s="655">
        <v>0</v>
      </c>
      <c r="S165" s="655">
        <v>28487</v>
      </c>
      <c r="T165" s="655">
        <v>3270</v>
      </c>
      <c r="U165" s="655">
        <v>76838</v>
      </c>
      <c r="V165" s="655">
        <v>0</v>
      </c>
      <c r="W165" s="655">
        <v>86216</v>
      </c>
      <c r="X165" s="655">
        <v>0</v>
      </c>
      <c r="Y165" s="655">
        <v>0</v>
      </c>
      <c r="Z165" s="655">
        <v>0</v>
      </c>
      <c r="AA165" s="655">
        <v>0</v>
      </c>
      <c r="AB165" s="655">
        <v>0</v>
      </c>
      <c r="AC165" s="655">
        <v>0</v>
      </c>
      <c r="AD165" s="655">
        <v>44772</v>
      </c>
      <c r="AE165" s="655">
        <v>5710626</v>
      </c>
      <c r="AF165" s="655">
        <v>150025</v>
      </c>
      <c r="AG165" s="655">
        <v>316801</v>
      </c>
      <c r="AH165" s="655">
        <v>0</v>
      </c>
      <c r="AI165" s="655">
        <v>2392733</v>
      </c>
      <c r="AJ165" s="655">
        <v>2126986</v>
      </c>
      <c r="AK165" s="655">
        <v>10697171</v>
      </c>
      <c r="AL165" s="655">
        <v>8594202</v>
      </c>
      <c r="AM165" s="655">
        <v>2102969</v>
      </c>
    </row>
    <row r="166" spans="1:39" x14ac:dyDescent="0.2">
      <c r="A166" s="649">
        <v>2013</v>
      </c>
      <c r="B166" s="650">
        <v>12</v>
      </c>
      <c r="C166" s="656" t="s">
        <v>239</v>
      </c>
      <c r="D166" s="651">
        <v>3600</v>
      </c>
      <c r="E166" s="648" t="s">
        <v>1158</v>
      </c>
      <c r="F166" s="655">
        <v>12398666</v>
      </c>
      <c r="G166" s="655">
        <v>6092</v>
      </c>
      <c r="H166" s="655">
        <v>160551</v>
      </c>
      <c r="I166" s="655">
        <v>1296096</v>
      </c>
      <c r="J166" s="655">
        <v>1023422</v>
      </c>
      <c r="K166" s="655">
        <v>119297</v>
      </c>
      <c r="L166" s="655">
        <v>110371</v>
      </c>
      <c r="M166" s="655">
        <v>0</v>
      </c>
      <c r="N166" s="655">
        <v>617166</v>
      </c>
      <c r="O166" s="655">
        <v>9065</v>
      </c>
      <c r="P166" s="655">
        <v>123179</v>
      </c>
      <c r="Q166" s="655">
        <v>138467</v>
      </c>
      <c r="R166" s="655">
        <v>0</v>
      </c>
      <c r="S166" s="655">
        <v>61890</v>
      </c>
      <c r="T166" s="655">
        <v>7417</v>
      </c>
      <c r="U166" s="655">
        <v>115678</v>
      </c>
      <c r="V166" s="655">
        <v>0</v>
      </c>
      <c r="W166" s="655">
        <v>165388</v>
      </c>
      <c r="X166" s="655">
        <v>0</v>
      </c>
      <c r="Y166" s="655">
        <v>0</v>
      </c>
      <c r="Z166" s="655">
        <v>0</v>
      </c>
      <c r="AA166" s="655">
        <v>0</v>
      </c>
      <c r="AB166" s="655">
        <v>0</v>
      </c>
      <c r="AC166" s="655">
        <v>0</v>
      </c>
      <c r="AD166" s="655">
        <v>128533</v>
      </c>
      <c r="AE166" s="655">
        <v>16224212</v>
      </c>
      <c r="AF166" s="655">
        <v>90015</v>
      </c>
      <c r="AG166" s="655">
        <v>462201</v>
      </c>
      <c r="AH166" s="655">
        <v>0</v>
      </c>
      <c r="AI166" s="655">
        <v>1088165</v>
      </c>
      <c r="AJ166" s="655">
        <v>6627819</v>
      </c>
      <c r="AK166" s="655">
        <v>24492412</v>
      </c>
      <c r="AL166" s="655">
        <v>18571974</v>
      </c>
      <c r="AM166" s="655">
        <v>5920438</v>
      </c>
    </row>
    <row r="167" spans="1:39" x14ac:dyDescent="0.2">
      <c r="A167" s="649">
        <v>2013</v>
      </c>
      <c r="B167" s="650">
        <v>13</v>
      </c>
      <c r="C167" s="656" t="s">
        <v>240</v>
      </c>
      <c r="D167" s="651">
        <v>3609</v>
      </c>
      <c r="E167" s="648" t="s">
        <v>1159</v>
      </c>
      <c r="F167" s="655">
        <v>2459210</v>
      </c>
      <c r="G167" s="655">
        <v>0</v>
      </c>
      <c r="H167" s="655">
        <v>87573</v>
      </c>
      <c r="I167" s="655">
        <v>285288</v>
      </c>
      <c r="J167" s="655">
        <v>237020</v>
      </c>
      <c r="K167" s="655">
        <v>27407</v>
      </c>
      <c r="L167" s="655">
        <v>31591</v>
      </c>
      <c r="M167" s="655">
        <v>0</v>
      </c>
      <c r="N167" s="655">
        <v>120674</v>
      </c>
      <c r="O167" s="655">
        <v>0</v>
      </c>
      <c r="P167" s="655">
        <v>20135</v>
      </c>
      <c r="Q167" s="655">
        <v>22271</v>
      </c>
      <c r="R167" s="655">
        <v>0</v>
      </c>
      <c r="S167" s="655">
        <v>12394</v>
      </c>
      <c r="T167" s="655">
        <v>1308</v>
      </c>
      <c r="U167" s="655">
        <v>0</v>
      </c>
      <c r="V167" s="655">
        <v>0</v>
      </c>
      <c r="W167" s="655">
        <v>52461</v>
      </c>
      <c r="X167" s="655">
        <v>8073</v>
      </c>
      <c r="Y167" s="655">
        <v>0</v>
      </c>
      <c r="Z167" s="655">
        <v>0</v>
      </c>
      <c r="AA167" s="655">
        <v>0</v>
      </c>
      <c r="AB167" s="655">
        <v>0</v>
      </c>
      <c r="AC167" s="655">
        <v>0</v>
      </c>
      <c r="AD167" s="655">
        <v>21801</v>
      </c>
      <c r="AE167" s="655">
        <v>3343604</v>
      </c>
      <c r="AF167" s="655">
        <v>81014</v>
      </c>
      <c r="AG167" s="655">
        <v>170645</v>
      </c>
      <c r="AH167" s="655">
        <v>0</v>
      </c>
      <c r="AI167" s="655">
        <v>797400</v>
      </c>
      <c r="AJ167" s="655">
        <v>1773968</v>
      </c>
      <c r="AK167" s="655">
        <v>6166631</v>
      </c>
      <c r="AL167" s="655">
        <v>4489669</v>
      </c>
      <c r="AM167" s="655">
        <v>1676962</v>
      </c>
    </row>
    <row r="168" spans="1:39" x14ac:dyDescent="0.2">
      <c r="A168" s="649">
        <v>2013</v>
      </c>
      <c r="B168" s="650">
        <v>13</v>
      </c>
      <c r="C168" s="656" t="s">
        <v>241</v>
      </c>
      <c r="D168" s="651">
        <v>3645</v>
      </c>
      <c r="E168" s="648" t="s">
        <v>1160</v>
      </c>
      <c r="F168" s="655">
        <v>15484380</v>
      </c>
      <c r="G168" s="655">
        <v>43998</v>
      </c>
      <c r="H168" s="655">
        <v>238612</v>
      </c>
      <c r="I168" s="655">
        <v>1874652</v>
      </c>
      <c r="J168" s="655">
        <v>1289479</v>
      </c>
      <c r="K168" s="655">
        <v>151670</v>
      </c>
      <c r="L168" s="655">
        <v>196696</v>
      </c>
      <c r="M168" s="655">
        <v>0</v>
      </c>
      <c r="N168" s="655">
        <v>763265</v>
      </c>
      <c r="O168" s="655">
        <v>0</v>
      </c>
      <c r="P168" s="655">
        <v>135003</v>
      </c>
      <c r="Q168" s="655">
        <v>149326</v>
      </c>
      <c r="R168" s="655">
        <v>0</v>
      </c>
      <c r="S168" s="655">
        <v>78392</v>
      </c>
      <c r="T168" s="655">
        <v>8273</v>
      </c>
      <c r="U168" s="655">
        <v>410258</v>
      </c>
      <c r="V168" s="655">
        <v>0</v>
      </c>
      <c r="W168" s="655">
        <v>318140</v>
      </c>
      <c r="X168" s="655">
        <v>257062</v>
      </c>
      <c r="Y168" s="655">
        <v>0</v>
      </c>
      <c r="Z168" s="655">
        <v>0</v>
      </c>
      <c r="AA168" s="655">
        <v>0</v>
      </c>
      <c r="AB168" s="655">
        <v>0</v>
      </c>
      <c r="AC168" s="655">
        <v>0</v>
      </c>
      <c r="AD168" s="655">
        <v>137768</v>
      </c>
      <c r="AE168" s="655">
        <v>21261438</v>
      </c>
      <c r="AF168" s="655">
        <v>225038</v>
      </c>
      <c r="AG168" s="655">
        <v>1249569</v>
      </c>
      <c r="AH168" s="655">
        <v>0</v>
      </c>
      <c r="AI168" s="655">
        <v>5963781</v>
      </c>
      <c r="AJ168" s="655">
        <v>6205359</v>
      </c>
      <c r="AK168" s="655">
        <v>34905185</v>
      </c>
      <c r="AL168" s="655">
        <v>28306351</v>
      </c>
      <c r="AM168" s="655">
        <v>6598834</v>
      </c>
    </row>
    <row r="169" spans="1:39" x14ac:dyDescent="0.2">
      <c r="A169" s="649">
        <v>2013</v>
      </c>
      <c r="B169" s="650">
        <v>10</v>
      </c>
      <c r="C169" s="656" t="s">
        <v>242</v>
      </c>
      <c r="D169" s="651">
        <v>3691</v>
      </c>
      <c r="E169" s="648" t="s">
        <v>1161</v>
      </c>
      <c r="F169" s="655">
        <v>5419674</v>
      </c>
      <c r="G169" s="655">
        <v>0</v>
      </c>
      <c r="H169" s="655">
        <v>49236</v>
      </c>
      <c r="I169" s="655">
        <v>873673</v>
      </c>
      <c r="J169" s="655">
        <v>462305</v>
      </c>
      <c r="K169" s="655">
        <v>49165</v>
      </c>
      <c r="L169" s="655">
        <v>47245</v>
      </c>
      <c r="M169" s="655">
        <v>0</v>
      </c>
      <c r="N169" s="655">
        <v>273837</v>
      </c>
      <c r="O169" s="655">
        <v>7187</v>
      </c>
      <c r="P169" s="655">
        <v>44092</v>
      </c>
      <c r="Q169" s="655">
        <v>48420</v>
      </c>
      <c r="R169" s="655">
        <v>0</v>
      </c>
      <c r="S169" s="655">
        <v>25342</v>
      </c>
      <c r="T169" s="655">
        <v>2948</v>
      </c>
      <c r="U169" s="655">
        <v>78250</v>
      </c>
      <c r="V169" s="655">
        <v>0</v>
      </c>
      <c r="W169" s="655">
        <v>124131</v>
      </c>
      <c r="X169" s="655">
        <v>85895</v>
      </c>
      <c r="Y169" s="655">
        <v>0</v>
      </c>
      <c r="Z169" s="655">
        <v>0</v>
      </c>
      <c r="AA169" s="655">
        <v>0</v>
      </c>
      <c r="AB169" s="655">
        <v>0</v>
      </c>
      <c r="AC169" s="655">
        <v>0</v>
      </c>
      <c r="AD169" s="655">
        <v>54384</v>
      </c>
      <c r="AE169" s="655">
        <v>7537016</v>
      </c>
      <c r="AF169" s="655">
        <v>66011</v>
      </c>
      <c r="AG169" s="655">
        <v>411028</v>
      </c>
      <c r="AH169" s="655">
        <v>0</v>
      </c>
      <c r="AI169" s="655">
        <v>753189</v>
      </c>
      <c r="AJ169" s="655">
        <v>3020592</v>
      </c>
      <c r="AK169" s="655">
        <v>11787836</v>
      </c>
      <c r="AL169" s="655">
        <v>9241654</v>
      </c>
      <c r="AM169" s="655">
        <v>2546182</v>
      </c>
    </row>
    <row r="170" spans="1:39" x14ac:dyDescent="0.2">
      <c r="A170" s="649">
        <v>2013</v>
      </c>
      <c r="B170" s="650">
        <v>10</v>
      </c>
      <c r="C170" s="656" t="s">
        <v>243</v>
      </c>
      <c r="D170" s="651">
        <v>3715</v>
      </c>
      <c r="E170" s="648" t="s">
        <v>1162</v>
      </c>
      <c r="F170" s="655">
        <v>40391659</v>
      </c>
      <c r="G170" s="655">
        <v>0</v>
      </c>
      <c r="H170" s="655">
        <v>402548</v>
      </c>
      <c r="I170" s="655">
        <v>4190356</v>
      </c>
      <c r="J170" s="655">
        <v>3229785</v>
      </c>
      <c r="K170" s="655">
        <v>360241</v>
      </c>
      <c r="L170" s="655">
        <v>350214</v>
      </c>
      <c r="M170" s="655">
        <v>0</v>
      </c>
      <c r="N170" s="655">
        <v>1952784</v>
      </c>
      <c r="O170" s="655">
        <v>0</v>
      </c>
      <c r="P170" s="655">
        <v>353716</v>
      </c>
      <c r="Q170" s="655">
        <v>388440</v>
      </c>
      <c r="R170" s="655">
        <v>0</v>
      </c>
      <c r="S170" s="655">
        <v>180720</v>
      </c>
      <c r="T170" s="655">
        <v>21021</v>
      </c>
      <c r="U170" s="655">
        <v>875428</v>
      </c>
      <c r="V170" s="655">
        <v>0</v>
      </c>
      <c r="W170" s="655">
        <v>917345</v>
      </c>
      <c r="X170" s="655">
        <v>1065702</v>
      </c>
      <c r="Y170" s="655">
        <v>0</v>
      </c>
      <c r="Z170" s="655">
        <v>0</v>
      </c>
      <c r="AA170" s="655">
        <v>0</v>
      </c>
      <c r="AB170" s="655">
        <v>0</v>
      </c>
      <c r="AC170" s="655">
        <v>0</v>
      </c>
      <c r="AD170" s="655">
        <v>276653</v>
      </c>
      <c r="AE170" s="655">
        <v>54403306</v>
      </c>
      <c r="AF170" s="655">
        <v>567095</v>
      </c>
      <c r="AG170" s="655">
        <v>2893659</v>
      </c>
      <c r="AH170" s="655">
        <v>0</v>
      </c>
      <c r="AI170" s="655">
        <v>6654219</v>
      </c>
      <c r="AJ170" s="655">
        <v>12963648</v>
      </c>
      <c r="AK170" s="655">
        <v>77481927</v>
      </c>
      <c r="AL170" s="655">
        <v>65290796</v>
      </c>
      <c r="AM170" s="655">
        <v>12191131</v>
      </c>
    </row>
    <row r="171" spans="1:39" x14ac:dyDescent="0.2">
      <c r="A171" s="649">
        <v>2013</v>
      </c>
      <c r="B171" s="650">
        <v>10</v>
      </c>
      <c r="C171" s="656" t="s">
        <v>244</v>
      </c>
      <c r="D171" s="651">
        <v>3744</v>
      </c>
      <c r="E171" s="648" t="s">
        <v>1163</v>
      </c>
      <c r="F171" s="655">
        <v>3955259</v>
      </c>
      <c r="G171" s="655">
        <v>43593</v>
      </c>
      <c r="H171" s="655">
        <v>21538</v>
      </c>
      <c r="I171" s="655">
        <v>292129</v>
      </c>
      <c r="J171" s="655">
        <v>319743</v>
      </c>
      <c r="K171" s="655">
        <v>31136</v>
      </c>
      <c r="L171" s="655">
        <v>30114</v>
      </c>
      <c r="M171" s="655">
        <v>0</v>
      </c>
      <c r="N171" s="655">
        <v>186075</v>
      </c>
      <c r="O171" s="655">
        <v>3900</v>
      </c>
      <c r="P171" s="655">
        <v>32357</v>
      </c>
      <c r="Q171" s="655">
        <v>35533</v>
      </c>
      <c r="R171" s="655">
        <v>0</v>
      </c>
      <c r="S171" s="655">
        <v>17543</v>
      </c>
      <c r="T171" s="655">
        <v>2042</v>
      </c>
      <c r="U171" s="655">
        <v>16864</v>
      </c>
      <c r="V171" s="655">
        <v>0</v>
      </c>
      <c r="W171" s="655">
        <v>188192</v>
      </c>
      <c r="X171" s="655">
        <v>184636</v>
      </c>
      <c r="Y171" s="655">
        <v>0</v>
      </c>
      <c r="Z171" s="655">
        <v>0</v>
      </c>
      <c r="AA171" s="655">
        <v>0</v>
      </c>
      <c r="AB171" s="655">
        <v>0</v>
      </c>
      <c r="AC171" s="655">
        <v>0</v>
      </c>
      <c r="AD171" s="655">
        <v>33648</v>
      </c>
      <c r="AE171" s="655">
        <v>5327006</v>
      </c>
      <c r="AF171" s="655">
        <v>132022</v>
      </c>
      <c r="AG171" s="655">
        <v>248129</v>
      </c>
      <c r="AH171" s="655">
        <v>0</v>
      </c>
      <c r="AI171" s="655">
        <v>666247</v>
      </c>
      <c r="AJ171" s="655">
        <v>1783211</v>
      </c>
      <c r="AK171" s="655">
        <v>8156615</v>
      </c>
      <c r="AL171" s="655">
        <v>6669314</v>
      </c>
      <c r="AM171" s="655">
        <v>1487301</v>
      </c>
    </row>
    <row r="172" spans="1:39" x14ac:dyDescent="0.2">
      <c r="A172" s="649">
        <v>2013</v>
      </c>
      <c r="B172" s="650">
        <v>13</v>
      </c>
      <c r="C172" s="656" t="s">
        <v>245</v>
      </c>
      <c r="D172" s="651">
        <v>3798</v>
      </c>
      <c r="E172" s="648" t="s">
        <v>1164</v>
      </c>
      <c r="F172" s="655">
        <v>3452223</v>
      </c>
      <c r="G172" s="655">
        <v>180153</v>
      </c>
      <c r="H172" s="655">
        <v>238652</v>
      </c>
      <c r="I172" s="655">
        <v>347505</v>
      </c>
      <c r="J172" s="655">
        <v>312153</v>
      </c>
      <c r="K172" s="655">
        <v>34724</v>
      </c>
      <c r="L172" s="655">
        <v>34944</v>
      </c>
      <c r="M172" s="655">
        <v>0</v>
      </c>
      <c r="N172" s="655">
        <v>166905</v>
      </c>
      <c r="O172" s="655">
        <v>14194</v>
      </c>
      <c r="P172" s="655">
        <v>28238</v>
      </c>
      <c r="Q172" s="655">
        <v>31234</v>
      </c>
      <c r="R172" s="655">
        <v>0</v>
      </c>
      <c r="S172" s="655">
        <v>18308</v>
      </c>
      <c r="T172" s="655">
        <v>1929</v>
      </c>
      <c r="U172" s="655">
        <v>23278</v>
      </c>
      <c r="V172" s="655">
        <v>0</v>
      </c>
      <c r="W172" s="655">
        <v>52947</v>
      </c>
      <c r="X172" s="655">
        <v>292100</v>
      </c>
      <c r="Y172" s="655">
        <v>0</v>
      </c>
      <c r="Z172" s="655">
        <v>0</v>
      </c>
      <c r="AA172" s="655">
        <v>0</v>
      </c>
      <c r="AB172" s="655">
        <v>0</v>
      </c>
      <c r="AC172" s="655">
        <v>0</v>
      </c>
      <c r="AD172" s="655">
        <v>34810</v>
      </c>
      <c r="AE172" s="655">
        <v>5194677</v>
      </c>
      <c r="AF172" s="655">
        <v>93016</v>
      </c>
      <c r="AG172" s="655">
        <v>257245</v>
      </c>
      <c r="AH172" s="655">
        <v>0</v>
      </c>
      <c r="AI172" s="655">
        <v>905299</v>
      </c>
      <c r="AJ172" s="655">
        <v>1489014</v>
      </c>
      <c r="AK172" s="655">
        <v>7939251</v>
      </c>
      <c r="AL172" s="655">
        <v>6600499</v>
      </c>
      <c r="AM172" s="655">
        <v>1338752</v>
      </c>
    </row>
    <row r="173" spans="1:39" x14ac:dyDescent="0.2">
      <c r="A173" s="649">
        <v>2013</v>
      </c>
      <c r="B173" s="650">
        <v>10</v>
      </c>
      <c r="C173" s="656" t="s">
        <v>246</v>
      </c>
      <c r="D173" s="651">
        <v>3816</v>
      </c>
      <c r="E173" s="648" t="s">
        <v>1165</v>
      </c>
      <c r="F173" s="655">
        <v>2491015</v>
      </c>
      <c r="G173" s="655">
        <v>0</v>
      </c>
      <c r="H173" s="655">
        <v>16281</v>
      </c>
      <c r="I173" s="655">
        <v>324834</v>
      </c>
      <c r="J173" s="655">
        <v>245328</v>
      </c>
      <c r="K173" s="655">
        <v>24997</v>
      </c>
      <c r="L173" s="655">
        <v>27459</v>
      </c>
      <c r="M173" s="655">
        <v>0</v>
      </c>
      <c r="N173" s="655">
        <v>123361</v>
      </c>
      <c r="O173" s="655">
        <v>0</v>
      </c>
      <c r="P173" s="655">
        <v>20818</v>
      </c>
      <c r="Q173" s="655">
        <v>22862</v>
      </c>
      <c r="R173" s="655">
        <v>0</v>
      </c>
      <c r="S173" s="655">
        <v>11416</v>
      </c>
      <c r="T173" s="655">
        <v>1328</v>
      </c>
      <c r="U173" s="655">
        <v>40274</v>
      </c>
      <c r="V173" s="655">
        <v>0</v>
      </c>
      <c r="W173" s="655">
        <v>60010</v>
      </c>
      <c r="X173" s="655">
        <v>0</v>
      </c>
      <c r="Y173" s="655">
        <v>0</v>
      </c>
      <c r="Z173" s="655">
        <v>0</v>
      </c>
      <c r="AA173" s="655">
        <v>0</v>
      </c>
      <c r="AB173" s="655">
        <v>0</v>
      </c>
      <c r="AC173" s="655">
        <v>0</v>
      </c>
      <c r="AD173" s="655">
        <v>22651</v>
      </c>
      <c r="AE173" s="655">
        <v>3387332</v>
      </c>
      <c r="AF173" s="655">
        <v>105018</v>
      </c>
      <c r="AG173" s="655">
        <v>191659</v>
      </c>
      <c r="AH173" s="655">
        <v>0</v>
      </c>
      <c r="AI173" s="655">
        <v>689472</v>
      </c>
      <c r="AJ173" s="655">
        <v>2037676</v>
      </c>
      <c r="AK173" s="655">
        <v>6411157</v>
      </c>
      <c r="AL173" s="655">
        <v>4349626</v>
      </c>
      <c r="AM173" s="655">
        <v>2061531</v>
      </c>
    </row>
    <row r="174" spans="1:39" x14ac:dyDescent="0.2">
      <c r="A174" s="649">
        <v>2013</v>
      </c>
      <c r="B174" s="650">
        <v>9</v>
      </c>
      <c r="C174" s="656" t="s">
        <v>247</v>
      </c>
      <c r="D174" s="651">
        <v>3841</v>
      </c>
      <c r="E174" s="648" t="s">
        <v>1166</v>
      </c>
      <c r="F174" s="655">
        <v>4579363</v>
      </c>
      <c r="G174" s="655">
        <v>82597</v>
      </c>
      <c r="H174" s="655">
        <v>45344</v>
      </c>
      <c r="I174" s="655">
        <v>627705</v>
      </c>
      <c r="J174" s="655">
        <v>436434</v>
      </c>
      <c r="K174" s="655">
        <v>50677</v>
      </c>
      <c r="L174" s="655">
        <v>45185</v>
      </c>
      <c r="M174" s="655">
        <v>0</v>
      </c>
      <c r="N174" s="655">
        <v>229784</v>
      </c>
      <c r="O174" s="655">
        <v>17387</v>
      </c>
      <c r="P174" s="655">
        <v>37326</v>
      </c>
      <c r="Q174" s="655">
        <v>40683</v>
      </c>
      <c r="R174" s="655">
        <v>0</v>
      </c>
      <c r="S174" s="655">
        <v>20733</v>
      </c>
      <c r="T174" s="655">
        <v>2438</v>
      </c>
      <c r="U174" s="655">
        <v>180357</v>
      </c>
      <c r="V174" s="655">
        <v>0</v>
      </c>
      <c r="W174" s="655">
        <v>44711</v>
      </c>
      <c r="X174" s="655">
        <v>0</v>
      </c>
      <c r="Y174" s="655">
        <v>214290</v>
      </c>
      <c r="Z174" s="655">
        <v>0</v>
      </c>
      <c r="AA174" s="655">
        <v>0</v>
      </c>
      <c r="AB174" s="655">
        <v>0</v>
      </c>
      <c r="AC174" s="655">
        <v>0</v>
      </c>
      <c r="AD174" s="655">
        <v>48029</v>
      </c>
      <c r="AE174" s="655">
        <v>6178405</v>
      </c>
      <c r="AF174" s="655">
        <v>111019</v>
      </c>
      <c r="AG174" s="655">
        <v>361955</v>
      </c>
      <c r="AH174" s="655">
        <v>0</v>
      </c>
      <c r="AI174" s="655">
        <v>995192</v>
      </c>
      <c r="AJ174" s="655">
        <v>2853065</v>
      </c>
      <c r="AK174" s="655">
        <v>10499636</v>
      </c>
      <c r="AL174" s="655">
        <v>8082341</v>
      </c>
      <c r="AM174" s="655">
        <v>2417295</v>
      </c>
    </row>
    <row r="175" spans="1:39" x14ac:dyDescent="0.2">
      <c r="A175" s="649">
        <v>2013</v>
      </c>
      <c r="B175" s="650">
        <v>5</v>
      </c>
      <c r="C175" s="656" t="s">
        <v>248</v>
      </c>
      <c r="D175" s="651">
        <v>3897</v>
      </c>
      <c r="E175" s="648" t="s">
        <v>1167</v>
      </c>
      <c r="F175" s="655">
        <v>419968</v>
      </c>
      <c r="G175" s="655">
        <v>13816</v>
      </c>
      <c r="H175" s="655">
        <v>17997</v>
      </c>
      <c r="I175" s="655">
        <v>61575</v>
      </c>
      <c r="J175" s="655">
        <v>40632</v>
      </c>
      <c r="K175" s="655">
        <v>4291</v>
      </c>
      <c r="L175" s="655">
        <v>294</v>
      </c>
      <c r="M175" s="655">
        <v>0</v>
      </c>
      <c r="N175" s="655">
        <v>21349</v>
      </c>
      <c r="O175" s="655">
        <v>7642</v>
      </c>
      <c r="P175" s="655">
        <v>3710</v>
      </c>
      <c r="Q175" s="655">
        <v>4172</v>
      </c>
      <c r="R175" s="655">
        <v>427</v>
      </c>
      <c r="S175" s="655">
        <v>2280</v>
      </c>
      <c r="T175" s="655">
        <v>272</v>
      </c>
      <c r="U175" s="655">
        <v>19822</v>
      </c>
      <c r="V175" s="655">
        <v>0</v>
      </c>
      <c r="W175" s="655">
        <v>49408</v>
      </c>
      <c r="X175" s="655">
        <v>0</v>
      </c>
      <c r="Y175" s="655">
        <v>41468</v>
      </c>
      <c r="Z175" s="655">
        <v>0</v>
      </c>
      <c r="AA175" s="655">
        <v>0</v>
      </c>
      <c r="AB175" s="655">
        <v>0</v>
      </c>
      <c r="AC175" s="655">
        <v>0</v>
      </c>
      <c r="AD175" s="655">
        <v>6248</v>
      </c>
      <c r="AE175" s="655">
        <v>619939</v>
      </c>
      <c r="AF175" s="655">
        <v>42007</v>
      </c>
      <c r="AG175" s="655">
        <v>40619</v>
      </c>
      <c r="AH175" s="655">
        <v>108446</v>
      </c>
      <c r="AI175" s="655">
        <v>204513</v>
      </c>
      <c r="AJ175" s="655">
        <v>47435</v>
      </c>
      <c r="AK175" s="655">
        <v>1062959</v>
      </c>
      <c r="AL175" s="655">
        <v>818585</v>
      </c>
      <c r="AM175" s="655">
        <v>244374</v>
      </c>
    </row>
    <row r="176" spans="1:39" x14ac:dyDescent="0.2">
      <c r="A176" s="649">
        <v>2013</v>
      </c>
      <c r="B176" s="650">
        <v>11</v>
      </c>
      <c r="C176" s="656" t="s">
        <v>249</v>
      </c>
      <c r="D176" s="651">
        <v>3906</v>
      </c>
      <c r="E176" s="648" t="s">
        <v>1168</v>
      </c>
      <c r="F176" s="655">
        <v>2676446</v>
      </c>
      <c r="G176" s="655">
        <v>29463</v>
      </c>
      <c r="H176" s="655">
        <v>9968</v>
      </c>
      <c r="I176" s="655">
        <v>236259</v>
      </c>
      <c r="J176" s="655">
        <v>236421</v>
      </c>
      <c r="K176" s="655">
        <v>23308</v>
      </c>
      <c r="L176" s="655">
        <v>23246</v>
      </c>
      <c r="M176" s="655">
        <v>0</v>
      </c>
      <c r="N176" s="655">
        <v>124158</v>
      </c>
      <c r="O176" s="655">
        <v>3884</v>
      </c>
      <c r="P176" s="655">
        <v>25323</v>
      </c>
      <c r="Q176" s="655">
        <v>27784</v>
      </c>
      <c r="R176" s="655">
        <v>0</v>
      </c>
      <c r="S176" s="655">
        <v>9979</v>
      </c>
      <c r="T176" s="655">
        <v>1281</v>
      </c>
      <c r="U176" s="655">
        <v>75201</v>
      </c>
      <c r="V176" s="655">
        <v>0</v>
      </c>
      <c r="W176" s="655">
        <v>35298</v>
      </c>
      <c r="X176" s="655">
        <v>0</v>
      </c>
      <c r="Y176" s="655">
        <v>7854</v>
      </c>
      <c r="Z176" s="655">
        <v>0</v>
      </c>
      <c r="AA176" s="655">
        <v>0</v>
      </c>
      <c r="AB176" s="655">
        <v>0</v>
      </c>
      <c r="AC176" s="655">
        <v>0</v>
      </c>
      <c r="AD176" s="655">
        <v>28371</v>
      </c>
      <c r="AE176" s="655">
        <v>3501794</v>
      </c>
      <c r="AF176" s="655">
        <v>93016</v>
      </c>
      <c r="AG176" s="655">
        <v>217988</v>
      </c>
      <c r="AH176" s="655">
        <v>0</v>
      </c>
      <c r="AI176" s="655">
        <v>677029</v>
      </c>
      <c r="AJ176" s="655">
        <v>2289558</v>
      </c>
      <c r="AK176" s="655">
        <v>6779385</v>
      </c>
      <c r="AL176" s="655">
        <v>4637122</v>
      </c>
      <c r="AM176" s="655">
        <v>2142263</v>
      </c>
    </row>
    <row r="177" spans="1:39" x14ac:dyDescent="0.2">
      <c r="A177" s="649">
        <v>2013</v>
      </c>
      <c r="B177" s="650">
        <v>11</v>
      </c>
      <c r="C177" s="656" t="s">
        <v>250</v>
      </c>
      <c r="D177" s="651">
        <v>3942</v>
      </c>
      <c r="E177" s="648" t="s">
        <v>1169</v>
      </c>
      <c r="F177" s="655">
        <v>3959460</v>
      </c>
      <c r="G177" s="655">
        <v>0</v>
      </c>
      <c r="H177" s="655">
        <v>28655</v>
      </c>
      <c r="I177" s="655">
        <v>342897</v>
      </c>
      <c r="J177" s="655">
        <v>335489</v>
      </c>
      <c r="K177" s="655">
        <v>36823</v>
      </c>
      <c r="L177" s="655">
        <v>40241</v>
      </c>
      <c r="M177" s="655">
        <v>0</v>
      </c>
      <c r="N177" s="655">
        <v>183393</v>
      </c>
      <c r="O177" s="655">
        <v>0</v>
      </c>
      <c r="P177" s="655">
        <v>32621</v>
      </c>
      <c r="Q177" s="655">
        <v>35791</v>
      </c>
      <c r="R177" s="655">
        <v>0</v>
      </c>
      <c r="S177" s="655">
        <v>14740</v>
      </c>
      <c r="T177" s="655">
        <v>1893</v>
      </c>
      <c r="U177" s="655">
        <v>0</v>
      </c>
      <c r="V177" s="655">
        <v>0</v>
      </c>
      <c r="W177" s="655">
        <v>97816</v>
      </c>
      <c r="X177" s="655">
        <v>1639</v>
      </c>
      <c r="Y177" s="655">
        <v>0</v>
      </c>
      <c r="Z177" s="655">
        <v>0</v>
      </c>
      <c r="AA177" s="655">
        <v>0</v>
      </c>
      <c r="AB177" s="655">
        <v>0</v>
      </c>
      <c r="AC177" s="655">
        <v>0</v>
      </c>
      <c r="AD177" s="655">
        <v>31506</v>
      </c>
      <c r="AE177" s="655">
        <v>5079952</v>
      </c>
      <c r="AF177" s="655">
        <v>15003</v>
      </c>
      <c r="AG177" s="655">
        <v>216860</v>
      </c>
      <c r="AH177" s="655">
        <v>0</v>
      </c>
      <c r="AI177" s="655">
        <v>515019</v>
      </c>
      <c r="AJ177" s="655">
        <v>1791329</v>
      </c>
      <c r="AK177" s="655">
        <v>7618163</v>
      </c>
      <c r="AL177" s="655">
        <v>5743600</v>
      </c>
      <c r="AM177" s="655">
        <v>1874563</v>
      </c>
    </row>
    <row r="178" spans="1:39" x14ac:dyDescent="0.2">
      <c r="A178" s="649">
        <v>2013</v>
      </c>
      <c r="B178" s="650">
        <v>13</v>
      </c>
      <c r="C178" s="656" t="s">
        <v>251</v>
      </c>
      <c r="D178" s="651">
        <v>3978</v>
      </c>
      <c r="E178" s="648" t="s">
        <v>1480</v>
      </c>
      <c r="F178" s="655">
        <v>3407317</v>
      </c>
      <c r="G178" s="655">
        <v>0</v>
      </c>
      <c r="H178" s="655">
        <v>36548</v>
      </c>
      <c r="I178" s="655">
        <v>546760</v>
      </c>
      <c r="J178" s="655">
        <v>321895</v>
      </c>
      <c r="K178" s="655">
        <v>35759</v>
      </c>
      <c r="L178" s="655">
        <v>31450</v>
      </c>
      <c r="M178" s="655">
        <v>0</v>
      </c>
      <c r="N178" s="655">
        <v>172024</v>
      </c>
      <c r="O178" s="655">
        <v>5423</v>
      </c>
      <c r="P178" s="655">
        <v>27993</v>
      </c>
      <c r="Q178" s="655">
        <v>30962</v>
      </c>
      <c r="R178" s="655">
        <v>0</v>
      </c>
      <c r="S178" s="655">
        <v>17668</v>
      </c>
      <c r="T178" s="655">
        <v>1865</v>
      </c>
      <c r="U178" s="655">
        <v>137409</v>
      </c>
      <c r="V178" s="655">
        <v>255081</v>
      </c>
      <c r="W178" s="655">
        <v>58830</v>
      </c>
      <c r="X178" s="655">
        <v>65531</v>
      </c>
      <c r="Y178" s="655">
        <v>0</v>
      </c>
      <c r="Z178" s="655">
        <v>0</v>
      </c>
      <c r="AA178" s="655">
        <v>0</v>
      </c>
      <c r="AB178" s="655">
        <v>0</v>
      </c>
      <c r="AC178" s="655">
        <v>0</v>
      </c>
      <c r="AD178" s="655">
        <v>38309</v>
      </c>
      <c r="AE178" s="655">
        <v>5114206</v>
      </c>
      <c r="AF178" s="655">
        <v>84014</v>
      </c>
      <c r="AG178" s="655">
        <v>290644</v>
      </c>
      <c r="AH178" s="655">
        <v>0</v>
      </c>
      <c r="AI178" s="655">
        <v>461797</v>
      </c>
      <c r="AJ178" s="655">
        <v>-255081</v>
      </c>
      <c r="AK178" s="655">
        <v>5695580</v>
      </c>
      <c r="AL178" s="655">
        <v>5853434</v>
      </c>
      <c r="AM178" s="655">
        <v>-157854</v>
      </c>
    </row>
    <row r="179" spans="1:39" x14ac:dyDescent="0.2">
      <c r="A179" s="649">
        <v>2013</v>
      </c>
      <c r="B179" s="650">
        <v>5</v>
      </c>
      <c r="C179" s="656" t="s">
        <v>252</v>
      </c>
      <c r="D179" s="651">
        <v>4023</v>
      </c>
      <c r="E179" s="648" t="s">
        <v>1170</v>
      </c>
      <c r="F179" s="655">
        <v>3700847</v>
      </c>
      <c r="G179" s="655">
        <v>32664</v>
      </c>
      <c r="H179" s="655">
        <v>152483</v>
      </c>
      <c r="I179" s="655">
        <v>275230</v>
      </c>
      <c r="J179" s="655">
        <v>335555</v>
      </c>
      <c r="K179" s="655">
        <v>36221</v>
      </c>
      <c r="L179" s="655">
        <v>27923</v>
      </c>
      <c r="M179" s="655">
        <v>0</v>
      </c>
      <c r="N179" s="655">
        <v>179622</v>
      </c>
      <c r="O179" s="655">
        <v>11156</v>
      </c>
      <c r="P179" s="655">
        <v>33138</v>
      </c>
      <c r="Q179" s="655">
        <v>37265</v>
      </c>
      <c r="R179" s="655">
        <v>3592</v>
      </c>
      <c r="S179" s="655">
        <v>19200</v>
      </c>
      <c r="T179" s="655">
        <v>2294</v>
      </c>
      <c r="U179" s="655">
        <v>168328</v>
      </c>
      <c r="V179" s="655">
        <v>0</v>
      </c>
      <c r="W179" s="655">
        <v>130312</v>
      </c>
      <c r="X179" s="655">
        <v>0</v>
      </c>
      <c r="Y179" s="655">
        <v>35066</v>
      </c>
      <c r="Z179" s="655">
        <v>0</v>
      </c>
      <c r="AA179" s="655">
        <v>0</v>
      </c>
      <c r="AB179" s="655">
        <v>0</v>
      </c>
      <c r="AC179" s="655">
        <v>0</v>
      </c>
      <c r="AD179" s="655">
        <v>46422</v>
      </c>
      <c r="AE179" s="655">
        <v>5064342</v>
      </c>
      <c r="AF179" s="655">
        <v>150025</v>
      </c>
      <c r="AG179" s="655">
        <v>319028</v>
      </c>
      <c r="AH179" s="655">
        <v>0</v>
      </c>
      <c r="AI179" s="655">
        <v>2750400</v>
      </c>
      <c r="AJ179" s="655">
        <v>1267171</v>
      </c>
      <c r="AK179" s="655">
        <v>9550966</v>
      </c>
      <c r="AL179" s="655">
        <v>8765685</v>
      </c>
      <c r="AM179" s="655">
        <v>785281</v>
      </c>
    </row>
    <row r="180" spans="1:39" x14ac:dyDescent="0.2">
      <c r="A180" s="649">
        <v>2013</v>
      </c>
      <c r="B180" s="650">
        <v>12</v>
      </c>
      <c r="C180" s="656" t="s">
        <v>253</v>
      </c>
      <c r="D180" s="651">
        <v>4033</v>
      </c>
      <c r="E180" s="648" t="s">
        <v>1494</v>
      </c>
      <c r="F180" s="655">
        <v>4337291</v>
      </c>
      <c r="G180" s="655">
        <v>80133</v>
      </c>
      <c r="H180" s="655">
        <v>283735</v>
      </c>
      <c r="I180" s="655">
        <v>639935</v>
      </c>
      <c r="J180" s="655">
        <v>378456</v>
      </c>
      <c r="K180" s="655">
        <v>39194</v>
      </c>
      <c r="L180" s="655">
        <v>36454</v>
      </c>
      <c r="M180" s="655">
        <v>0</v>
      </c>
      <c r="N180" s="655">
        <v>220373</v>
      </c>
      <c r="O180" s="655">
        <v>15004</v>
      </c>
      <c r="P180" s="655">
        <v>36351</v>
      </c>
      <c r="Q180" s="655">
        <v>40863</v>
      </c>
      <c r="R180" s="655">
        <v>0</v>
      </c>
      <c r="S180" s="655">
        <v>22428</v>
      </c>
      <c r="T180" s="655">
        <v>2690</v>
      </c>
      <c r="U180" s="655">
        <v>89799</v>
      </c>
      <c r="V180" s="655">
        <v>0</v>
      </c>
      <c r="W180" s="655">
        <v>66478</v>
      </c>
      <c r="X180" s="655">
        <v>41469</v>
      </c>
      <c r="Y180" s="655">
        <v>0</v>
      </c>
      <c r="Z180" s="655">
        <v>0</v>
      </c>
      <c r="AA180" s="655">
        <v>0</v>
      </c>
      <c r="AB180" s="655">
        <v>0</v>
      </c>
      <c r="AC180" s="655">
        <v>0</v>
      </c>
      <c r="AD180" s="655">
        <v>52001</v>
      </c>
      <c r="AE180" s="655">
        <v>6278652</v>
      </c>
      <c r="AF180" s="655">
        <v>120020</v>
      </c>
      <c r="AG180" s="655">
        <v>363554</v>
      </c>
      <c r="AH180" s="655">
        <v>0</v>
      </c>
      <c r="AI180" s="655">
        <v>990825</v>
      </c>
      <c r="AJ180" s="655">
        <v>2614316</v>
      </c>
      <c r="AK180" s="655">
        <v>10367367</v>
      </c>
      <c r="AL180" s="655">
        <v>8711998</v>
      </c>
      <c r="AM180" s="655">
        <v>1655369</v>
      </c>
    </row>
    <row r="181" spans="1:39" x14ac:dyDescent="0.2">
      <c r="A181" s="649">
        <v>2013</v>
      </c>
      <c r="B181" s="650">
        <v>9</v>
      </c>
      <c r="C181" s="656" t="s">
        <v>254</v>
      </c>
      <c r="D181" s="651">
        <v>4041</v>
      </c>
      <c r="E181" s="648" t="s">
        <v>1171</v>
      </c>
      <c r="F181" s="655">
        <v>8424204</v>
      </c>
      <c r="G181" s="655">
        <v>12601</v>
      </c>
      <c r="H181" s="655">
        <v>138149</v>
      </c>
      <c r="I181" s="655">
        <v>1630652</v>
      </c>
      <c r="J181" s="655">
        <v>770083</v>
      </c>
      <c r="K181" s="655">
        <v>90306</v>
      </c>
      <c r="L181" s="655">
        <v>92103</v>
      </c>
      <c r="M181" s="655">
        <v>0</v>
      </c>
      <c r="N181" s="655">
        <v>443714</v>
      </c>
      <c r="O181" s="655">
        <v>15957</v>
      </c>
      <c r="P181" s="655">
        <v>72989</v>
      </c>
      <c r="Q181" s="655">
        <v>79553</v>
      </c>
      <c r="R181" s="655">
        <v>0</v>
      </c>
      <c r="S181" s="655">
        <v>39509</v>
      </c>
      <c r="T181" s="655">
        <v>4641</v>
      </c>
      <c r="U181" s="655">
        <v>151349</v>
      </c>
      <c r="V181" s="655">
        <v>0</v>
      </c>
      <c r="W181" s="655">
        <v>200165</v>
      </c>
      <c r="X181" s="655">
        <v>0</v>
      </c>
      <c r="Y181" s="655">
        <v>0</v>
      </c>
      <c r="Z181" s="655">
        <v>0</v>
      </c>
      <c r="AA181" s="655">
        <v>0</v>
      </c>
      <c r="AB181" s="655">
        <v>0</v>
      </c>
      <c r="AC181" s="655">
        <v>0</v>
      </c>
      <c r="AD181" s="655">
        <v>90606</v>
      </c>
      <c r="AE181" s="655">
        <v>12075369</v>
      </c>
      <c r="AF181" s="655">
        <v>231039</v>
      </c>
      <c r="AG181" s="655">
        <v>574800</v>
      </c>
      <c r="AH181" s="655">
        <v>0</v>
      </c>
      <c r="AI181" s="655">
        <v>2748234</v>
      </c>
      <c r="AJ181" s="655">
        <v>3187978</v>
      </c>
      <c r="AK181" s="655">
        <v>18817420</v>
      </c>
      <c r="AL181" s="655">
        <v>15700156</v>
      </c>
      <c r="AM181" s="655">
        <v>3117264</v>
      </c>
    </row>
    <row r="182" spans="1:39" x14ac:dyDescent="0.2">
      <c r="A182" s="649">
        <v>2013</v>
      </c>
      <c r="B182" s="650">
        <v>1</v>
      </c>
      <c r="C182" s="656" t="s">
        <v>255</v>
      </c>
      <c r="D182" s="651">
        <v>4043</v>
      </c>
      <c r="E182" s="648" t="s">
        <v>1172</v>
      </c>
      <c r="F182" s="655">
        <v>4358239</v>
      </c>
      <c r="G182" s="655">
        <v>61437</v>
      </c>
      <c r="H182" s="655">
        <v>45887</v>
      </c>
      <c r="I182" s="655">
        <v>494404</v>
      </c>
      <c r="J182" s="655">
        <v>384578</v>
      </c>
      <c r="K182" s="655">
        <v>42243</v>
      </c>
      <c r="L182" s="655">
        <v>40452</v>
      </c>
      <c r="M182" s="655">
        <v>0</v>
      </c>
      <c r="N182" s="655">
        <v>223658</v>
      </c>
      <c r="O182" s="655">
        <v>11142</v>
      </c>
      <c r="P182" s="655">
        <v>37381</v>
      </c>
      <c r="Q182" s="655">
        <v>41749</v>
      </c>
      <c r="R182" s="655">
        <v>0</v>
      </c>
      <c r="S182" s="655">
        <v>21943</v>
      </c>
      <c r="T182" s="655">
        <v>2333</v>
      </c>
      <c r="U182" s="655">
        <v>0</v>
      </c>
      <c r="V182" s="655">
        <v>0</v>
      </c>
      <c r="W182" s="655">
        <v>47064</v>
      </c>
      <c r="X182" s="655">
        <v>28958</v>
      </c>
      <c r="Y182" s="655">
        <v>0</v>
      </c>
      <c r="Z182" s="655">
        <v>0</v>
      </c>
      <c r="AA182" s="655">
        <v>0</v>
      </c>
      <c r="AB182" s="655">
        <v>0</v>
      </c>
      <c r="AC182" s="655">
        <v>0</v>
      </c>
      <c r="AD182" s="655">
        <v>55147</v>
      </c>
      <c r="AE182" s="655">
        <v>5786321</v>
      </c>
      <c r="AF182" s="655">
        <v>105018</v>
      </c>
      <c r="AG182" s="655">
        <v>349906</v>
      </c>
      <c r="AH182" s="655">
        <v>0</v>
      </c>
      <c r="AI182" s="655">
        <v>618237</v>
      </c>
      <c r="AJ182" s="655">
        <v>2384685</v>
      </c>
      <c r="AK182" s="655">
        <v>9244167</v>
      </c>
      <c r="AL182" s="655">
        <v>7618044</v>
      </c>
      <c r="AM182" s="655">
        <v>1626123</v>
      </c>
    </row>
    <row r="183" spans="1:39" x14ac:dyDescent="0.2">
      <c r="A183" s="649">
        <v>2013</v>
      </c>
      <c r="B183" s="650">
        <v>12</v>
      </c>
      <c r="C183" s="656" t="s">
        <v>256</v>
      </c>
      <c r="D183" s="651">
        <v>4068</v>
      </c>
      <c r="E183" s="648" t="s">
        <v>1173</v>
      </c>
      <c r="F183" s="655">
        <v>2708353</v>
      </c>
      <c r="G183" s="655">
        <v>53104</v>
      </c>
      <c r="H183" s="655">
        <v>27253</v>
      </c>
      <c r="I183" s="655">
        <v>316950</v>
      </c>
      <c r="J183" s="655">
        <v>251979</v>
      </c>
      <c r="K183" s="655">
        <v>26394</v>
      </c>
      <c r="L183" s="655">
        <v>19177</v>
      </c>
      <c r="M183" s="655">
        <v>0</v>
      </c>
      <c r="N183" s="655">
        <v>135547</v>
      </c>
      <c r="O183" s="655">
        <v>13002</v>
      </c>
      <c r="P183" s="655">
        <v>22719</v>
      </c>
      <c r="Q183" s="655">
        <v>25539</v>
      </c>
      <c r="R183" s="655">
        <v>0</v>
      </c>
      <c r="S183" s="655">
        <v>13677</v>
      </c>
      <c r="T183" s="655">
        <v>1641</v>
      </c>
      <c r="U183" s="655">
        <v>16903</v>
      </c>
      <c r="V183" s="655">
        <v>0</v>
      </c>
      <c r="W183" s="655">
        <v>65126</v>
      </c>
      <c r="X183" s="655">
        <v>94701</v>
      </c>
      <c r="Y183" s="655">
        <v>0</v>
      </c>
      <c r="Z183" s="655">
        <v>0</v>
      </c>
      <c r="AA183" s="655">
        <v>0</v>
      </c>
      <c r="AB183" s="655">
        <v>0</v>
      </c>
      <c r="AC183" s="655">
        <v>0</v>
      </c>
      <c r="AD183" s="655">
        <v>34240</v>
      </c>
      <c r="AE183" s="655">
        <v>3757825</v>
      </c>
      <c r="AF183" s="655">
        <v>36006</v>
      </c>
      <c r="AG183" s="655">
        <v>242318</v>
      </c>
      <c r="AH183" s="655">
        <v>0</v>
      </c>
      <c r="AI183" s="655">
        <v>368213</v>
      </c>
      <c r="AJ183" s="655">
        <v>771203</v>
      </c>
      <c r="AK183" s="655">
        <v>5175565</v>
      </c>
      <c r="AL183" s="655">
        <v>4498510</v>
      </c>
      <c r="AM183" s="655">
        <v>677055</v>
      </c>
    </row>
    <row r="184" spans="1:39" x14ac:dyDescent="0.2">
      <c r="A184" s="649">
        <v>2013</v>
      </c>
      <c r="B184" s="650">
        <v>10</v>
      </c>
      <c r="C184" s="656" t="s">
        <v>257</v>
      </c>
      <c r="D184" s="651">
        <v>4086</v>
      </c>
      <c r="E184" s="648" t="s">
        <v>1174</v>
      </c>
      <c r="F184" s="655">
        <v>11379044</v>
      </c>
      <c r="G184" s="655">
        <v>0</v>
      </c>
      <c r="H184" s="655">
        <v>130598</v>
      </c>
      <c r="I184" s="655">
        <v>1531975</v>
      </c>
      <c r="J184" s="655">
        <v>1000528</v>
      </c>
      <c r="K184" s="655">
        <v>121155</v>
      </c>
      <c r="L184" s="655">
        <v>122479</v>
      </c>
      <c r="M184" s="655">
        <v>0</v>
      </c>
      <c r="N184" s="655">
        <v>556170</v>
      </c>
      <c r="O184" s="655">
        <v>0</v>
      </c>
      <c r="P184" s="655">
        <v>95352</v>
      </c>
      <c r="Q184" s="655">
        <v>104713</v>
      </c>
      <c r="R184" s="655">
        <v>0</v>
      </c>
      <c r="S184" s="655">
        <v>51471</v>
      </c>
      <c r="T184" s="655">
        <v>5987</v>
      </c>
      <c r="U184" s="655">
        <v>122789</v>
      </c>
      <c r="V184" s="655">
        <v>0</v>
      </c>
      <c r="W184" s="655">
        <v>493650</v>
      </c>
      <c r="X184" s="655">
        <v>617602</v>
      </c>
      <c r="Y184" s="655">
        <v>0</v>
      </c>
      <c r="Z184" s="655">
        <v>0</v>
      </c>
      <c r="AA184" s="655">
        <v>0</v>
      </c>
      <c r="AB184" s="655">
        <v>0</v>
      </c>
      <c r="AC184" s="655">
        <v>0</v>
      </c>
      <c r="AD184" s="655">
        <v>97984</v>
      </c>
      <c r="AE184" s="655">
        <v>16235529</v>
      </c>
      <c r="AF184" s="655">
        <v>216036</v>
      </c>
      <c r="AG184" s="655">
        <v>736907</v>
      </c>
      <c r="AH184" s="655">
        <v>0</v>
      </c>
      <c r="AI184" s="655">
        <v>5104425</v>
      </c>
      <c r="AJ184" s="655">
        <v>7385229</v>
      </c>
      <c r="AK184" s="655">
        <v>29678126</v>
      </c>
      <c r="AL184" s="655">
        <v>22354712</v>
      </c>
      <c r="AM184" s="655">
        <v>7323414</v>
      </c>
    </row>
    <row r="185" spans="1:39" x14ac:dyDescent="0.2">
      <c r="A185" s="649">
        <v>2013</v>
      </c>
      <c r="B185" s="650">
        <v>7</v>
      </c>
      <c r="C185" s="656" t="s">
        <v>258</v>
      </c>
      <c r="D185" s="651">
        <v>4104</v>
      </c>
      <c r="E185" s="648" t="s">
        <v>1175</v>
      </c>
      <c r="F185" s="655">
        <v>32139211</v>
      </c>
      <c r="G185" s="655">
        <v>0</v>
      </c>
      <c r="H185" s="655">
        <v>1857595</v>
      </c>
      <c r="I185" s="655">
        <v>4717714</v>
      </c>
      <c r="J185" s="655">
        <v>2653107</v>
      </c>
      <c r="K185" s="655">
        <v>296657</v>
      </c>
      <c r="L185" s="655">
        <v>422406</v>
      </c>
      <c r="M185" s="655">
        <v>0</v>
      </c>
      <c r="N185" s="655">
        <v>1629830</v>
      </c>
      <c r="O185" s="655">
        <v>0</v>
      </c>
      <c r="P185" s="655">
        <v>270470</v>
      </c>
      <c r="Q185" s="655">
        <v>302384</v>
      </c>
      <c r="R185" s="655">
        <v>0</v>
      </c>
      <c r="S185" s="655">
        <v>210515</v>
      </c>
      <c r="T185" s="655">
        <v>24156</v>
      </c>
      <c r="U185" s="655">
        <v>1604406</v>
      </c>
      <c r="V185" s="655">
        <v>0</v>
      </c>
      <c r="W185" s="655">
        <v>1462447</v>
      </c>
      <c r="X185" s="655">
        <v>882057</v>
      </c>
      <c r="Y185" s="655">
        <v>0</v>
      </c>
      <c r="Z185" s="655">
        <v>0</v>
      </c>
      <c r="AA185" s="655">
        <v>0</v>
      </c>
      <c r="AB185" s="655">
        <v>0</v>
      </c>
      <c r="AC185" s="655">
        <v>0</v>
      </c>
      <c r="AD185" s="655">
        <v>284929</v>
      </c>
      <c r="AE185" s="655">
        <v>48188026</v>
      </c>
      <c r="AF185" s="655">
        <v>552092</v>
      </c>
      <c r="AG185" s="655">
        <v>1912283</v>
      </c>
      <c r="AH185" s="655">
        <v>0</v>
      </c>
      <c r="AI185" s="655">
        <v>5665493</v>
      </c>
      <c r="AJ185" s="655">
        <v>16751423</v>
      </c>
      <c r="AK185" s="655">
        <v>73069317</v>
      </c>
      <c r="AL185" s="655">
        <v>55894501</v>
      </c>
      <c r="AM185" s="655">
        <v>17174816</v>
      </c>
    </row>
    <row r="186" spans="1:39" x14ac:dyDescent="0.2">
      <c r="A186" s="649">
        <v>2013</v>
      </c>
      <c r="B186" s="650">
        <v>11</v>
      </c>
      <c r="C186" s="656" t="s">
        <v>259</v>
      </c>
      <c r="D186" s="651">
        <v>4122</v>
      </c>
      <c r="E186" s="648" t="s">
        <v>1176</v>
      </c>
      <c r="F186" s="655">
        <v>3181730</v>
      </c>
      <c r="G186" s="655">
        <v>0</v>
      </c>
      <c r="H186" s="655">
        <v>14618</v>
      </c>
      <c r="I186" s="655">
        <v>376803</v>
      </c>
      <c r="J186" s="655">
        <v>273058</v>
      </c>
      <c r="K186" s="655">
        <v>25619</v>
      </c>
      <c r="L186" s="655">
        <v>29246</v>
      </c>
      <c r="M186" s="655">
        <v>0</v>
      </c>
      <c r="N186" s="655">
        <v>151687</v>
      </c>
      <c r="O186" s="655">
        <v>0</v>
      </c>
      <c r="P186" s="655">
        <v>26743</v>
      </c>
      <c r="Q186" s="655">
        <v>29342</v>
      </c>
      <c r="R186" s="655">
        <v>0</v>
      </c>
      <c r="S186" s="655">
        <v>12192</v>
      </c>
      <c r="T186" s="655">
        <v>1565</v>
      </c>
      <c r="U186" s="655">
        <v>25104</v>
      </c>
      <c r="V186" s="655">
        <v>0</v>
      </c>
      <c r="W186" s="655">
        <v>76620</v>
      </c>
      <c r="X186" s="655">
        <v>0</v>
      </c>
      <c r="Y186" s="655">
        <v>0</v>
      </c>
      <c r="Z186" s="655">
        <v>0</v>
      </c>
      <c r="AA186" s="655">
        <v>0</v>
      </c>
      <c r="AB186" s="655">
        <v>0</v>
      </c>
      <c r="AC186" s="655">
        <v>0</v>
      </c>
      <c r="AD186" s="655">
        <v>28007</v>
      </c>
      <c r="AE186" s="655">
        <v>4196320</v>
      </c>
      <c r="AF186" s="655">
        <v>60010</v>
      </c>
      <c r="AG186" s="655">
        <v>226762</v>
      </c>
      <c r="AH186" s="655">
        <v>0</v>
      </c>
      <c r="AI186" s="655">
        <v>1013189</v>
      </c>
      <c r="AJ186" s="655">
        <v>1579450</v>
      </c>
      <c r="AK186" s="655">
        <v>7075731</v>
      </c>
      <c r="AL186" s="655">
        <v>5419337</v>
      </c>
      <c r="AM186" s="655">
        <v>1656394</v>
      </c>
    </row>
    <row r="187" spans="1:39" x14ac:dyDescent="0.2">
      <c r="A187" s="649">
        <v>2013</v>
      </c>
      <c r="B187" s="650">
        <v>7</v>
      </c>
      <c r="C187" s="656" t="s">
        <v>260</v>
      </c>
      <c r="D187" s="651">
        <v>4131</v>
      </c>
      <c r="E187" s="648" t="s">
        <v>1177</v>
      </c>
      <c r="F187" s="655">
        <v>23054930</v>
      </c>
      <c r="G187" s="655">
        <v>161233</v>
      </c>
      <c r="H187" s="655">
        <v>395869</v>
      </c>
      <c r="I187" s="655">
        <v>4293550</v>
      </c>
      <c r="J187" s="655">
        <v>1914512</v>
      </c>
      <c r="K187" s="655">
        <v>228613</v>
      </c>
      <c r="L187" s="655">
        <v>259895</v>
      </c>
      <c r="M187" s="655">
        <v>0</v>
      </c>
      <c r="N187" s="655">
        <v>1203189</v>
      </c>
      <c r="O187" s="655">
        <v>50238</v>
      </c>
      <c r="P187" s="655">
        <v>211821</v>
      </c>
      <c r="Q187" s="655">
        <v>236814</v>
      </c>
      <c r="R187" s="655">
        <v>0</v>
      </c>
      <c r="S187" s="655">
        <v>159714</v>
      </c>
      <c r="T187" s="655">
        <v>18331</v>
      </c>
      <c r="U187" s="655">
        <v>1152746</v>
      </c>
      <c r="V187" s="655">
        <v>0</v>
      </c>
      <c r="W187" s="655">
        <v>117331</v>
      </c>
      <c r="X187" s="655">
        <v>1090760</v>
      </c>
      <c r="Y187" s="655">
        <v>0</v>
      </c>
      <c r="Z187" s="655">
        <v>0</v>
      </c>
      <c r="AA187" s="655">
        <v>0</v>
      </c>
      <c r="AB187" s="655">
        <v>0</v>
      </c>
      <c r="AC187" s="655">
        <v>0</v>
      </c>
      <c r="AD187" s="655">
        <v>267376</v>
      </c>
      <c r="AE187" s="655">
        <v>34282170</v>
      </c>
      <c r="AF187" s="655">
        <v>417070</v>
      </c>
      <c r="AG187" s="655">
        <v>0</v>
      </c>
      <c r="AH187" s="655">
        <v>0</v>
      </c>
      <c r="AI187" s="655">
        <v>4575987</v>
      </c>
      <c r="AJ187" s="655">
        <v>6694730</v>
      </c>
      <c r="AK187" s="655">
        <v>45969957</v>
      </c>
      <c r="AL187" s="655">
        <v>40906111</v>
      </c>
      <c r="AM187" s="655">
        <v>5063846</v>
      </c>
    </row>
    <row r="188" spans="1:39" x14ac:dyDescent="0.2">
      <c r="A188" s="649">
        <v>2013</v>
      </c>
      <c r="B188" s="650">
        <v>12</v>
      </c>
      <c r="C188" s="656" t="s">
        <v>261</v>
      </c>
      <c r="D188" s="651">
        <v>4149</v>
      </c>
      <c r="E188" s="648" t="s">
        <v>641</v>
      </c>
      <c r="F188" s="655">
        <v>8107022</v>
      </c>
      <c r="G188" s="655">
        <v>208278</v>
      </c>
      <c r="H188" s="655">
        <v>379774</v>
      </c>
      <c r="I188" s="655">
        <v>781343</v>
      </c>
      <c r="J188" s="655">
        <v>692123</v>
      </c>
      <c r="K188" s="655">
        <v>83400</v>
      </c>
      <c r="L188" s="655">
        <v>78952</v>
      </c>
      <c r="M188" s="655">
        <v>0</v>
      </c>
      <c r="N188" s="655">
        <v>397909</v>
      </c>
      <c r="O188" s="655">
        <v>4010</v>
      </c>
      <c r="P188" s="655">
        <v>91717</v>
      </c>
      <c r="Q188" s="655">
        <v>103101</v>
      </c>
      <c r="R188" s="655">
        <v>0</v>
      </c>
      <c r="S188" s="655">
        <v>40287</v>
      </c>
      <c r="T188" s="655">
        <v>4833</v>
      </c>
      <c r="U188" s="655">
        <v>304013</v>
      </c>
      <c r="V188" s="655">
        <v>0</v>
      </c>
      <c r="W188" s="655">
        <v>73436</v>
      </c>
      <c r="X188" s="655">
        <v>114060</v>
      </c>
      <c r="Y188" s="655">
        <v>0</v>
      </c>
      <c r="Z188" s="655">
        <v>0</v>
      </c>
      <c r="AA188" s="655">
        <v>0</v>
      </c>
      <c r="AB188" s="655">
        <v>0</v>
      </c>
      <c r="AC188" s="655">
        <v>0</v>
      </c>
      <c r="AD188" s="655">
        <v>87013</v>
      </c>
      <c r="AE188" s="655">
        <v>11377245</v>
      </c>
      <c r="AF188" s="655">
        <v>264044</v>
      </c>
      <c r="AG188" s="655">
        <v>649009</v>
      </c>
      <c r="AH188" s="655">
        <v>0</v>
      </c>
      <c r="AI188" s="655">
        <v>1100783</v>
      </c>
      <c r="AJ188" s="655">
        <v>3434393</v>
      </c>
      <c r="AK188" s="655">
        <v>16825474</v>
      </c>
      <c r="AL188" s="655">
        <v>13236694</v>
      </c>
      <c r="AM188" s="655">
        <v>3588780</v>
      </c>
    </row>
    <row r="189" spans="1:39" x14ac:dyDescent="0.2">
      <c r="A189" s="649">
        <v>2013</v>
      </c>
      <c r="B189" s="650">
        <v>15</v>
      </c>
      <c r="C189" s="656" t="s">
        <v>262</v>
      </c>
      <c r="D189" s="651">
        <v>4203</v>
      </c>
      <c r="E189" s="648" t="s">
        <v>1178</v>
      </c>
      <c r="F189" s="655">
        <v>4923821</v>
      </c>
      <c r="G189" s="655">
        <v>0</v>
      </c>
      <c r="H189" s="655">
        <v>163941</v>
      </c>
      <c r="I189" s="655">
        <v>625844</v>
      </c>
      <c r="J189" s="655">
        <v>430943</v>
      </c>
      <c r="K189" s="655">
        <v>41657</v>
      </c>
      <c r="L189" s="655">
        <v>43798</v>
      </c>
      <c r="M189" s="655">
        <v>0</v>
      </c>
      <c r="N189" s="655">
        <v>241574</v>
      </c>
      <c r="O189" s="655">
        <v>13899</v>
      </c>
      <c r="P189" s="655">
        <v>40393</v>
      </c>
      <c r="Q189" s="655">
        <v>44351</v>
      </c>
      <c r="R189" s="655">
        <v>0</v>
      </c>
      <c r="S189" s="655">
        <v>24146</v>
      </c>
      <c r="T189" s="655">
        <v>2599</v>
      </c>
      <c r="U189" s="655">
        <v>136681</v>
      </c>
      <c r="V189" s="655">
        <v>0</v>
      </c>
      <c r="W189" s="655">
        <v>64713</v>
      </c>
      <c r="X189" s="655">
        <v>0</v>
      </c>
      <c r="Y189" s="655">
        <v>0</v>
      </c>
      <c r="Z189" s="655">
        <v>0</v>
      </c>
      <c r="AA189" s="655">
        <v>0</v>
      </c>
      <c r="AB189" s="655">
        <v>0</v>
      </c>
      <c r="AC189" s="655">
        <v>0</v>
      </c>
      <c r="AD189" s="655">
        <v>50852</v>
      </c>
      <c r="AE189" s="655">
        <v>6747508</v>
      </c>
      <c r="AF189" s="655">
        <v>0</v>
      </c>
      <c r="AG189" s="655">
        <v>380759</v>
      </c>
      <c r="AH189" s="655">
        <v>0</v>
      </c>
      <c r="AI189" s="655">
        <v>1011341</v>
      </c>
      <c r="AJ189" s="655">
        <v>3239910</v>
      </c>
      <c r="AK189" s="655">
        <v>11379518</v>
      </c>
      <c r="AL189" s="655">
        <v>7853177</v>
      </c>
      <c r="AM189" s="655">
        <v>3526341</v>
      </c>
    </row>
    <row r="190" spans="1:39" x14ac:dyDescent="0.2">
      <c r="A190" s="649">
        <v>2013</v>
      </c>
      <c r="B190" s="650">
        <v>11</v>
      </c>
      <c r="C190" s="656" t="s">
        <v>263</v>
      </c>
      <c r="D190" s="651">
        <v>4212</v>
      </c>
      <c r="E190" s="648" t="s">
        <v>1179</v>
      </c>
      <c r="F190" s="655">
        <v>1771495</v>
      </c>
      <c r="G190" s="655">
        <v>36240</v>
      </c>
      <c r="H190" s="655">
        <v>18057</v>
      </c>
      <c r="I190" s="655">
        <v>238960</v>
      </c>
      <c r="J190" s="655">
        <v>179444</v>
      </c>
      <c r="K190" s="655">
        <v>18400</v>
      </c>
      <c r="L190" s="655">
        <v>22141</v>
      </c>
      <c r="M190" s="655">
        <v>0</v>
      </c>
      <c r="N190" s="655">
        <v>85698</v>
      </c>
      <c r="O190" s="655">
        <v>24241</v>
      </c>
      <c r="P190" s="655">
        <v>14449</v>
      </c>
      <c r="Q190" s="655">
        <v>15853</v>
      </c>
      <c r="R190" s="655">
        <v>0</v>
      </c>
      <c r="S190" s="655">
        <v>6967</v>
      </c>
      <c r="T190" s="655">
        <v>897</v>
      </c>
      <c r="U190" s="655">
        <v>37106</v>
      </c>
      <c r="V190" s="655">
        <v>0</v>
      </c>
      <c r="W190" s="655">
        <v>118820</v>
      </c>
      <c r="X190" s="655">
        <v>11084</v>
      </c>
      <c r="Y190" s="655">
        <v>0</v>
      </c>
      <c r="Z190" s="655">
        <v>0</v>
      </c>
      <c r="AA190" s="655">
        <v>0</v>
      </c>
      <c r="AB190" s="655">
        <v>0</v>
      </c>
      <c r="AC190" s="655">
        <v>-4942</v>
      </c>
      <c r="AD190" s="655">
        <v>25445</v>
      </c>
      <c r="AE190" s="655">
        <v>2569465</v>
      </c>
      <c r="AF190" s="655">
        <v>75013</v>
      </c>
      <c r="AG190" s="655">
        <v>119022</v>
      </c>
      <c r="AH190" s="655">
        <v>0</v>
      </c>
      <c r="AI190" s="655">
        <v>281210</v>
      </c>
      <c r="AJ190" s="655">
        <v>1674049</v>
      </c>
      <c r="AK190" s="655">
        <v>4718759</v>
      </c>
      <c r="AL190" s="655">
        <v>3502195</v>
      </c>
      <c r="AM190" s="655">
        <v>1216564</v>
      </c>
    </row>
    <row r="191" spans="1:39" x14ac:dyDescent="0.2">
      <c r="A191" s="649">
        <v>2013</v>
      </c>
      <c r="B191" s="650">
        <v>10</v>
      </c>
      <c r="C191" s="656" t="s">
        <v>264</v>
      </c>
      <c r="D191" s="651">
        <v>4269</v>
      </c>
      <c r="E191" s="648" t="s">
        <v>642</v>
      </c>
      <c r="F191" s="655">
        <v>3219174</v>
      </c>
      <c r="G191" s="655">
        <v>124209</v>
      </c>
      <c r="H191" s="655">
        <v>86137</v>
      </c>
      <c r="I191" s="655">
        <v>497492</v>
      </c>
      <c r="J191" s="655">
        <v>306716</v>
      </c>
      <c r="K191" s="655">
        <v>29943</v>
      </c>
      <c r="L191" s="655">
        <v>31623</v>
      </c>
      <c r="M191" s="655">
        <v>0</v>
      </c>
      <c r="N191" s="655">
        <v>160445</v>
      </c>
      <c r="O191" s="655">
        <v>20803</v>
      </c>
      <c r="P191" s="655">
        <v>26465</v>
      </c>
      <c r="Q191" s="655">
        <v>29063</v>
      </c>
      <c r="R191" s="655">
        <v>0</v>
      </c>
      <c r="S191" s="655">
        <v>15548</v>
      </c>
      <c r="T191" s="655">
        <v>1810</v>
      </c>
      <c r="U191" s="655">
        <v>0</v>
      </c>
      <c r="V191" s="655">
        <v>0</v>
      </c>
      <c r="W191" s="655">
        <v>160776</v>
      </c>
      <c r="X191" s="655">
        <v>429310</v>
      </c>
      <c r="Y191" s="655">
        <v>0</v>
      </c>
      <c r="Z191" s="655">
        <v>0</v>
      </c>
      <c r="AA191" s="655">
        <v>0</v>
      </c>
      <c r="AB191" s="655">
        <v>0</v>
      </c>
      <c r="AC191" s="655">
        <v>0</v>
      </c>
      <c r="AD191" s="655">
        <v>43123</v>
      </c>
      <c r="AE191" s="655">
        <v>5096391</v>
      </c>
      <c r="AF191" s="655">
        <v>105018</v>
      </c>
      <c r="AG191" s="655">
        <v>275394</v>
      </c>
      <c r="AH191" s="655">
        <v>0</v>
      </c>
      <c r="AI191" s="655">
        <v>509930</v>
      </c>
      <c r="AJ191" s="655">
        <v>1670658</v>
      </c>
      <c r="AK191" s="655">
        <v>7657391</v>
      </c>
      <c r="AL191" s="655">
        <v>6036071</v>
      </c>
      <c r="AM191" s="655">
        <v>1621320</v>
      </c>
    </row>
    <row r="192" spans="1:39" x14ac:dyDescent="0.2">
      <c r="A192" s="649">
        <v>2013</v>
      </c>
      <c r="B192" s="650">
        <v>10</v>
      </c>
      <c r="C192" s="656" t="s">
        <v>265</v>
      </c>
      <c r="D192" s="651">
        <v>4271</v>
      </c>
      <c r="E192" s="648" t="s">
        <v>1180</v>
      </c>
      <c r="F192" s="655">
        <v>7082388</v>
      </c>
      <c r="G192" s="655">
        <v>0</v>
      </c>
      <c r="H192" s="655">
        <v>190029</v>
      </c>
      <c r="I192" s="655">
        <v>1020153</v>
      </c>
      <c r="J192" s="655">
        <v>627917</v>
      </c>
      <c r="K192" s="655">
        <v>68038</v>
      </c>
      <c r="L192" s="655">
        <v>69496</v>
      </c>
      <c r="M192" s="655">
        <v>0</v>
      </c>
      <c r="N192" s="655">
        <v>353553</v>
      </c>
      <c r="O192" s="655">
        <v>7264</v>
      </c>
      <c r="P192" s="655">
        <v>60933</v>
      </c>
      <c r="Q192" s="655">
        <v>66915</v>
      </c>
      <c r="R192" s="655">
        <v>0</v>
      </c>
      <c r="S192" s="655">
        <v>32719</v>
      </c>
      <c r="T192" s="655">
        <v>3806</v>
      </c>
      <c r="U192" s="655">
        <v>129443</v>
      </c>
      <c r="V192" s="655">
        <v>0</v>
      </c>
      <c r="W192" s="655">
        <v>283175</v>
      </c>
      <c r="X192" s="655">
        <v>0</v>
      </c>
      <c r="Y192" s="655">
        <v>0</v>
      </c>
      <c r="Z192" s="655">
        <v>0</v>
      </c>
      <c r="AA192" s="655">
        <v>0</v>
      </c>
      <c r="AB192" s="655">
        <v>0</v>
      </c>
      <c r="AC192" s="655">
        <v>0</v>
      </c>
      <c r="AD192" s="655">
        <v>67394</v>
      </c>
      <c r="AE192" s="655">
        <v>9928435</v>
      </c>
      <c r="AF192" s="655">
        <v>213036</v>
      </c>
      <c r="AG192" s="655">
        <v>273167</v>
      </c>
      <c r="AH192" s="655">
        <v>0</v>
      </c>
      <c r="AI192" s="655">
        <v>2729774</v>
      </c>
      <c r="AJ192" s="655">
        <v>3583515</v>
      </c>
      <c r="AK192" s="655">
        <v>16727927</v>
      </c>
      <c r="AL192" s="655">
        <v>13344040</v>
      </c>
      <c r="AM192" s="655">
        <v>3383887</v>
      </c>
    </row>
    <row r="193" spans="1:39" x14ac:dyDescent="0.2">
      <c r="A193" s="649">
        <v>2013</v>
      </c>
      <c r="B193" s="650">
        <v>13</v>
      </c>
      <c r="C193" s="656" t="s">
        <v>266</v>
      </c>
      <c r="D193" s="651">
        <v>4356</v>
      </c>
      <c r="E193" s="648" t="s">
        <v>1181</v>
      </c>
      <c r="F193" s="655">
        <v>5022837</v>
      </c>
      <c r="G193" s="655">
        <v>126353</v>
      </c>
      <c r="H193" s="655">
        <v>41497</v>
      </c>
      <c r="I193" s="655">
        <v>767048</v>
      </c>
      <c r="J193" s="655">
        <v>418698</v>
      </c>
      <c r="K193" s="655">
        <v>40904</v>
      </c>
      <c r="L193" s="655">
        <v>48876</v>
      </c>
      <c r="M193" s="655">
        <v>0</v>
      </c>
      <c r="N193" s="655">
        <v>254577</v>
      </c>
      <c r="O193" s="655">
        <v>13586</v>
      </c>
      <c r="P193" s="655">
        <v>41645</v>
      </c>
      <c r="Q193" s="655">
        <v>46063</v>
      </c>
      <c r="R193" s="655">
        <v>0</v>
      </c>
      <c r="S193" s="655">
        <v>26147</v>
      </c>
      <c r="T193" s="655">
        <v>2759</v>
      </c>
      <c r="U193" s="655">
        <v>141535</v>
      </c>
      <c r="V193" s="655">
        <v>0</v>
      </c>
      <c r="W193" s="655">
        <v>241360</v>
      </c>
      <c r="X193" s="655">
        <v>0</v>
      </c>
      <c r="Y193" s="655">
        <v>0</v>
      </c>
      <c r="Z193" s="655">
        <v>0</v>
      </c>
      <c r="AA193" s="655">
        <v>0</v>
      </c>
      <c r="AB193" s="655">
        <v>0</v>
      </c>
      <c r="AC193" s="655">
        <v>0</v>
      </c>
      <c r="AD193" s="655">
        <v>54838</v>
      </c>
      <c r="AE193" s="655">
        <v>7179047</v>
      </c>
      <c r="AF193" s="655">
        <v>167970</v>
      </c>
      <c r="AG193" s="655">
        <v>386704</v>
      </c>
      <c r="AH193" s="655">
        <v>0</v>
      </c>
      <c r="AI193" s="655">
        <v>617535</v>
      </c>
      <c r="AJ193" s="655">
        <v>1767646</v>
      </c>
      <c r="AK193" s="655">
        <v>10118902</v>
      </c>
      <c r="AL193" s="655">
        <v>8199153</v>
      </c>
      <c r="AM193" s="655">
        <v>1919749</v>
      </c>
    </row>
    <row r="194" spans="1:39" x14ac:dyDescent="0.2">
      <c r="A194" s="649">
        <v>2013</v>
      </c>
      <c r="B194" s="650">
        <v>1</v>
      </c>
      <c r="C194" s="656" t="s">
        <v>267</v>
      </c>
      <c r="D194" s="651">
        <v>4419</v>
      </c>
      <c r="E194" s="648" t="s">
        <v>643</v>
      </c>
      <c r="F194" s="655">
        <v>4920970</v>
      </c>
      <c r="G194" s="655">
        <v>0</v>
      </c>
      <c r="H194" s="655">
        <v>144495</v>
      </c>
      <c r="I194" s="655">
        <v>574999</v>
      </c>
      <c r="J194" s="655">
        <v>434819</v>
      </c>
      <c r="K194" s="655">
        <v>53162</v>
      </c>
      <c r="L194" s="655">
        <v>53488</v>
      </c>
      <c r="M194" s="655">
        <v>0</v>
      </c>
      <c r="N194" s="655">
        <v>253099</v>
      </c>
      <c r="O194" s="655">
        <v>12388</v>
      </c>
      <c r="P194" s="655">
        <v>40294</v>
      </c>
      <c r="Q194" s="655">
        <v>45002</v>
      </c>
      <c r="R194" s="655">
        <v>0</v>
      </c>
      <c r="S194" s="655">
        <v>24831</v>
      </c>
      <c r="T194" s="655">
        <v>2640</v>
      </c>
      <c r="U194" s="655">
        <v>204491</v>
      </c>
      <c r="V194" s="655">
        <v>0</v>
      </c>
      <c r="W194" s="655">
        <v>23532</v>
      </c>
      <c r="X194" s="655">
        <v>116139</v>
      </c>
      <c r="Y194" s="655">
        <v>0</v>
      </c>
      <c r="Z194" s="655">
        <v>0</v>
      </c>
      <c r="AA194" s="655">
        <v>0</v>
      </c>
      <c r="AB194" s="655">
        <v>0</v>
      </c>
      <c r="AC194" s="655">
        <v>0</v>
      </c>
      <c r="AD194" s="655">
        <v>59813</v>
      </c>
      <c r="AE194" s="655">
        <v>6844536</v>
      </c>
      <c r="AF194" s="655">
        <v>129022</v>
      </c>
      <c r="AG194" s="655">
        <v>319499</v>
      </c>
      <c r="AH194" s="655">
        <v>0</v>
      </c>
      <c r="AI194" s="655">
        <v>585395</v>
      </c>
      <c r="AJ194" s="655">
        <v>1939609</v>
      </c>
      <c r="AK194" s="655">
        <v>9818061</v>
      </c>
      <c r="AL194" s="655">
        <v>8173237</v>
      </c>
      <c r="AM194" s="655">
        <v>1644824</v>
      </c>
    </row>
    <row r="195" spans="1:39" x14ac:dyDescent="0.2">
      <c r="A195" s="649">
        <v>2013</v>
      </c>
      <c r="B195" s="650">
        <v>7</v>
      </c>
      <c r="C195" s="656" t="s">
        <v>268</v>
      </c>
      <c r="D195" s="651">
        <v>4437</v>
      </c>
      <c r="E195" s="648" t="s">
        <v>1182</v>
      </c>
      <c r="F195" s="655">
        <v>3166728</v>
      </c>
      <c r="G195" s="655">
        <v>0</v>
      </c>
      <c r="H195" s="655">
        <v>26224</v>
      </c>
      <c r="I195" s="655">
        <v>398886</v>
      </c>
      <c r="J195" s="655">
        <v>256805</v>
      </c>
      <c r="K195" s="655">
        <v>24549</v>
      </c>
      <c r="L195" s="655">
        <v>33208</v>
      </c>
      <c r="M195" s="655">
        <v>0</v>
      </c>
      <c r="N195" s="655">
        <v>158750</v>
      </c>
      <c r="O195" s="655">
        <v>0</v>
      </c>
      <c r="P195" s="655">
        <v>26286</v>
      </c>
      <c r="Q195" s="655">
        <v>29388</v>
      </c>
      <c r="R195" s="655">
        <v>0</v>
      </c>
      <c r="S195" s="655">
        <v>20505</v>
      </c>
      <c r="T195" s="655">
        <v>2353</v>
      </c>
      <c r="U195" s="655">
        <v>154495</v>
      </c>
      <c r="V195" s="655">
        <v>0</v>
      </c>
      <c r="W195" s="655">
        <v>70643</v>
      </c>
      <c r="X195" s="655">
        <v>0</v>
      </c>
      <c r="Y195" s="655">
        <v>43949</v>
      </c>
      <c r="Z195" s="655">
        <v>0</v>
      </c>
      <c r="AA195" s="655">
        <v>0</v>
      </c>
      <c r="AB195" s="655">
        <v>0</v>
      </c>
      <c r="AC195" s="655">
        <v>0</v>
      </c>
      <c r="AD195" s="655">
        <v>30311</v>
      </c>
      <c r="AE195" s="655">
        <v>4294560</v>
      </c>
      <c r="AF195" s="655">
        <v>108018</v>
      </c>
      <c r="AG195" s="655">
        <v>268570</v>
      </c>
      <c r="AH195" s="655">
        <v>0</v>
      </c>
      <c r="AI195" s="655">
        <v>568204</v>
      </c>
      <c r="AJ195" s="655">
        <v>1204253</v>
      </c>
      <c r="AK195" s="655">
        <v>6443605</v>
      </c>
      <c r="AL195" s="655">
        <v>5273374</v>
      </c>
      <c r="AM195" s="655">
        <v>1170231</v>
      </c>
    </row>
    <row r="196" spans="1:39" x14ac:dyDescent="0.2">
      <c r="A196" s="649">
        <v>2013</v>
      </c>
      <c r="B196" s="650">
        <v>10</v>
      </c>
      <c r="C196" s="656" t="s">
        <v>269</v>
      </c>
      <c r="D196" s="651">
        <v>4446</v>
      </c>
      <c r="E196" s="648" t="s">
        <v>1183</v>
      </c>
      <c r="F196" s="655">
        <v>6012402</v>
      </c>
      <c r="G196" s="655">
        <v>0</v>
      </c>
      <c r="H196" s="655">
        <v>60676</v>
      </c>
      <c r="I196" s="655">
        <v>894149</v>
      </c>
      <c r="J196" s="655">
        <v>524314</v>
      </c>
      <c r="K196" s="655">
        <v>50175</v>
      </c>
      <c r="L196" s="655">
        <v>54233</v>
      </c>
      <c r="M196" s="655">
        <v>0</v>
      </c>
      <c r="N196" s="655">
        <v>302572</v>
      </c>
      <c r="O196" s="655">
        <v>0</v>
      </c>
      <c r="P196" s="655">
        <v>54059</v>
      </c>
      <c r="Q196" s="655">
        <v>59366</v>
      </c>
      <c r="R196" s="655">
        <v>0</v>
      </c>
      <c r="S196" s="655">
        <v>28001</v>
      </c>
      <c r="T196" s="655">
        <v>3257</v>
      </c>
      <c r="U196" s="655">
        <v>214169</v>
      </c>
      <c r="V196" s="655">
        <v>0</v>
      </c>
      <c r="W196" s="655">
        <v>81614</v>
      </c>
      <c r="X196" s="655">
        <v>9920</v>
      </c>
      <c r="Y196" s="655">
        <v>0</v>
      </c>
      <c r="Z196" s="655">
        <v>0</v>
      </c>
      <c r="AA196" s="655">
        <v>0</v>
      </c>
      <c r="AB196" s="655">
        <v>0</v>
      </c>
      <c r="AC196" s="655">
        <v>0</v>
      </c>
      <c r="AD196" s="655">
        <v>58869</v>
      </c>
      <c r="AE196" s="655">
        <v>8290038</v>
      </c>
      <c r="AF196" s="655">
        <v>153026</v>
      </c>
      <c r="AG196" s="655">
        <v>264559</v>
      </c>
      <c r="AH196" s="655">
        <v>0</v>
      </c>
      <c r="AI196" s="655">
        <v>1563858</v>
      </c>
      <c r="AJ196" s="655">
        <v>1420227</v>
      </c>
      <c r="AK196" s="655">
        <v>11691708</v>
      </c>
      <c r="AL196" s="655">
        <v>10749278</v>
      </c>
      <c r="AM196" s="655">
        <v>942430</v>
      </c>
    </row>
    <row r="197" spans="1:39" x14ac:dyDescent="0.2">
      <c r="A197" s="649">
        <v>2013</v>
      </c>
      <c r="B197" s="650">
        <v>15</v>
      </c>
      <c r="C197" s="656" t="s">
        <v>270</v>
      </c>
      <c r="D197" s="651">
        <v>4491</v>
      </c>
      <c r="E197" s="648" t="s">
        <v>1184</v>
      </c>
      <c r="F197" s="655">
        <v>2105151</v>
      </c>
      <c r="G197" s="655">
        <v>0</v>
      </c>
      <c r="H197" s="655">
        <v>63053</v>
      </c>
      <c r="I197" s="655">
        <v>233559</v>
      </c>
      <c r="J197" s="655">
        <v>212974</v>
      </c>
      <c r="K197" s="655">
        <v>23854</v>
      </c>
      <c r="L197" s="655">
        <v>26601</v>
      </c>
      <c r="M197" s="655">
        <v>0</v>
      </c>
      <c r="N197" s="655">
        <v>101803</v>
      </c>
      <c r="O197" s="655">
        <v>0</v>
      </c>
      <c r="P197" s="655">
        <v>17227</v>
      </c>
      <c r="Q197" s="655">
        <v>18915</v>
      </c>
      <c r="R197" s="655">
        <v>0</v>
      </c>
      <c r="S197" s="655">
        <v>10176</v>
      </c>
      <c r="T197" s="655">
        <v>1095</v>
      </c>
      <c r="U197" s="655">
        <v>102375</v>
      </c>
      <c r="V197" s="655">
        <v>0</v>
      </c>
      <c r="W197" s="655">
        <v>45586</v>
      </c>
      <c r="X197" s="655">
        <v>5525</v>
      </c>
      <c r="Y197" s="655">
        <v>0</v>
      </c>
      <c r="Z197" s="655">
        <v>0</v>
      </c>
      <c r="AA197" s="655">
        <v>0</v>
      </c>
      <c r="AB197" s="655">
        <v>0</v>
      </c>
      <c r="AC197" s="655">
        <v>-5942</v>
      </c>
      <c r="AD197" s="655">
        <v>17980</v>
      </c>
      <c r="AE197" s="655">
        <v>2943972</v>
      </c>
      <c r="AF197" s="655">
        <v>57010</v>
      </c>
      <c r="AG197" s="655">
        <v>150118</v>
      </c>
      <c r="AH197" s="655">
        <v>0</v>
      </c>
      <c r="AI197" s="655">
        <v>883123</v>
      </c>
      <c r="AJ197" s="655">
        <v>1158736</v>
      </c>
      <c r="AK197" s="655">
        <v>5192959</v>
      </c>
      <c r="AL197" s="655">
        <v>4109458</v>
      </c>
      <c r="AM197" s="655">
        <v>1083501</v>
      </c>
    </row>
    <row r="198" spans="1:39" x14ac:dyDescent="0.2">
      <c r="A198" s="649">
        <v>2013</v>
      </c>
      <c r="B198" s="650">
        <v>13</v>
      </c>
      <c r="C198" s="656" t="s">
        <v>271</v>
      </c>
      <c r="D198" s="651">
        <v>4505</v>
      </c>
      <c r="E198" s="648" t="s">
        <v>1185</v>
      </c>
      <c r="F198" s="655">
        <v>1512068</v>
      </c>
      <c r="G198" s="655">
        <v>0</v>
      </c>
      <c r="H198" s="655">
        <v>40113</v>
      </c>
      <c r="I198" s="655">
        <v>218093</v>
      </c>
      <c r="J198" s="655">
        <v>132788</v>
      </c>
      <c r="K198" s="655">
        <v>11803</v>
      </c>
      <c r="L198" s="655">
        <v>15380</v>
      </c>
      <c r="M198" s="655">
        <v>0</v>
      </c>
      <c r="N198" s="655">
        <v>75147</v>
      </c>
      <c r="O198" s="655">
        <v>9431</v>
      </c>
      <c r="P198" s="655">
        <v>12228</v>
      </c>
      <c r="Q198" s="655">
        <v>13526</v>
      </c>
      <c r="R198" s="655">
        <v>0</v>
      </c>
      <c r="S198" s="655">
        <v>7718</v>
      </c>
      <c r="T198" s="655">
        <v>815</v>
      </c>
      <c r="U198" s="655">
        <v>56596</v>
      </c>
      <c r="V198" s="655">
        <v>0</v>
      </c>
      <c r="W198" s="655">
        <v>60595</v>
      </c>
      <c r="X198" s="655">
        <v>6501</v>
      </c>
      <c r="Y198" s="655">
        <v>0</v>
      </c>
      <c r="Z198" s="655">
        <v>0</v>
      </c>
      <c r="AA198" s="655">
        <v>0</v>
      </c>
      <c r="AB198" s="655">
        <v>0</v>
      </c>
      <c r="AC198" s="655">
        <v>0</v>
      </c>
      <c r="AD198" s="655">
        <v>18001</v>
      </c>
      <c r="AE198" s="655">
        <v>2154801</v>
      </c>
      <c r="AF198" s="655">
        <v>57010</v>
      </c>
      <c r="AG198" s="655">
        <v>115976</v>
      </c>
      <c r="AH198" s="655">
        <v>0</v>
      </c>
      <c r="AI198" s="655">
        <v>362493</v>
      </c>
      <c r="AJ198" s="655">
        <v>964490</v>
      </c>
      <c r="AK198" s="655">
        <v>3654770</v>
      </c>
      <c r="AL198" s="655">
        <v>2889809</v>
      </c>
      <c r="AM198" s="655">
        <v>764961</v>
      </c>
    </row>
    <row r="199" spans="1:39" x14ac:dyDescent="0.2">
      <c r="A199" s="649">
        <v>2013</v>
      </c>
      <c r="B199" s="650">
        <v>15</v>
      </c>
      <c r="C199" s="656" t="s">
        <v>272</v>
      </c>
      <c r="D199" s="651">
        <v>4509</v>
      </c>
      <c r="E199" s="648" t="s">
        <v>1186</v>
      </c>
      <c r="F199" s="655">
        <v>1284214</v>
      </c>
      <c r="G199" s="655">
        <v>5163</v>
      </c>
      <c r="H199" s="655">
        <v>58570</v>
      </c>
      <c r="I199" s="655">
        <v>178770</v>
      </c>
      <c r="J199" s="655">
        <v>114381</v>
      </c>
      <c r="K199" s="655">
        <v>12461</v>
      </c>
      <c r="L199" s="655">
        <v>16968</v>
      </c>
      <c r="M199" s="655">
        <v>0</v>
      </c>
      <c r="N199" s="655">
        <v>63683</v>
      </c>
      <c r="O199" s="655">
        <v>1459</v>
      </c>
      <c r="P199" s="655">
        <v>10503</v>
      </c>
      <c r="Q199" s="655">
        <v>11532</v>
      </c>
      <c r="R199" s="655">
        <v>0</v>
      </c>
      <c r="S199" s="655">
        <v>6410</v>
      </c>
      <c r="T199" s="655">
        <v>689</v>
      </c>
      <c r="U199" s="655">
        <v>0</v>
      </c>
      <c r="V199" s="655">
        <v>0</v>
      </c>
      <c r="W199" s="655">
        <v>36606</v>
      </c>
      <c r="X199" s="655">
        <v>0</v>
      </c>
      <c r="Y199" s="655">
        <v>0</v>
      </c>
      <c r="Z199" s="655">
        <v>0</v>
      </c>
      <c r="AA199" s="655">
        <v>0</v>
      </c>
      <c r="AB199" s="655">
        <v>0</v>
      </c>
      <c r="AC199" s="655">
        <v>0</v>
      </c>
      <c r="AD199" s="655">
        <v>13362</v>
      </c>
      <c r="AE199" s="655">
        <v>1788047</v>
      </c>
      <c r="AF199" s="655">
        <v>57010</v>
      </c>
      <c r="AG199" s="655">
        <v>90992</v>
      </c>
      <c r="AH199" s="655">
        <v>0</v>
      </c>
      <c r="AI199" s="655">
        <v>298038</v>
      </c>
      <c r="AJ199" s="655">
        <v>384072</v>
      </c>
      <c r="AK199" s="655">
        <v>2618159</v>
      </c>
      <c r="AL199" s="655">
        <v>2449796</v>
      </c>
      <c r="AM199" s="655">
        <v>168363</v>
      </c>
    </row>
    <row r="200" spans="1:39" x14ac:dyDescent="0.2">
      <c r="A200" s="649">
        <v>2013</v>
      </c>
      <c r="B200" s="650">
        <v>15</v>
      </c>
      <c r="C200" s="656" t="s">
        <v>273</v>
      </c>
      <c r="D200" s="651">
        <v>4518</v>
      </c>
      <c r="E200" s="648" t="s">
        <v>1187</v>
      </c>
      <c r="F200" s="655">
        <v>1236206</v>
      </c>
      <c r="G200" s="655">
        <v>17154</v>
      </c>
      <c r="H200" s="655">
        <v>29759</v>
      </c>
      <c r="I200" s="655">
        <v>123501</v>
      </c>
      <c r="J200" s="655">
        <v>120566</v>
      </c>
      <c r="K200" s="655">
        <v>12267</v>
      </c>
      <c r="L200" s="655">
        <v>13833</v>
      </c>
      <c r="M200" s="655">
        <v>0</v>
      </c>
      <c r="N200" s="655">
        <v>59187</v>
      </c>
      <c r="O200" s="655">
        <v>6267</v>
      </c>
      <c r="P200" s="655">
        <v>10110</v>
      </c>
      <c r="Q200" s="655">
        <v>11101</v>
      </c>
      <c r="R200" s="655">
        <v>0</v>
      </c>
      <c r="S200" s="655">
        <v>5916</v>
      </c>
      <c r="T200" s="655">
        <v>637</v>
      </c>
      <c r="U200" s="655">
        <v>0</v>
      </c>
      <c r="V200" s="655">
        <v>0</v>
      </c>
      <c r="W200" s="655">
        <v>108018</v>
      </c>
      <c r="X200" s="655">
        <v>0</v>
      </c>
      <c r="Y200" s="655">
        <v>5387</v>
      </c>
      <c r="Z200" s="655">
        <v>0</v>
      </c>
      <c r="AA200" s="655">
        <v>0</v>
      </c>
      <c r="AB200" s="655">
        <v>0</v>
      </c>
      <c r="AC200" s="655">
        <v>0</v>
      </c>
      <c r="AD200" s="655">
        <v>15783</v>
      </c>
      <c r="AE200" s="655">
        <v>1733352</v>
      </c>
      <c r="AF200" s="655">
        <v>60010</v>
      </c>
      <c r="AG200" s="655">
        <v>95431</v>
      </c>
      <c r="AH200" s="655">
        <v>0</v>
      </c>
      <c r="AI200" s="655">
        <v>317779</v>
      </c>
      <c r="AJ200" s="655">
        <v>630360</v>
      </c>
      <c r="AK200" s="655">
        <v>2836932</v>
      </c>
      <c r="AL200" s="655">
        <v>2355453</v>
      </c>
      <c r="AM200" s="655">
        <v>481479</v>
      </c>
    </row>
    <row r="201" spans="1:39" x14ac:dyDescent="0.2">
      <c r="A201" s="649">
        <v>2013</v>
      </c>
      <c r="B201" s="650">
        <v>13</v>
      </c>
      <c r="C201" s="656" t="s">
        <v>274</v>
      </c>
      <c r="D201" s="651">
        <v>4527</v>
      </c>
      <c r="E201" s="648" t="s">
        <v>1189</v>
      </c>
      <c r="F201" s="655">
        <v>3650432</v>
      </c>
      <c r="G201" s="655">
        <v>12908</v>
      </c>
      <c r="H201" s="655">
        <v>106277</v>
      </c>
      <c r="I201" s="655">
        <v>752241</v>
      </c>
      <c r="J201" s="655">
        <v>362611</v>
      </c>
      <c r="K201" s="655">
        <v>45515</v>
      </c>
      <c r="L201" s="655">
        <v>41654</v>
      </c>
      <c r="M201" s="655">
        <v>0</v>
      </c>
      <c r="N201" s="655">
        <v>193486</v>
      </c>
      <c r="O201" s="655">
        <v>3642</v>
      </c>
      <c r="P201" s="655">
        <v>29908</v>
      </c>
      <c r="Q201" s="655">
        <v>33081</v>
      </c>
      <c r="R201" s="655">
        <v>0</v>
      </c>
      <c r="S201" s="655">
        <v>19872</v>
      </c>
      <c r="T201" s="655">
        <v>2097</v>
      </c>
      <c r="U201" s="655">
        <v>164709</v>
      </c>
      <c r="V201" s="655">
        <v>0</v>
      </c>
      <c r="W201" s="655">
        <v>56678</v>
      </c>
      <c r="X201" s="655">
        <v>0</v>
      </c>
      <c r="Y201" s="655">
        <v>0</v>
      </c>
      <c r="Z201" s="655">
        <v>0</v>
      </c>
      <c r="AA201" s="655">
        <v>0</v>
      </c>
      <c r="AB201" s="655">
        <v>0</v>
      </c>
      <c r="AC201" s="655">
        <v>0</v>
      </c>
      <c r="AD201" s="655">
        <v>46316</v>
      </c>
      <c r="AE201" s="655">
        <v>5428795</v>
      </c>
      <c r="AF201" s="655">
        <v>87015</v>
      </c>
      <c r="AG201" s="655">
        <v>288928</v>
      </c>
      <c r="AH201" s="655">
        <v>0</v>
      </c>
      <c r="AI201" s="655">
        <v>1034288</v>
      </c>
      <c r="AJ201" s="655">
        <v>1014652</v>
      </c>
      <c r="AK201" s="655">
        <v>7853678</v>
      </c>
      <c r="AL201" s="655">
        <v>6887804</v>
      </c>
      <c r="AM201" s="655">
        <v>965874</v>
      </c>
    </row>
    <row r="202" spans="1:39" x14ac:dyDescent="0.2">
      <c r="A202" s="649">
        <v>2013</v>
      </c>
      <c r="B202" s="650">
        <v>15</v>
      </c>
      <c r="C202" s="656" t="s">
        <v>275</v>
      </c>
      <c r="D202" s="651">
        <v>4536</v>
      </c>
      <c r="E202" s="648" t="s">
        <v>1190</v>
      </c>
      <c r="F202" s="655">
        <v>12267844</v>
      </c>
      <c r="G202" s="655">
        <v>126813</v>
      </c>
      <c r="H202" s="655">
        <v>173249</v>
      </c>
      <c r="I202" s="655">
        <v>1594646</v>
      </c>
      <c r="J202" s="655">
        <v>1037702</v>
      </c>
      <c r="K202" s="655">
        <v>124805</v>
      </c>
      <c r="L202" s="655">
        <v>139762</v>
      </c>
      <c r="M202" s="655">
        <v>0</v>
      </c>
      <c r="N202" s="655">
        <v>603426</v>
      </c>
      <c r="O202" s="655">
        <v>4521</v>
      </c>
      <c r="P202" s="655">
        <v>100467</v>
      </c>
      <c r="Q202" s="655">
        <v>110313</v>
      </c>
      <c r="R202" s="655">
        <v>0</v>
      </c>
      <c r="S202" s="655">
        <v>60735</v>
      </c>
      <c r="T202" s="655">
        <v>6529</v>
      </c>
      <c r="U202" s="655">
        <v>0</v>
      </c>
      <c r="V202" s="655">
        <v>0</v>
      </c>
      <c r="W202" s="655">
        <v>165229</v>
      </c>
      <c r="X202" s="655">
        <v>0</v>
      </c>
      <c r="Y202" s="655">
        <v>0</v>
      </c>
      <c r="Z202" s="655">
        <v>0</v>
      </c>
      <c r="AA202" s="655">
        <v>0</v>
      </c>
      <c r="AB202" s="655">
        <v>0</v>
      </c>
      <c r="AC202" s="655">
        <v>0</v>
      </c>
      <c r="AD202" s="655">
        <v>114086</v>
      </c>
      <c r="AE202" s="655">
        <v>16401955</v>
      </c>
      <c r="AF202" s="655">
        <v>0</v>
      </c>
      <c r="AG202" s="655">
        <v>514403</v>
      </c>
      <c r="AH202" s="655">
        <v>0</v>
      </c>
      <c r="AI202" s="655">
        <v>2792771</v>
      </c>
      <c r="AJ202" s="655">
        <v>6822921</v>
      </c>
      <c r="AK202" s="655">
        <v>26532050</v>
      </c>
      <c r="AL202" s="655">
        <v>19924520</v>
      </c>
      <c r="AM202" s="655">
        <v>6607530</v>
      </c>
    </row>
    <row r="203" spans="1:39" x14ac:dyDescent="0.2">
      <c r="A203" s="649">
        <v>2013</v>
      </c>
      <c r="B203" s="650">
        <v>10</v>
      </c>
      <c r="C203" s="656" t="s">
        <v>276</v>
      </c>
      <c r="D203" s="651">
        <v>4554</v>
      </c>
      <c r="E203" s="648" t="s">
        <v>1191</v>
      </c>
      <c r="F203" s="655">
        <v>6397066</v>
      </c>
      <c r="G203" s="655">
        <v>33777</v>
      </c>
      <c r="H203" s="655">
        <v>49472</v>
      </c>
      <c r="I203" s="655">
        <v>606641</v>
      </c>
      <c r="J203" s="655">
        <v>557561</v>
      </c>
      <c r="K203" s="655">
        <v>62947</v>
      </c>
      <c r="L203" s="655">
        <v>68384</v>
      </c>
      <c r="M203" s="655">
        <v>0</v>
      </c>
      <c r="N203" s="655">
        <v>306828</v>
      </c>
      <c r="O203" s="655">
        <v>0</v>
      </c>
      <c r="P203" s="655">
        <v>52733</v>
      </c>
      <c r="Q203" s="655">
        <v>57910</v>
      </c>
      <c r="R203" s="655">
        <v>0</v>
      </c>
      <c r="S203" s="655">
        <v>28395</v>
      </c>
      <c r="T203" s="655">
        <v>3303</v>
      </c>
      <c r="U203" s="655">
        <v>245932</v>
      </c>
      <c r="V203" s="655">
        <v>121270</v>
      </c>
      <c r="W203" s="655">
        <v>120013</v>
      </c>
      <c r="X203" s="655">
        <v>247819</v>
      </c>
      <c r="Y203" s="655">
        <v>0</v>
      </c>
      <c r="Z203" s="655">
        <v>0</v>
      </c>
      <c r="AA203" s="655">
        <v>0</v>
      </c>
      <c r="AB203" s="655">
        <v>0</v>
      </c>
      <c r="AC203" s="655">
        <v>0</v>
      </c>
      <c r="AD203" s="655">
        <v>56161</v>
      </c>
      <c r="AE203" s="655">
        <v>8903890</v>
      </c>
      <c r="AF203" s="655">
        <v>93016</v>
      </c>
      <c r="AG203" s="655">
        <v>434017</v>
      </c>
      <c r="AH203" s="655">
        <v>0</v>
      </c>
      <c r="AI203" s="655">
        <v>2337925</v>
      </c>
      <c r="AJ203" s="655">
        <v>3634964</v>
      </c>
      <c r="AK203" s="655">
        <v>15403812</v>
      </c>
      <c r="AL203" s="655">
        <v>12023635</v>
      </c>
      <c r="AM203" s="655">
        <v>3380177</v>
      </c>
    </row>
    <row r="204" spans="1:39" x14ac:dyDescent="0.2">
      <c r="A204" s="649">
        <v>2013</v>
      </c>
      <c r="B204" s="650">
        <v>13</v>
      </c>
      <c r="C204" s="656" t="s">
        <v>277</v>
      </c>
      <c r="D204" s="651">
        <v>4572</v>
      </c>
      <c r="E204" s="648" t="s">
        <v>1192</v>
      </c>
      <c r="F204" s="655">
        <v>1629272</v>
      </c>
      <c r="G204" s="655">
        <v>29687</v>
      </c>
      <c r="H204" s="655">
        <v>45614</v>
      </c>
      <c r="I204" s="655">
        <v>250362</v>
      </c>
      <c r="J204" s="655">
        <v>170968</v>
      </c>
      <c r="K204" s="655">
        <v>16783</v>
      </c>
      <c r="L204" s="655">
        <v>20865</v>
      </c>
      <c r="M204" s="655">
        <v>0</v>
      </c>
      <c r="N204" s="655">
        <v>82646</v>
      </c>
      <c r="O204" s="655">
        <v>4931</v>
      </c>
      <c r="P204" s="655">
        <v>13358</v>
      </c>
      <c r="Q204" s="655">
        <v>14775</v>
      </c>
      <c r="R204" s="655">
        <v>0</v>
      </c>
      <c r="S204" s="655">
        <v>8488</v>
      </c>
      <c r="T204" s="655">
        <v>896</v>
      </c>
      <c r="U204" s="655">
        <v>35325</v>
      </c>
      <c r="V204" s="655">
        <v>0</v>
      </c>
      <c r="W204" s="655">
        <v>60010</v>
      </c>
      <c r="X204" s="655">
        <v>0</v>
      </c>
      <c r="Y204" s="655">
        <v>61761</v>
      </c>
      <c r="Z204" s="655">
        <v>0</v>
      </c>
      <c r="AA204" s="655">
        <v>0</v>
      </c>
      <c r="AB204" s="655">
        <v>0</v>
      </c>
      <c r="AC204" s="655">
        <v>0</v>
      </c>
      <c r="AD204" s="655">
        <v>18369</v>
      </c>
      <c r="AE204" s="655">
        <v>2303850</v>
      </c>
      <c r="AF204" s="655">
        <v>81014</v>
      </c>
      <c r="AG204" s="655">
        <v>110636</v>
      </c>
      <c r="AH204" s="655">
        <v>0</v>
      </c>
      <c r="AI204" s="655">
        <v>899460</v>
      </c>
      <c r="AJ204" s="655">
        <v>2875196</v>
      </c>
      <c r="AK204" s="655">
        <v>6270156</v>
      </c>
      <c r="AL204" s="655">
        <v>3224263</v>
      </c>
      <c r="AM204" s="655">
        <v>3045893</v>
      </c>
    </row>
    <row r="205" spans="1:39" x14ac:dyDescent="0.2">
      <c r="A205" s="649">
        <v>2013</v>
      </c>
      <c r="B205" s="650">
        <v>9</v>
      </c>
      <c r="C205" s="656" t="s">
        <v>278</v>
      </c>
      <c r="D205" s="651">
        <v>4581</v>
      </c>
      <c r="E205" s="648" t="s">
        <v>1193</v>
      </c>
      <c r="F205" s="655">
        <v>31832905</v>
      </c>
      <c r="G205" s="655">
        <v>0</v>
      </c>
      <c r="H205" s="655">
        <v>673468</v>
      </c>
      <c r="I205" s="655">
        <v>4360627</v>
      </c>
      <c r="J205" s="655">
        <v>2677603</v>
      </c>
      <c r="K205" s="655">
        <v>291329</v>
      </c>
      <c r="L205" s="655">
        <v>362463</v>
      </c>
      <c r="M205" s="655">
        <v>0</v>
      </c>
      <c r="N205" s="655">
        <v>1597196</v>
      </c>
      <c r="O205" s="655">
        <v>12398</v>
      </c>
      <c r="P205" s="655">
        <v>263972</v>
      </c>
      <c r="Q205" s="655">
        <v>287715</v>
      </c>
      <c r="R205" s="655">
        <v>0</v>
      </c>
      <c r="S205" s="655">
        <v>142217</v>
      </c>
      <c r="T205" s="655">
        <v>16707</v>
      </c>
      <c r="U205" s="655">
        <v>605042</v>
      </c>
      <c r="V205" s="655">
        <v>592566</v>
      </c>
      <c r="W205" s="655">
        <v>285855</v>
      </c>
      <c r="X205" s="655">
        <v>31799</v>
      </c>
      <c r="Y205" s="655">
        <v>0</v>
      </c>
      <c r="Z205" s="655">
        <v>0</v>
      </c>
      <c r="AA205" s="655">
        <v>0</v>
      </c>
      <c r="AB205" s="655">
        <v>0</v>
      </c>
      <c r="AC205" s="655">
        <v>0</v>
      </c>
      <c r="AD205" s="655">
        <v>310020</v>
      </c>
      <c r="AE205" s="655">
        <v>43723842</v>
      </c>
      <c r="AF205" s="655">
        <v>693116</v>
      </c>
      <c r="AG205" s="655">
        <v>0</v>
      </c>
      <c r="AH205" s="655">
        <v>0</v>
      </c>
      <c r="AI205" s="655">
        <v>4027047</v>
      </c>
      <c r="AJ205" s="655">
        <v>6215522</v>
      </c>
      <c r="AK205" s="655">
        <v>54659527</v>
      </c>
      <c r="AL205" s="655">
        <v>51395946</v>
      </c>
      <c r="AM205" s="655">
        <v>3263581</v>
      </c>
    </row>
    <row r="206" spans="1:39" x14ac:dyDescent="0.2">
      <c r="A206" s="649">
        <v>2013</v>
      </c>
      <c r="B206" s="650">
        <v>7</v>
      </c>
      <c r="C206" s="656" t="s">
        <v>279</v>
      </c>
      <c r="D206" s="651">
        <v>4599</v>
      </c>
      <c r="E206" s="648" t="s">
        <v>644</v>
      </c>
      <c r="F206" s="655">
        <v>3988121</v>
      </c>
      <c r="G206" s="655">
        <v>132273</v>
      </c>
      <c r="H206" s="655">
        <v>95613</v>
      </c>
      <c r="I206" s="655">
        <v>391904</v>
      </c>
      <c r="J206" s="655">
        <v>336283</v>
      </c>
      <c r="K206" s="655">
        <v>38210</v>
      </c>
      <c r="L206" s="655">
        <v>32378</v>
      </c>
      <c r="M206" s="655">
        <v>0</v>
      </c>
      <c r="N206" s="655">
        <v>191437</v>
      </c>
      <c r="O206" s="655">
        <v>9084</v>
      </c>
      <c r="P206" s="655">
        <v>32413</v>
      </c>
      <c r="Q206" s="655">
        <v>36237</v>
      </c>
      <c r="R206" s="655">
        <v>0</v>
      </c>
      <c r="S206" s="655">
        <v>25595</v>
      </c>
      <c r="T206" s="655">
        <v>2937</v>
      </c>
      <c r="U206" s="655">
        <v>111261</v>
      </c>
      <c r="V206" s="655">
        <v>0</v>
      </c>
      <c r="W206" s="655">
        <v>35298</v>
      </c>
      <c r="X206" s="655">
        <v>0</v>
      </c>
      <c r="Y206" s="655">
        <v>19010</v>
      </c>
      <c r="Z206" s="655">
        <v>0</v>
      </c>
      <c r="AA206" s="655">
        <v>0</v>
      </c>
      <c r="AB206" s="655">
        <v>0</v>
      </c>
      <c r="AC206" s="655">
        <v>0</v>
      </c>
      <c r="AD206" s="655">
        <v>45182</v>
      </c>
      <c r="AE206" s="655">
        <v>5394852</v>
      </c>
      <c r="AF206" s="655">
        <v>126021</v>
      </c>
      <c r="AG206" s="655">
        <v>318547</v>
      </c>
      <c r="AH206" s="655">
        <v>0</v>
      </c>
      <c r="AI206" s="655">
        <v>506556</v>
      </c>
      <c r="AJ206" s="655">
        <v>1575351</v>
      </c>
      <c r="AK206" s="655">
        <v>7921327</v>
      </c>
      <c r="AL206" s="655">
        <v>6397072</v>
      </c>
      <c r="AM206" s="655">
        <v>1524255</v>
      </c>
    </row>
    <row r="207" spans="1:39" x14ac:dyDescent="0.2">
      <c r="A207" s="649">
        <v>2013</v>
      </c>
      <c r="B207" s="653" t="s">
        <v>2011</v>
      </c>
      <c r="C207" s="656" t="s">
        <v>280</v>
      </c>
      <c r="D207" s="651">
        <v>4617</v>
      </c>
      <c r="E207" s="648" t="s">
        <v>1194</v>
      </c>
      <c r="F207" s="655">
        <v>9081313</v>
      </c>
      <c r="G207" s="655">
        <v>0</v>
      </c>
      <c r="H207" s="655">
        <v>91059</v>
      </c>
      <c r="I207" s="655">
        <v>827298</v>
      </c>
      <c r="J207" s="655">
        <v>777866</v>
      </c>
      <c r="K207" s="655">
        <v>95066</v>
      </c>
      <c r="L207" s="655">
        <v>107157</v>
      </c>
      <c r="M207" s="655">
        <v>0</v>
      </c>
      <c r="N207" s="655">
        <v>422367</v>
      </c>
      <c r="O207" s="655">
        <v>0</v>
      </c>
      <c r="P207" s="655">
        <v>74988</v>
      </c>
      <c r="Q207" s="655">
        <v>82276</v>
      </c>
      <c r="R207" s="655">
        <v>0</v>
      </c>
      <c r="S207" s="655">
        <v>33948</v>
      </c>
      <c r="T207" s="655">
        <v>4359</v>
      </c>
      <c r="U207" s="655">
        <v>454066</v>
      </c>
      <c r="V207" s="655">
        <v>0</v>
      </c>
      <c r="W207" s="655">
        <v>0</v>
      </c>
      <c r="X207" s="655">
        <v>398869</v>
      </c>
      <c r="Y207" s="655">
        <v>0</v>
      </c>
      <c r="Z207" s="655">
        <v>0</v>
      </c>
      <c r="AA207" s="655">
        <v>0</v>
      </c>
      <c r="AB207" s="655">
        <v>0</v>
      </c>
      <c r="AC207" s="655">
        <v>0</v>
      </c>
      <c r="AD207" s="655">
        <v>84390</v>
      </c>
      <c r="AE207" s="655">
        <v>12366242</v>
      </c>
      <c r="AF207" s="655">
        <v>306051</v>
      </c>
      <c r="AG207" s="655">
        <v>612353</v>
      </c>
      <c r="AH207" s="655">
        <v>0</v>
      </c>
      <c r="AI207" s="655">
        <v>1635935</v>
      </c>
      <c r="AJ207" s="655">
        <v>5396719</v>
      </c>
      <c r="AK207" s="655">
        <v>20317300</v>
      </c>
      <c r="AL207" s="655">
        <v>14975331</v>
      </c>
      <c r="AM207" s="655">
        <v>5341969</v>
      </c>
    </row>
    <row r="208" spans="1:39" x14ac:dyDescent="0.2">
      <c r="A208" s="649">
        <v>2013</v>
      </c>
      <c r="B208" s="650">
        <v>5</v>
      </c>
      <c r="C208" s="656" t="s">
        <v>281</v>
      </c>
      <c r="D208" s="651">
        <v>4644</v>
      </c>
      <c r="E208" s="648" t="s">
        <v>645</v>
      </c>
      <c r="F208" s="655">
        <v>2854383</v>
      </c>
      <c r="G208" s="655">
        <v>0</v>
      </c>
      <c r="H208" s="655">
        <v>88451</v>
      </c>
      <c r="I208" s="655">
        <v>244940</v>
      </c>
      <c r="J208" s="655">
        <v>247178</v>
      </c>
      <c r="K208" s="655">
        <v>26219</v>
      </c>
      <c r="L208" s="655">
        <v>31933</v>
      </c>
      <c r="M208" s="655">
        <v>0</v>
      </c>
      <c r="N208" s="655">
        <v>139347</v>
      </c>
      <c r="O208" s="655">
        <v>0</v>
      </c>
      <c r="P208" s="655">
        <v>23296</v>
      </c>
      <c r="Q208" s="655">
        <v>26197</v>
      </c>
      <c r="R208" s="655">
        <v>2787</v>
      </c>
      <c r="S208" s="655">
        <v>14881</v>
      </c>
      <c r="T208" s="655">
        <v>1776</v>
      </c>
      <c r="U208" s="655">
        <v>54579</v>
      </c>
      <c r="V208" s="655">
        <v>0</v>
      </c>
      <c r="W208" s="655">
        <v>0</v>
      </c>
      <c r="X208" s="655">
        <v>80299</v>
      </c>
      <c r="Y208" s="655">
        <v>0</v>
      </c>
      <c r="Z208" s="655">
        <v>0</v>
      </c>
      <c r="AA208" s="655">
        <v>0</v>
      </c>
      <c r="AB208" s="655">
        <v>0</v>
      </c>
      <c r="AC208" s="655">
        <v>0</v>
      </c>
      <c r="AD208" s="655">
        <v>27768</v>
      </c>
      <c r="AE208" s="655">
        <v>3808498</v>
      </c>
      <c r="AF208" s="655">
        <v>102017</v>
      </c>
      <c r="AG208" s="655">
        <v>235629</v>
      </c>
      <c r="AH208" s="655">
        <v>0</v>
      </c>
      <c r="AI208" s="655">
        <v>673123</v>
      </c>
      <c r="AJ208" s="655">
        <v>2369150</v>
      </c>
      <c r="AK208" s="655">
        <v>7188417</v>
      </c>
      <c r="AL208" s="655">
        <v>4708538</v>
      </c>
      <c r="AM208" s="655">
        <v>2479879</v>
      </c>
    </row>
    <row r="209" spans="1:39" x14ac:dyDescent="0.2">
      <c r="A209" s="649">
        <v>2013</v>
      </c>
      <c r="B209" s="650">
        <v>1</v>
      </c>
      <c r="C209" s="656" t="s">
        <v>282</v>
      </c>
      <c r="D209" s="651">
        <v>4662</v>
      </c>
      <c r="E209" s="648" t="s">
        <v>1195</v>
      </c>
      <c r="F209" s="655">
        <v>6124621</v>
      </c>
      <c r="G209" s="655">
        <v>116677</v>
      </c>
      <c r="H209" s="655">
        <v>45506</v>
      </c>
      <c r="I209" s="655">
        <v>763567</v>
      </c>
      <c r="J209" s="655">
        <v>537868</v>
      </c>
      <c r="K209" s="655">
        <v>59453</v>
      </c>
      <c r="L209" s="655">
        <v>46302</v>
      </c>
      <c r="M209" s="655">
        <v>0</v>
      </c>
      <c r="N209" s="655">
        <v>319168</v>
      </c>
      <c r="O209" s="655">
        <v>3922</v>
      </c>
      <c r="P209" s="655">
        <v>58318</v>
      </c>
      <c r="Q209" s="655">
        <v>65132</v>
      </c>
      <c r="R209" s="655">
        <v>0</v>
      </c>
      <c r="S209" s="655">
        <v>31459</v>
      </c>
      <c r="T209" s="655">
        <v>3340</v>
      </c>
      <c r="U209" s="655">
        <v>273626</v>
      </c>
      <c r="V209" s="655">
        <v>0</v>
      </c>
      <c r="W209" s="655">
        <v>18669</v>
      </c>
      <c r="X209" s="655">
        <v>281978</v>
      </c>
      <c r="Y209" s="655">
        <v>0</v>
      </c>
      <c r="Z209" s="655">
        <v>0</v>
      </c>
      <c r="AA209" s="655">
        <v>0</v>
      </c>
      <c r="AB209" s="655">
        <v>0</v>
      </c>
      <c r="AC209" s="655">
        <v>0</v>
      </c>
      <c r="AD209" s="655">
        <v>70793</v>
      </c>
      <c r="AE209" s="655">
        <v>8678813</v>
      </c>
      <c r="AF209" s="655">
        <v>135023</v>
      </c>
      <c r="AG209" s="655">
        <v>509914</v>
      </c>
      <c r="AH209" s="655">
        <v>0</v>
      </c>
      <c r="AI209" s="655">
        <v>991373</v>
      </c>
      <c r="AJ209" s="655">
        <v>1373147</v>
      </c>
      <c r="AK209" s="655">
        <v>11688270</v>
      </c>
      <c r="AL209" s="655">
        <v>10509456</v>
      </c>
      <c r="AM209" s="655">
        <v>1178814</v>
      </c>
    </row>
    <row r="210" spans="1:39" x14ac:dyDescent="0.2">
      <c r="A210" s="649">
        <v>2013</v>
      </c>
      <c r="B210" s="650">
        <v>15</v>
      </c>
      <c r="C210" s="656" t="s">
        <v>283</v>
      </c>
      <c r="D210" s="651">
        <v>4689</v>
      </c>
      <c r="E210" s="648" t="s">
        <v>1196</v>
      </c>
      <c r="F210" s="655">
        <v>3059910</v>
      </c>
      <c r="G210" s="655">
        <v>152244</v>
      </c>
      <c r="H210" s="655">
        <v>80545</v>
      </c>
      <c r="I210" s="655">
        <v>405188</v>
      </c>
      <c r="J210" s="655">
        <v>285507</v>
      </c>
      <c r="K210" s="655">
        <v>29738</v>
      </c>
      <c r="L210" s="655">
        <v>33858</v>
      </c>
      <c r="M210" s="655">
        <v>0</v>
      </c>
      <c r="N210" s="655">
        <v>150834</v>
      </c>
      <c r="O210" s="655">
        <v>9361</v>
      </c>
      <c r="P210" s="655">
        <v>25276</v>
      </c>
      <c r="Q210" s="655">
        <v>27753</v>
      </c>
      <c r="R210" s="655">
        <v>0</v>
      </c>
      <c r="S210" s="655">
        <v>16004</v>
      </c>
      <c r="T210" s="655">
        <v>1721</v>
      </c>
      <c r="U210" s="655">
        <v>105903</v>
      </c>
      <c r="V210" s="655">
        <v>0</v>
      </c>
      <c r="W210" s="655">
        <v>70812</v>
      </c>
      <c r="X210" s="655">
        <v>115496</v>
      </c>
      <c r="Y210" s="655">
        <v>0</v>
      </c>
      <c r="Z210" s="655">
        <v>0</v>
      </c>
      <c r="AA210" s="655">
        <v>0</v>
      </c>
      <c r="AB210" s="655">
        <v>0</v>
      </c>
      <c r="AC210" s="655">
        <v>0</v>
      </c>
      <c r="AD210" s="655">
        <v>30599</v>
      </c>
      <c r="AE210" s="655">
        <v>4539551</v>
      </c>
      <c r="AF210" s="655">
        <v>0</v>
      </c>
      <c r="AG210" s="655">
        <v>201723</v>
      </c>
      <c r="AH210" s="655">
        <v>0</v>
      </c>
      <c r="AI210" s="655">
        <v>853225</v>
      </c>
      <c r="AJ210" s="655">
        <v>1337719</v>
      </c>
      <c r="AK210" s="655">
        <v>6932218</v>
      </c>
      <c r="AL210" s="655">
        <v>5426933</v>
      </c>
      <c r="AM210" s="655">
        <v>1505285</v>
      </c>
    </row>
    <row r="211" spans="1:39" x14ac:dyDescent="0.2">
      <c r="A211" s="649">
        <v>2013</v>
      </c>
      <c r="B211" s="650">
        <v>11</v>
      </c>
      <c r="C211" s="656" t="s">
        <v>284</v>
      </c>
      <c r="D211" s="651">
        <v>4725</v>
      </c>
      <c r="E211" s="648" t="s">
        <v>1197</v>
      </c>
      <c r="F211" s="655">
        <v>18219636</v>
      </c>
      <c r="G211" s="655">
        <v>211921</v>
      </c>
      <c r="H211" s="655">
        <v>303381</v>
      </c>
      <c r="I211" s="655">
        <v>2466591</v>
      </c>
      <c r="J211" s="655">
        <v>1539305</v>
      </c>
      <c r="K211" s="655">
        <v>170796</v>
      </c>
      <c r="L211" s="655">
        <v>202033</v>
      </c>
      <c r="M211" s="655">
        <v>0</v>
      </c>
      <c r="N211" s="655">
        <v>881776</v>
      </c>
      <c r="O211" s="655">
        <v>22054</v>
      </c>
      <c r="P211" s="655">
        <v>152328</v>
      </c>
      <c r="Q211" s="655">
        <v>167131</v>
      </c>
      <c r="R211" s="655">
        <v>0</v>
      </c>
      <c r="S211" s="655">
        <v>70873</v>
      </c>
      <c r="T211" s="655">
        <v>9100</v>
      </c>
      <c r="U211" s="655">
        <v>193522</v>
      </c>
      <c r="V211" s="655">
        <v>0</v>
      </c>
      <c r="W211" s="655">
        <v>0</v>
      </c>
      <c r="X211" s="655">
        <v>1151526</v>
      </c>
      <c r="Y211" s="655">
        <v>0</v>
      </c>
      <c r="Z211" s="655">
        <v>0</v>
      </c>
      <c r="AA211" s="655">
        <v>0</v>
      </c>
      <c r="AB211" s="655">
        <v>0</v>
      </c>
      <c r="AC211" s="655">
        <v>0</v>
      </c>
      <c r="AD211" s="655">
        <v>189247</v>
      </c>
      <c r="AE211" s="655">
        <v>25572726</v>
      </c>
      <c r="AF211" s="655">
        <v>255043</v>
      </c>
      <c r="AG211" s="655">
        <v>1262378</v>
      </c>
      <c r="AH211" s="655">
        <v>0</v>
      </c>
      <c r="AI211" s="655">
        <v>1953506</v>
      </c>
      <c r="AJ211" s="655">
        <v>8225472</v>
      </c>
      <c r="AK211" s="655">
        <v>37269125</v>
      </c>
      <c r="AL211" s="655">
        <v>30396881</v>
      </c>
      <c r="AM211" s="655">
        <v>6872244</v>
      </c>
    </row>
    <row r="212" spans="1:39" x14ac:dyDescent="0.2">
      <c r="A212" s="649">
        <v>2013</v>
      </c>
      <c r="B212" s="650">
        <v>7</v>
      </c>
      <c r="C212" s="656" t="s">
        <v>285</v>
      </c>
      <c r="D212" s="651">
        <v>4772</v>
      </c>
      <c r="E212" s="648" t="s">
        <v>1479</v>
      </c>
      <c r="F212" s="655">
        <v>5215163</v>
      </c>
      <c r="G212" s="655">
        <v>0</v>
      </c>
      <c r="H212" s="655">
        <v>191641</v>
      </c>
      <c r="I212" s="655">
        <v>722396</v>
      </c>
      <c r="J212" s="655">
        <v>474063</v>
      </c>
      <c r="K212" s="655">
        <v>53155</v>
      </c>
      <c r="L212" s="655">
        <v>47531</v>
      </c>
      <c r="M212" s="655">
        <v>0</v>
      </c>
      <c r="N212" s="655">
        <v>263215</v>
      </c>
      <c r="O212" s="655">
        <v>11749</v>
      </c>
      <c r="P212" s="655">
        <v>44469</v>
      </c>
      <c r="Q212" s="655">
        <v>49716</v>
      </c>
      <c r="R212" s="655">
        <v>0</v>
      </c>
      <c r="S212" s="655">
        <v>33998</v>
      </c>
      <c r="T212" s="655">
        <v>3901</v>
      </c>
      <c r="U212" s="655">
        <v>104043</v>
      </c>
      <c r="V212" s="655">
        <v>0</v>
      </c>
      <c r="W212" s="655">
        <v>100011</v>
      </c>
      <c r="X212" s="655">
        <v>991</v>
      </c>
      <c r="Y212" s="655">
        <v>0</v>
      </c>
      <c r="Z212" s="655">
        <v>0</v>
      </c>
      <c r="AA212" s="655">
        <v>0</v>
      </c>
      <c r="AB212" s="655">
        <v>0</v>
      </c>
      <c r="AC212" s="655">
        <v>0</v>
      </c>
      <c r="AD212" s="655">
        <v>56683</v>
      </c>
      <c r="AE212" s="655">
        <v>7259359</v>
      </c>
      <c r="AF212" s="655">
        <v>102017</v>
      </c>
      <c r="AG212" s="655">
        <v>420238</v>
      </c>
      <c r="AH212" s="655">
        <v>0</v>
      </c>
      <c r="AI212" s="655">
        <v>1590144</v>
      </c>
      <c r="AJ212" s="655">
        <v>1382137</v>
      </c>
      <c r="AK212" s="655">
        <v>10753895</v>
      </c>
      <c r="AL212" s="655">
        <v>9090015</v>
      </c>
      <c r="AM212" s="655">
        <v>1663880</v>
      </c>
    </row>
    <row r="213" spans="1:39" x14ac:dyDescent="0.2">
      <c r="A213" s="649">
        <v>2013</v>
      </c>
      <c r="B213" s="650">
        <v>9</v>
      </c>
      <c r="C213" s="656" t="s">
        <v>286</v>
      </c>
      <c r="D213" s="651">
        <v>4773</v>
      </c>
      <c r="E213" s="648" t="s">
        <v>1198</v>
      </c>
      <c r="F213" s="655">
        <v>3275347</v>
      </c>
      <c r="G213" s="655">
        <v>41130</v>
      </c>
      <c r="H213" s="655">
        <v>63873</v>
      </c>
      <c r="I213" s="655">
        <v>308560</v>
      </c>
      <c r="J213" s="655">
        <v>303957</v>
      </c>
      <c r="K213" s="655">
        <v>34248</v>
      </c>
      <c r="L213" s="655">
        <v>36633</v>
      </c>
      <c r="M213" s="655">
        <v>0</v>
      </c>
      <c r="N213" s="655">
        <v>155055</v>
      </c>
      <c r="O213" s="655">
        <v>4039</v>
      </c>
      <c r="P213" s="655">
        <v>26515</v>
      </c>
      <c r="Q213" s="655">
        <v>28899</v>
      </c>
      <c r="R213" s="655">
        <v>0</v>
      </c>
      <c r="S213" s="655">
        <v>13806</v>
      </c>
      <c r="T213" s="655">
        <v>1622</v>
      </c>
      <c r="U213" s="655">
        <v>142212</v>
      </c>
      <c r="V213" s="655">
        <v>0</v>
      </c>
      <c r="W213" s="655">
        <v>86306</v>
      </c>
      <c r="X213" s="655">
        <v>214926</v>
      </c>
      <c r="Y213" s="655">
        <v>0</v>
      </c>
      <c r="Z213" s="655">
        <v>0</v>
      </c>
      <c r="AA213" s="655">
        <v>0</v>
      </c>
      <c r="AB213" s="655">
        <v>0</v>
      </c>
      <c r="AC213" s="655">
        <v>0</v>
      </c>
      <c r="AD213" s="655">
        <v>37638</v>
      </c>
      <c r="AE213" s="655">
        <v>4699490</v>
      </c>
      <c r="AF213" s="655">
        <v>60010</v>
      </c>
      <c r="AG213" s="655">
        <v>255634</v>
      </c>
      <c r="AH213" s="655">
        <v>0</v>
      </c>
      <c r="AI213" s="655">
        <v>2666882</v>
      </c>
      <c r="AJ213" s="655">
        <v>1624238</v>
      </c>
      <c r="AK213" s="655">
        <v>9306254</v>
      </c>
      <c r="AL213" s="655">
        <v>7703442</v>
      </c>
      <c r="AM213" s="655">
        <v>1602812</v>
      </c>
    </row>
    <row r="214" spans="1:39" x14ac:dyDescent="0.2">
      <c r="A214" s="649">
        <v>2013</v>
      </c>
      <c r="B214" s="650">
        <v>1</v>
      </c>
      <c r="C214" s="656" t="s">
        <v>287</v>
      </c>
      <c r="D214" s="651">
        <v>4774</v>
      </c>
      <c r="E214" s="648" t="s">
        <v>1199</v>
      </c>
      <c r="F214" s="655">
        <v>5186181</v>
      </c>
      <c r="G214" s="655">
        <v>140146</v>
      </c>
      <c r="H214" s="655">
        <v>49143</v>
      </c>
      <c r="I214" s="655">
        <v>619464</v>
      </c>
      <c r="J214" s="655">
        <v>452835</v>
      </c>
      <c r="K214" s="655">
        <v>49390</v>
      </c>
      <c r="L214" s="655">
        <v>47177</v>
      </c>
      <c r="M214" s="655">
        <v>0</v>
      </c>
      <c r="N214" s="655">
        <v>263648</v>
      </c>
      <c r="O214" s="655">
        <v>21307</v>
      </c>
      <c r="P214" s="655">
        <v>41924</v>
      </c>
      <c r="Q214" s="655">
        <v>46822</v>
      </c>
      <c r="R214" s="655">
        <v>0</v>
      </c>
      <c r="S214" s="655">
        <v>26426</v>
      </c>
      <c r="T214" s="655">
        <v>2806</v>
      </c>
      <c r="U214" s="655">
        <v>162946</v>
      </c>
      <c r="V214" s="655">
        <v>0</v>
      </c>
      <c r="W214" s="655">
        <v>55471</v>
      </c>
      <c r="X214" s="655">
        <v>315974</v>
      </c>
      <c r="Y214" s="655">
        <v>0</v>
      </c>
      <c r="Z214" s="655">
        <v>0</v>
      </c>
      <c r="AA214" s="655">
        <v>0</v>
      </c>
      <c r="AB214" s="655">
        <v>0</v>
      </c>
      <c r="AC214" s="655">
        <v>0</v>
      </c>
      <c r="AD214" s="655">
        <v>64418</v>
      </c>
      <c r="AE214" s="655">
        <v>7417242</v>
      </c>
      <c r="AF214" s="655">
        <v>132022</v>
      </c>
      <c r="AG214" s="655">
        <v>398143</v>
      </c>
      <c r="AH214" s="655">
        <v>0</v>
      </c>
      <c r="AI214" s="655">
        <v>538120</v>
      </c>
      <c r="AJ214" s="655">
        <v>2523551</v>
      </c>
      <c r="AK214" s="655">
        <v>11009078</v>
      </c>
      <c r="AL214" s="655">
        <v>8567464</v>
      </c>
      <c r="AM214" s="655">
        <v>2441614</v>
      </c>
    </row>
    <row r="215" spans="1:39" x14ac:dyDescent="0.2">
      <c r="A215" s="649">
        <v>2013</v>
      </c>
      <c r="B215" s="650">
        <v>5</v>
      </c>
      <c r="C215" s="656" t="s">
        <v>288</v>
      </c>
      <c r="D215" s="651">
        <v>4775</v>
      </c>
      <c r="E215" s="648" t="s">
        <v>1200</v>
      </c>
      <c r="F215" s="655">
        <v>1397114</v>
      </c>
      <c r="G215" s="655">
        <v>199128</v>
      </c>
      <c r="H215" s="655">
        <v>60494</v>
      </c>
      <c r="I215" s="655">
        <v>172665</v>
      </c>
      <c r="J215" s="655">
        <v>154871</v>
      </c>
      <c r="K215" s="655">
        <v>16491</v>
      </c>
      <c r="L215" s="655">
        <v>15128</v>
      </c>
      <c r="M215" s="655">
        <v>0</v>
      </c>
      <c r="N215" s="655">
        <v>69652</v>
      </c>
      <c r="O215" s="655">
        <v>13106</v>
      </c>
      <c r="P215" s="655">
        <v>11178</v>
      </c>
      <c r="Q215" s="655">
        <v>12570</v>
      </c>
      <c r="R215" s="655">
        <v>1394</v>
      </c>
      <c r="S215" s="655">
        <v>8609</v>
      </c>
      <c r="T215" s="655">
        <v>1028</v>
      </c>
      <c r="U215" s="655">
        <v>21703</v>
      </c>
      <c r="V215" s="655">
        <v>0</v>
      </c>
      <c r="W215" s="655">
        <v>47513</v>
      </c>
      <c r="X215" s="655">
        <v>0</v>
      </c>
      <c r="Y215" s="655">
        <v>38464</v>
      </c>
      <c r="Z215" s="655">
        <v>0</v>
      </c>
      <c r="AA215" s="655">
        <v>0</v>
      </c>
      <c r="AB215" s="655">
        <v>0</v>
      </c>
      <c r="AC215" s="655">
        <v>0</v>
      </c>
      <c r="AD215" s="655">
        <v>17862</v>
      </c>
      <c r="AE215" s="655">
        <v>2146318</v>
      </c>
      <c r="AF215" s="655">
        <v>24004</v>
      </c>
      <c r="AG215" s="655">
        <v>145066</v>
      </c>
      <c r="AH215" s="655">
        <v>0</v>
      </c>
      <c r="AI215" s="655">
        <v>346118</v>
      </c>
      <c r="AJ215" s="655">
        <v>227921</v>
      </c>
      <c r="AK215" s="655">
        <v>2889427</v>
      </c>
      <c r="AL215" s="655">
        <v>2433815</v>
      </c>
      <c r="AM215" s="655">
        <v>455612</v>
      </c>
    </row>
    <row r="216" spans="1:39" x14ac:dyDescent="0.2">
      <c r="A216" s="649">
        <v>2013</v>
      </c>
      <c r="B216" s="650">
        <v>15</v>
      </c>
      <c r="C216" s="656" t="s">
        <v>289</v>
      </c>
      <c r="D216" s="651">
        <v>4776</v>
      </c>
      <c r="E216" s="648" t="s">
        <v>1201</v>
      </c>
      <c r="F216" s="655">
        <v>3225864</v>
      </c>
      <c r="G216" s="655">
        <v>56697</v>
      </c>
      <c r="H216" s="655">
        <v>30303</v>
      </c>
      <c r="I216" s="655">
        <v>359163</v>
      </c>
      <c r="J216" s="655">
        <v>288176</v>
      </c>
      <c r="K216" s="655">
        <v>30717</v>
      </c>
      <c r="L216" s="655">
        <v>36325</v>
      </c>
      <c r="M216" s="655">
        <v>0</v>
      </c>
      <c r="N216" s="655">
        <v>151829</v>
      </c>
      <c r="O216" s="655">
        <v>1802</v>
      </c>
      <c r="P216" s="655">
        <v>27681</v>
      </c>
      <c r="Q216" s="655">
        <v>30394</v>
      </c>
      <c r="R216" s="655">
        <v>0</v>
      </c>
      <c r="S216" s="655">
        <v>15269</v>
      </c>
      <c r="T216" s="655">
        <v>1641</v>
      </c>
      <c r="U216" s="655">
        <v>123750</v>
      </c>
      <c r="V216" s="655">
        <v>0</v>
      </c>
      <c r="W216" s="655">
        <v>76483</v>
      </c>
      <c r="X216" s="655">
        <v>306287</v>
      </c>
      <c r="Y216" s="655">
        <v>0</v>
      </c>
      <c r="Z216" s="655">
        <v>0</v>
      </c>
      <c r="AA216" s="655">
        <v>0</v>
      </c>
      <c r="AB216" s="655">
        <v>0</v>
      </c>
      <c r="AC216" s="655">
        <v>0</v>
      </c>
      <c r="AD216" s="655">
        <v>30977</v>
      </c>
      <c r="AE216" s="655">
        <v>4731404</v>
      </c>
      <c r="AF216" s="655">
        <v>108018</v>
      </c>
      <c r="AG216" s="655">
        <v>0</v>
      </c>
      <c r="AH216" s="655">
        <v>0</v>
      </c>
      <c r="AI216" s="655">
        <v>634414</v>
      </c>
      <c r="AJ216" s="655">
        <v>714887</v>
      </c>
      <c r="AK216" s="655">
        <v>6188723</v>
      </c>
      <c r="AL216" s="655">
        <v>5540904</v>
      </c>
      <c r="AM216" s="655">
        <v>647819</v>
      </c>
    </row>
    <row r="217" spans="1:39" x14ac:dyDescent="0.2">
      <c r="A217" s="649">
        <v>2013</v>
      </c>
      <c r="B217" s="650">
        <v>10</v>
      </c>
      <c r="C217" s="656" t="s">
        <v>290</v>
      </c>
      <c r="D217" s="651">
        <v>4777</v>
      </c>
      <c r="E217" s="648" t="s">
        <v>1237</v>
      </c>
      <c r="F217" s="655">
        <v>4285215</v>
      </c>
      <c r="G217" s="655">
        <v>206477</v>
      </c>
      <c r="H217" s="655">
        <v>73054</v>
      </c>
      <c r="I217" s="655">
        <v>398937</v>
      </c>
      <c r="J217" s="655">
        <v>373343</v>
      </c>
      <c r="K217" s="655">
        <v>38460</v>
      </c>
      <c r="L217" s="655">
        <v>37747</v>
      </c>
      <c r="M217" s="655">
        <v>0</v>
      </c>
      <c r="N217" s="655">
        <v>203548</v>
      </c>
      <c r="O217" s="655">
        <v>12221</v>
      </c>
      <c r="P217" s="655">
        <v>34910</v>
      </c>
      <c r="Q217" s="655">
        <v>38337</v>
      </c>
      <c r="R217" s="655">
        <v>0</v>
      </c>
      <c r="S217" s="655">
        <v>19545</v>
      </c>
      <c r="T217" s="655">
        <v>2275</v>
      </c>
      <c r="U217" s="655">
        <v>53625</v>
      </c>
      <c r="V217" s="655">
        <v>0</v>
      </c>
      <c r="W217" s="655">
        <v>45299</v>
      </c>
      <c r="X217" s="655">
        <v>50262</v>
      </c>
      <c r="Y217" s="655">
        <v>0</v>
      </c>
      <c r="Z217" s="655">
        <v>0</v>
      </c>
      <c r="AA217" s="655">
        <v>0</v>
      </c>
      <c r="AB217" s="655">
        <v>0</v>
      </c>
      <c r="AC217" s="655">
        <v>0</v>
      </c>
      <c r="AD217" s="655">
        <v>42473</v>
      </c>
      <c r="AE217" s="655">
        <v>5830782</v>
      </c>
      <c r="AF217" s="655">
        <v>96016</v>
      </c>
      <c r="AG217" s="655">
        <v>319135</v>
      </c>
      <c r="AH217" s="655">
        <v>0</v>
      </c>
      <c r="AI217" s="655">
        <v>540829</v>
      </c>
      <c r="AJ217" s="655">
        <v>1642879</v>
      </c>
      <c r="AK217" s="655">
        <v>8429641</v>
      </c>
      <c r="AL217" s="655">
        <v>7240759</v>
      </c>
      <c r="AM217" s="655">
        <v>1188882</v>
      </c>
    </row>
    <row r="218" spans="1:39" x14ac:dyDescent="0.2">
      <c r="A218" s="649">
        <v>2013</v>
      </c>
      <c r="B218" s="650">
        <v>5</v>
      </c>
      <c r="C218" s="656" t="s">
        <v>291</v>
      </c>
      <c r="D218" s="651">
        <v>4778</v>
      </c>
      <c r="E218" s="648" t="s">
        <v>1238</v>
      </c>
      <c r="F218" s="655">
        <v>1802343</v>
      </c>
      <c r="G218" s="655">
        <v>20077</v>
      </c>
      <c r="H218" s="655">
        <v>14081</v>
      </c>
      <c r="I218" s="655">
        <v>330581</v>
      </c>
      <c r="J218" s="655">
        <v>159748</v>
      </c>
      <c r="K218" s="655">
        <v>17844</v>
      </c>
      <c r="L218" s="655">
        <v>15513</v>
      </c>
      <c r="M218" s="655">
        <v>0</v>
      </c>
      <c r="N218" s="655">
        <v>96723</v>
      </c>
      <c r="O218" s="655">
        <v>12298</v>
      </c>
      <c r="P218" s="655">
        <v>17212</v>
      </c>
      <c r="Q218" s="655">
        <v>19356</v>
      </c>
      <c r="R218" s="655">
        <v>1933</v>
      </c>
      <c r="S218" s="655">
        <v>10329</v>
      </c>
      <c r="T218" s="655">
        <v>1233</v>
      </c>
      <c r="U218" s="655">
        <v>90117</v>
      </c>
      <c r="V218" s="655">
        <v>0</v>
      </c>
      <c r="W218" s="655">
        <v>49805</v>
      </c>
      <c r="X218" s="655">
        <v>309359</v>
      </c>
      <c r="Y218" s="655">
        <v>0</v>
      </c>
      <c r="Z218" s="655">
        <v>0</v>
      </c>
      <c r="AA218" s="655">
        <v>0</v>
      </c>
      <c r="AB218" s="655">
        <v>0</v>
      </c>
      <c r="AC218" s="655">
        <v>0</v>
      </c>
      <c r="AD218" s="655">
        <v>26064</v>
      </c>
      <c r="AE218" s="655">
        <v>2942488</v>
      </c>
      <c r="AF218" s="655">
        <v>60010</v>
      </c>
      <c r="AG218" s="655">
        <v>162104</v>
      </c>
      <c r="AH218" s="655">
        <v>0</v>
      </c>
      <c r="AI218" s="655">
        <v>1093290</v>
      </c>
      <c r="AJ218" s="655">
        <v>67087</v>
      </c>
      <c r="AK218" s="655">
        <v>4324979</v>
      </c>
      <c r="AL218" s="655">
        <v>4351708</v>
      </c>
      <c r="AM218" s="655">
        <v>-26729</v>
      </c>
    </row>
    <row r="219" spans="1:39" x14ac:dyDescent="0.2">
      <c r="A219" s="649">
        <v>2013</v>
      </c>
      <c r="B219" s="650">
        <v>11</v>
      </c>
      <c r="C219" s="656" t="s">
        <v>292</v>
      </c>
      <c r="D219" s="651">
        <v>4779</v>
      </c>
      <c r="E219" s="648" t="s">
        <v>1239</v>
      </c>
      <c r="F219" s="655">
        <v>7786298</v>
      </c>
      <c r="G219" s="655">
        <v>0</v>
      </c>
      <c r="H219" s="655">
        <v>82256</v>
      </c>
      <c r="I219" s="655">
        <v>502224</v>
      </c>
      <c r="J219" s="655">
        <v>618959</v>
      </c>
      <c r="K219" s="655">
        <v>63590</v>
      </c>
      <c r="L219" s="655">
        <v>61696</v>
      </c>
      <c r="M219" s="655">
        <v>0</v>
      </c>
      <c r="N219" s="655">
        <v>353308</v>
      </c>
      <c r="O219" s="655">
        <v>0</v>
      </c>
      <c r="P219" s="655">
        <v>64409</v>
      </c>
      <c r="Q219" s="655">
        <v>70668</v>
      </c>
      <c r="R219" s="655">
        <v>0</v>
      </c>
      <c r="S219" s="655">
        <v>28397</v>
      </c>
      <c r="T219" s="655">
        <v>3646</v>
      </c>
      <c r="U219" s="655">
        <v>98912</v>
      </c>
      <c r="V219" s="655">
        <v>0</v>
      </c>
      <c r="W219" s="655">
        <v>379863</v>
      </c>
      <c r="X219" s="655">
        <v>277554</v>
      </c>
      <c r="Y219" s="655">
        <v>0</v>
      </c>
      <c r="Z219" s="655">
        <v>0</v>
      </c>
      <c r="AA219" s="655">
        <v>0</v>
      </c>
      <c r="AB219" s="655">
        <v>0</v>
      </c>
      <c r="AC219" s="655">
        <v>0</v>
      </c>
      <c r="AD219" s="655">
        <v>48876</v>
      </c>
      <c r="AE219" s="655">
        <v>10342904</v>
      </c>
      <c r="AF219" s="655">
        <v>264044</v>
      </c>
      <c r="AG219" s="655">
        <v>510470</v>
      </c>
      <c r="AH219" s="655">
        <v>0</v>
      </c>
      <c r="AI219" s="655">
        <v>1202779</v>
      </c>
      <c r="AJ219" s="655">
        <v>2432311</v>
      </c>
      <c r="AK219" s="655">
        <v>14752508</v>
      </c>
      <c r="AL219" s="655">
        <v>12250374</v>
      </c>
      <c r="AM219" s="655">
        <v>2502134</v>
      </c>
    </row>
    <row r="220" spans="1:39" x14ac:dyDescent="0.2">
      <c r="A220" s="649">
        <v>2013</v>
      </c>
      <c r="B220" s="650">
        <v>9</v>
      </c>
      <c r="C220" s="656" t="s">
        <v>293</v>
      </c>
      <c r="D220" s="651">
        <v>4784</v>
      </c>
      <c r="E220" s="648" t="s">
        <v>1243</v>
      </c>
      <c r="F220" s="655">
        <v>17922587</v>
      </c>
      <c r="G220" s="655">
        <v>0</v>
      </c>
      <c r="H220" s="655">
        <v>344217</v>
      </c>
      <c r="I220" s="655">
        <v>1659156</v>
      </c>
      <c r="J220" s="655">
        <v>1516805</v>
      </c>
      <c r="K220" s="655">
        <v>169848</v>
      </c>
      <c r="L220" s="655">
        <v>161067</v>
      </c>
      <c r="M220" s="655">
        <v>0</v>
      </c>
      <c r="N220" s="655">
        <v>864129</v>
      </c>
      <c r="O220" s="655">
        <v>0</v>
      </c>
      <c r="P220" s="655">
        <v>148228</v>
      </c>
      <c r="Q220" s="655">
        <v>161560</v>
      </c>
      <c r="R220" s="655">
        <v>0</v>
      </c>
      <c r="S220" s="655">
        <v>76943</v>
      </c>
      <c r="T220" s="655">
        <v>9039</v>
      </c>
      <c r="U220" s="655">
        <v>879219</v>
      </c>
      <c r="V220" s="655">
        <v>0</v>
      </c>
      <c r="W220" s="655">
        <v>94128</v>
      </c>
      <c r="X220" s="655">
        <v>668758</v>
      </c>
      <c r="Y220" s="655">
        <v>0</v>
      </c>
      <c r="Z220" s="655">
        <v>0</v>
      </c>
      <c r="AA220" s="655">
        <v>0</v>
      </c>
      <c r="AB220" s="655">
        <v>0</v>
      </c>
      <c r="AC220" s="655">
        <v>0</v>
      </c>
      <c r="AD220" s="655">
        <v>159764</v>
      </c>
      <c r="AE220" s="655">
        <v>24515920</v>
      </c>
      <c r="AF220" s="655">
        <v>366061</v>
      </c>
      <c r="AG220" s="655">
        <v>1346883</v>
      </c>
      <c r="AH220" s="655">
        <v>0</v>
      </c>
      <c r="AI220" s="655">
        <v>2254363</v>
      </c>
      <c r="AJ220" s="655">
        <v>4494310</v>
      </c>
      <c r="AK220" s="655">
        <v>32977537</v>
      </c>
      <c r="AL220" s="655">
        <v>28821739</v>
      </c>
      <c r="AM220" s="655">
        <v>4155798</v>
      </c>
    </row>
    <row r="221" spans="1:39" x14ac:dyDescent="0.2">
      <c r="A221" s="649">
        <v>2013</v>
      </c>
      <c r="B221" s="650">
        <v>7</v>
      </c>
      <c r="C221" s="656" t="s">
        <v>294</v>
      </c>
      <c r="D221" s="651">
        <v>4785</v>
      </c>
      <c r="E221" s="648" t="s">
        <v>1244</v>
      </c>
      <c r="F221" s="655">
        <v>3129522</v>
      </c>
      <c r="G221" s="655">
        <v>6575</v>
      </c>
      <c r="H221" s="655">
        <v>47048</v>
      </c>
      <c r="I221" s="655">
        <v>364021</v>
      </c>
      <c r="J221" s="655">
        <v>302293</v>
      </c>
      <c r="K221" s="655">
        <v>32114</v>
      </c>
      <c r="L221" s="655">
        <v>29840</v>
      </c>
      <c r="M221" s="655">
        <v>0</v>
      </c>
      <c r="N221" s="655">
        <v>155542</v>
      </c>
      <c r="O221" s="655">
        <v>4137</v>
      </c>
      <c r="P221" s="655">
        <v>25792</v>
      </c>
      <c r="Q221" s="655">
        <v>28835</v>
      </c>
      <c r="R221" s="655">
        <v>0</v>
      </c>
      <c r="S221" s="655">
        <v>20232</v>
      </c>
      <c r="T221" s="655">
        <v>2321</v>
      </c>
      <c r="U221" s="655">
        <v>120336</v>
      </c>
      <c r="V221" s="655">
        <v>0</v>
      </c>
      <c r="W221" s="655">
        <v>17862</v>
      </c>
      <c r="X221" s="655">
        <v>68110</v>
      </c>
      <c r="Y221" s="655">
        <v>0</v>
      </c>
      <c r="Z221" s="655">
        <v>0</v>
      </c>
      <c r="AA221" s="655">
        <v>0</v>
      </c>
      <c r="AB221" s="655">
        <v>0</v>
      </c>
      <c r="AC221" s="655">
        <v>0</v>
      </c>
      <c r="AD221" s="655">
        <v>29110</v>
      </c>
      <c r="AE221" s="655">
        <v>4325470</v>
      </c>
      <c r="AF221" s="655">
        <v>0</v>
      </c>
      <c r="AG221" s="655">
        <v>249038</v>
      </c>
      <c r="AH221" s="655">
        <v>0</v>
      </c>
      <c r="AI221" s="655">
        <v>590678</v>
      </c>
      <c r="AJ221" s="655">
        <v>1218890</v>
      </c>
      <c r="AK221" s="655">
        <v>6384076</v>
      </c>
      <c r="AL221" s="655">
        <v>5303244</v>
      </c>
      <c r="AM221" s="655">
        <v>1080832</v>
      </c>
    </row>
    <row r="222" spans="1:39" x14ac:dyDescent="0.2">
      <c r="A222" s="649">
        <v>2013</v>
      </c>
      <c r="B222" s="650">
        <v>1</v>
      </c>
      <c r="C222" s="656" t="s">
        <v>295</v>
      </c>
      <c r="D222" s="651">
        <v>4787</v>
      </c>
      <c r="E222" s="648" t="s">
        <v>1245</v>
      </c>
      <c r="F222" s="655">
        <v>1765212</v>
      </c>
      <c r="G222" s="655">
        <v>0</v>
      </c>
      <c r="H222" s="655">
        <v>12925</v>
      </c>
      <c r="I222" s="655">
        <v>246946</v>
      </c>
      <c r="J222" s="655">
        <v>139437</v>
      </c>
      <c r="K222" s="655">
        <v>12369</v>
      </c>
      <c r="L222" s="655">
        <v>18126</v>
      </c>
      <c r="M222" s="655">
        <v>0</v>
      </c>
      <c r="N222" s="655">
        <v>91601</v>
      </c>
      <c r="O222" s="655">
        <v>5147</v>
      </c>
      <c r="P222" s="655">
        <v>14468</v>
      </c>
      <c r="Q222" s="655">
        <v>16159</v>
      </c>
      <c r="R222" s="655">
        <v>0</v>
      </c>
      <c r="S222" s="655">
        <v>8987</v>
      </c>
      <c r="T222" s="655">
        <v>955</v>
      </c>
      <c r="U222" s="655">
        <v>50591</v>
      </c>
      <c r="V222" s="655">
        <v>0</v>
      </c>
      <c r="W222" s="655">
        <v>120460</v>
      </c>
      <c r="X222" s="655">
        <v>272100</v>
      </c>
      <c r="Y222" s="655">
        <v>0</v>
      </c>
      <c r="Z222" s="655">
        <v>0</v>
      </c>
      <c r="AA222" s="655">
        <v>0</v>
      </c>
      <c r="AB222" s="655">
        <v>0</v>
      </c>
      <c r="AC222" s="655">
        <v>0</v>
      </c>
      <c r="AD222" s="655">
        <v>21927</v>
      </c>
      <c r="AE222" s="655">
        <v>2753556</v>
      </c>
      <c r="AF222" s="655">
        <v>39007</v>
      </c>
      <c r="AG222" s="655">
        <v>144094</v>
      </c>
      <c r="AH222" s="655">
        <v>0</v>
      </c>
      <c r="AI222" s="655">
        <v>399508</v>
      </c>
      <c r="AJ222" s="655">
        <v>623330</v>
      </c>
      <c r="AK222" s="655">
        <v>3959495</v>
      </c>
      <c r="AL222" s="655">
        <v>3529079</v>
      </c>
      <c r="AM222" s="655">
        <v>430416</v>
      </c>
    </row>
    <row r="223" spans="1:39" x14ac:dyDescent="0.2">
      <c r="A223" s="649">
        <v>2013</v>
      </c>
      <c r="B223" s="650">
        <v>7</v>
      </c>
      <c r="C223" s="656" t="s">
        <v>296</v>
      </c>
      <c r="D223" s="651">
        <v>4788</v>
      </c>
      <c r="E223" s="648" t="s">
        <v>1246</v>
      </c>
      <c r="F223" s="655">
        <v>3057986</v>
      </c>
      <c r="G223" s="655">
        <v>79734</v>
      </c>
      <c r="H223" s="655">
        <v>21114</v>
      </c>
      <c r="I223" s="655">
        <v>343909</v>
      </c>
      <c r="J223" s="655">
        <v>259477</v>
      </c>
      <c r="K223" s="655">
        <v>29774</v>
      </c>
      <c r="L223" s="655">
        <v>24692</v>
      </c>
      <c r="M223" s="655">
        <v>0</v>
      </c>
      <c r="N223" s="655">
        <v>148346</v>
      </c>
      <c r="O223" s="655">
        <v>7228</v>
      </c>
      <c r="P223" s="655">
        <v>24656</v>
      </c>
      <c r="Q223" s="655">
        <v>27565</v>
      </c>
      <c r="R223" s="655">
        <v>0</v>
      </c>
      <c r="S223" s="655">
        <v>19617</v>
      </c>
      <c r="T223" s="655">
        <v>2252</v>
      </c>
      <c r="U223" s="655">
        <v>29249</v>
      </c>
      <c r="V223" s="655">
        <v>0</v>
      </c>
      <c r="W223" s="655">
        <v>23605</v>
      </c>
      <c r="X223" s="655">
        <v>215100</v>
      </c>
      <c r="Y223" s="655">
        <v>0</v>
      </c>
      <c r="Z223" s="655">
        <v>0</v>
      </c>
      <c r="AA223" s="655">
        <v>0</v>
      </c>
      <c r="AB223" s="655">
        <v>0</v>
      </c>
      <c r="AC223" s="655">
        <v>0</v>
      </c>
      <c r="AD223" s="655">
        <v>30650</v>
      </c>
      <c r="AE223" s="655">
        <v>4283654</v>
      </c>
      <c r="AF223" s="655">
        <v>0</v>
      </c>
      <c r="AG223" s="655">
        <v>260996</v>
      </c>
      <c r="AH223" s="655">
        <v>0</v>
      </c>
      <c r="AI223" s="655">
        <v>753986</v>
      </c>
      <c r="AJ223" s="655">
        <v>1956577</v>
      </c>
      <c r="AK223" s="655">
        <v>7255213</v>
      </c>
      <c r="AL223" s="655">
        <v>5388851</v>
      </c>
      <c r="AM223" s="655">
        <v>1866362</v>
      </c>
    </row>
    <row r="224" spans="1:39" x14ac:dyDescent="0.2">
      <c r="A224" s="649">
        <v>2013</v>
      </c>
      <c r="B224" s="650">
        <v>11</v>
      </c>
      <c r="C224" s="656" t="s">
        <v>297</v>
      </c>
      <c r="D224" s="651">
        <v>4797</v>
      </c>
      <c r="E224" s="648" t="s">
        <v>1247</v>
      </c>
      <c r="F224" s="655">
        <v>14317186</v>
      </c>
      <c r="G224" s="655">
        <v>0</v>
      </c>
      <c r="H224" s="655">
        <v>83126</v>
      </c>
      <c r="I224" s="655">
        <v>1606528</v>
      </c>
      <c r="J224" s="655">
        <v>1247272</v>
      </c>
      <c r="K224" s="655">
        <v>129334</v>
      </c>
      <c r="L224" s="655">
        <v>127449</v>
      </c>
      <c r="M224" s="655">
        <v>0</v>
      </c>
      <c r="N224" s="655">
        <v>678768</v>
      </c>
      <c r="O224" s="655">
        <v>0</v>
      </c>
      <c r="P224" s="655">
        <v>119903</v>
      </c>
      <c r="Q224" s="655">
        <v>131556</v>
      </c>
      <c r="R224" s="655">
        <v>0</v>
      </c>
      <c r="S224" s="655">
        <v>54556</v>
      </c>
      <c r="T224" s="655">
        <v>7005</v>
      </c>
      <c r="U224" s="655">
        <v>496361</v>
      </c>
      <c r="V224" s="655">
        <v>8468</v>
      </c>
      <c r="W224" s="655">
        <v>290568</v>
      </c>
      <c r="X224" s="655">
        <v>369034</v>
      </c>
      <c r="Y224" s="655">
        <v>0</v>
      </c>
      <c r="Z224" s="655">
        <v>0</v>
      </c>
      <c r="AA224" s="655">
        <v>0</v>
      </c>
      <c r="AB224" s="655">
        <v>0</v>
      </c>
      <c r="AC224" s="655">
        <v>0</v>
      </c>
      <c r="AD224" s="655">
        <v>116597</v>
      </c>
      <c r="AE224" s="655">
        <v>19550517</v>
      </c>
      <c r="AF224" s="655">
        <v>303051</v>
      </c>
      <c r="AG224" s="655">
        <v>849868</v>
      </c>
      <c r="AH224" s="655">
        <v>0</v>
      </c>
      <c r="AI224" s="655">
        <v>2127611</v>
      </c>
      <c r="AJ224" s="655">
        <v>11517971</v>
      </c>
      <c r="AK224" s="655">
        <v>34349018</v>
      </c>
      <c r="AL224" s="655">
        <v>22187352</v>
      </c>
      <c r="AM224" s="655">
        <v>12161666</v>
      </c>
    </row>
    <row r="225" spans="1:39" x14ac:dyDescent="0.2">
      <c r="A225" s="649">
        <v>2013</v>
      </c>
      <c r="B225" s="650">
        <v>13</v>
      </c>
      <c r="C225" s="656" t="s">
        <v>298</v>
      </c>
      <c r="D225" s="651">
        <v>5510</v>
      </c>
      <c r="E225" s="648" t="s">
        <v>1248</v>
      </c>
      <c r="F225" s="655">
        <v>4084881</v>
      </c>
      <c r="G225" s="655">
        <v>0</v>
      </c>
      <c r="H225" s="655">
        <v>231135</v>
      </c>
      <c r="I225" s="655">
        <v>408608</v>
      </c>
      <c r="J225" s="655">
        <v>353488</v>
      </c>
      <c r="K225" s="655">
        <v>38065</v>
      </c>
      <c r="L225" s="655">
        <v>35049</v>
      </c>
      <c r="M225" s="655">
        <v>0</v>
      </c>
      <c r="N225" s="655">
        <v>197576</v>
      </c>
      <c r="O225" s="655">
        <v>0</v>
      </c>
      <c r="P225" s="655">
        <v>33444</v>
      </c>
      <c r="Q225" s="655">
        <v>36992</v>
      </c>
      <c r="R225" s="655">
        <v>0</v>
      </c>
      <c r="S225" s="655">
        <v>20292</v>
      </c>
      <c r="T225" s="655">
        <v>2142</v>
      </c>
      <c r="U225" s="655">
        <v>91360</v>
      </c>
      <c r="V225" s="655">
        <v>0</v>
      </c>
      <c r="W225" s="655">
        <v>95448</v>
      </c>
      <c r="X225" s="655">
        <v>186902</v>
      </c>
      <c r="Y225" s="655">
        <v>0</v>
      </c>
      <c r="Z225" s="655">
        <v>0</v>
      </c>
      <c r="AA225" s="655">
        <v>0</v>
      </c>
      <c r="AB225" s="655">
        <v>0</v>
      </c>
      <c r="AC225" s="655">
        <v>0</v>
      </c>
      <c r="AD225" s="655">
        <v>40524</v>
      </c>
      <c r="AE225" s="655">
        <v>5774858</v>
      </c>
      <c r="AF225" s="655">
        <v>114019</v>
      </c>
      <c r="AG225" s="655">
        <v>345213</v>
      </c>
      <c r="AH225" s="655">
        <v>0</v>
      </c>
      <c r="AI225" s="655">
        <v>637956</v>
      </c>
      <c r="AJ225" s="655">
        <v>988862</v>
      </c>
      <c r="AK225" s="655">
        <v>7860908</v>
      </c>
      <c r="AL225" s="655">
        <v>6739642</v>
      </c>
      <c r="AM225" s="655">
        <v>1121266</v>
      </c>
    </row>
    <row r="226" spans="1:39" x14ac:dyDescent="0.2">
      <c r="A226" s="649">
        <v>2013</v>
      </c>
      <c r="B226" s="650">
        <v>5</v>
      </c>
      <c r="C226" s="656" t="s">
        <v>299</v>
      </c>
      <c r="D226" s="651">
        <v>4860</v>
      </c>
      <c r="E226" s="648" t="s">
        <v>1249</v>
      </c>
      <c r="F226" s="655">
        <v>2022337</v>
      </c>
      <c r="G226" s="655">
        <v>9027</v>
      </c>
      <c r="H226" s="655">
        <v>124689</v>
      </c>
      <c r="I226" s="655">
        <v>130162</v>
      </c>
      <c r="J226" s="655">
        <v>185906</v>
      </c>
      <c r="K226" s="655">
        <v>22751</v>
      </c>
      <c r="L226" s="655">
        <v>16648</v>
      </c>
      <c r="M226" s="655">
        <v>0</v>
      </c>
      <c r="N226" s="655">
        <v>98213</v>
      </c>
      <c r="O226" s="655">
        <v>4076</v>
      </c>
      <c r="P226" s="655">
        <v>16668</v>
      </c>
      <c r="Q226" s="655">
        <v>18744</v>
      </c>
      <c r="R226" s="655">
        <v>1963</v>
      </c>
      <c r="S226" s="655">
        <v>10488</v>
      </c>
      <c r="T226" s="655">
        <v>1252</v>
      </c>
      <c r="U226" s="655">
        <v>21777</v>
      </c>
      <c r="V226" s="655">
        <v>0</v>
      </c>
      <c r="W226" s="655">
        <v>47064</v>
      </c>
      <c r="X226" s="655">
        <v>46839</v>
      </c>
      <c r="Y226" s="655">
        <v>0</v>
      </c>
      <c r="Z226" s="655">
        <v>0</v>
      </c>
      <c r="AA226" s="655">
        <v>0</v>
      </c>
      <c r="AB226" s="655">
        <v>0</v>
      </c>
      <c r="AC226" s="655">
        <v>0</v>
      </c>
      <c r="AD226" s="655">
        <v>24576</v>
      </c>
      <c r="AE226" s="655">
        <v>2754028</v>
      </c>
      <c r="AF226" s="655">
        <v>51009</v>
      </c>
      <c r="AG226" s="655">
        <v>165231</v>
      </c>
      <c r="AH226" s="655">
        <v>0</v>
      </c>
      <c r="AI226" s="655">
        <v>1397696</v>
      </c>
      <c r="AJ226" s="655">
        <v>1179967</v>
      </c>
      <c r="AK226" s="655">
        <v>5547931</v>
      </c>
      <c r="AL226" s="655">
        <v>4448446</v>
      </c>
      <c r="AM226" s="655">
        <v>1099485</v>
      </c>
    </row>
    <row r="227" spans="1:39" x14ac:dyDescent="0.2">
      <c r="A227" s="649">
        <v>2013</v>
      </c>
      <c r="B227" s="650">
        <v>1</v>
      </c>
      <c r="C227" s="656" t="s">
        <v>300</v>
      </c>
      <c r="D227" s="651">
        <v>4869</v>
      </c>
      <c r="E227" s="648" t="s">
        <v>1250</v>
      </c>
      <c r="F227" s="655">
        <v>7985711</v>
      </c>
      <c r="G227" s="655">
        <v>0</v>
      </c>
      <c r="H227" s="655">
        <v>159769</v>
      </c>
      <c r="I227" s="655">
        <v>1703602</v>
      </c>
      <c r="J227" s="655">
        <v>694699</v>
      </c>
      <c r="K227" s="655">
        <v>79910</v>
      </c>
      <c r="L227" s="655">
        <v>80505</v>
      </c>
      <c r="M227" s="655">
        <v>0</v>
      </c>
      <c r="N227" s="655">
        <v>445914</v>
      </c>
      <c r="O227" s="655">
        <v>0</v>
      </c>
      <c r="P227" s="655">
        <v>70416</v>
      </c>
      <c r="Q227" s="655">
        <v>78644</v>
      </c>
      <c r="R227" s="655">
        <v>0</v>
      </c>
      <c r="S227" s="655">
        <v>43748</v>
      </c>
      <c r="T227" s="655">
        <v>4651</v>
      </c>
      <c r="U227" s="655">
        <v>299250</v>
      </c>
      <c r="V227" s="655">
        <v>0</v>
      </c>
      <c r="W227" s="655">
        <v>105894</v>
      </c>
      <c r="X227" s="655">
        <v>0</v>
      </c>
      <c r="Y227" s="655">
        <v>119110</v>
      </c>
      <c r="Z227" s="655">
        <v>0</v>
      </c>
      <c r="AA227" s="655">
        <v>0</v>
      </c>
      <c r="AB227" s="655">
        <v>0</v>
      </c>
      <c r="AC227" s="655">
        <v>0</v>
      </c>
      <c r="AD227" s="655">
        <v>95747</v>
      </c>
      <c r="AE227" s="655">
        <v>11537856</v>
      </c>
      <c r="AF227" s="655">
        <v>234098</v>
      </c>
      <c r="AG227" s="655">
        <v>362847</v>
      </c>
      <c r="AH227" s="655">
        <v>0</v>
      </c>
      <c r="AI227" s="655">
        <v>1937850</v>
      </c>
      <c r="AJ227" s="655">
        <v>4034751</v>
      </c>
      <c r="AK227" s="655">
        <v>18107402</v>
      </c>
      <c r="AL227" s="655">
        <v>13381657</v>
      </c>
      <c r="AM227" s="655">
        <v>4725745</v>
      </c>
    </row>
    <row r="228" spans="1:39" x14ac:dyDescent="0.2">
      <c r="A228" s="649">
        <v>2013</v>
      </c>
      <c r="B228" s="650">
        <v>11</v>
      </c>
      <c r="C228" s="656" t="s">
        <v>301</v>
      </c>
      <c r="D228" s="651">
        <v>4878</v>
      </c>
      <c r="E228" s="648" t="s">
        <v>1251</v>
      </c>
      <c r="F228" s="655">
        <v>3906651</v>
      </c>
      <c r="G228" s="655">
        <v>52390</v>
      </c>
      <c r="H228" s="655">
        <v>45986</v>
      </c>
      <c r="I228" s="655">
        <v>471799</v>
      </c>
      <c r="J228" s="655">
        <v>353239</v>
      </c>
      <c r="K228" s="655">
        <v>38166</v>
      </c>
      <c r="L228" s="655">
        <v>37000</v>
      </c>
      <c r="M228" s="655">
        <v>0</v>
      </c>
      <c r="N228" s="655">
        <v>186637</v>
      </c>
      <c r="O228" s="655">
        <v>8529</v>
      </c>
      <c r="P228" s="655">
        <v>32131</v>
      </c>
      <c r="Q228" s="655">
        <v>35253</v>
      </c>
      <c r="R228" s="655">
        <v>0</v>
      </c>
      <c r="S228" s="655">
        <v>15038</v>
      </c>
      <c r="T228" s="655">
        <v>1937</v>
      </c>
      <c r="U228" s="655">
        <v>195333</v>
      </c>
      <c r="V228" s="655">
        <v>0</v>
      </c>
      <c r="W228" s="655">
        <v>35298</v>
      </c>
      <c r="X228" s="655">
        <v>0</v>
      </c>
      <c r="Y228" s="655">
        <v>0</v>
      </c>
      <c r="Z228" s="655">
        <v>0</v>
      </c>
      <c r="AA228" s="655">
        <v>0</v>
      </c>
      <c r="AB228" s="655">
        <v>0</v>
      </c>
      <c r="AC228" s="655">
        <v>0</v>
      </c>
      <c r="AD228" s="655">
        <v>38643</v>
      </c>
      <c r="AE228" s="655">
        <v>5376744</v>
      </c>
      <c r="AF228" s="655">
        <v>57010</v>
      </c>
      <c r="AG228" s="655">
        <v>309003</v>
      </c>
      <c r="AH228" s="655">
        <v>0</v>
      </c>
      <c r="AI228" s="655">
        <v>1002810</v>
      </c>
      <c r="AJ228" s="655">
        <v>344299</v>
      </c>
      <c r="AK228" s="655">
        <v>7089866</v>
      </c>
      <c r="AL228" s="655">
        <v>6928569</v>
      </c>
      <c r="AM228" s="655">
        <v>161297</v>
      </c>
    </row>
    <row r="229" spans="1:39" x14ac:dyDescent="0.2">
      <c r="A229" s="649">
        <v>2013</v>
      </c>
      <c r="B229" s="650">
        <v>5</v>
      </c>
      <c r="C229" s="656" t="s">
        <v>302</v>
      </c>
      <c r="D229" s="651">
        <v>4890</v>
      </c>
      <c r="E229" s="648" t="s">
        <v>1252</v>
      </c>
      <c r="F229" s="655">
        <v>5325681</v>
      </c>
      <c r="G229" s="655">
        <v>0</v>
      </c>
      <c r="H229" s="655">
        <v>43110</v>
      </c>
      <c r="I229" s="655">
        <v>729980</v>
      </c>
      <c r="J229" s="655">
        <v>467624</v>
      </c>
      <c r="K229" s="655">
        <v>53275</v>
      </c>
      <c r="L229" s="655">
        <v>51043</v>
      </c>
      <c r="M229" s="655">
        <v>0</v>
      </c>
      <c r="N229" s="655">
        <v>275661</v>
      </c>
      <c r="O229" s="655">
        <v>0</v>
      </c>
      <c r="P229" s="655">
        <v>44069</v>
      </c>
      <c r="Q229" s="655">
        <v>49557</v>
      </c>
      <c r="R229" s="655">
        <v>5512</v>
      </c>
      <c r="S229" s="655">
        <v>29438</v>
      </c>
      <c r="T229" s="655">
        <v>3514</v>
      </c>
      <c r="U229" s="655">
        <v>196780</v>
      </c>
      <c r="V229" s="655">
        <v>0</v>
      </c>
      <c r="W229" s="655">
        <v>336840</v>
      </c>
      <c r="X229" s="655">
        <v>373768</v>
      </c>
      <c r="Y229" s="655">
        <v>0</v>
      </c>
      <c r="Z229" s="655">
        <v>0</v>
      </c>
      <c r="AA229" s="655">
        <v>0</v>
      </c>
      <c r="AB229" s="655">
        <v>0</v>
      </c>
      <c r="AC229" s="655">
        <v>0</v>
      </c>
      <c r="AD229" s="655">
        <v>56578</v>
      </c>
      <c r="AE229" s="655">
        <v>7929274</v>
      </c>
      <c r="AF229" s="655">
        <v>189032</v>
      </c>
      <c r="AG229" s="655">
        <v>498803</v>
      </c>
      <c r="AH229" s="655">
        <v>0</v>
      </c>
      <c r="AI229" s="655">
        <v>1241825</v>
      </c>
      <c r="AJ229" s="655">
        <v>1177875</v>
      </c>
      <c r="AK229" s="655">
        <v>11036809</v>
      </c>
      <c r="AL229" s="655">
        <v>9815532</v>
      </c>
      <c r="AM229" s="655">
        <v>1221277</v>
      </c>
    </row>
    <row r="230" spans="1:39" x14ac:dyDescent="0.2">
      <c r="A230" s="649">
        <v>2013</v>
      </c>
      <c r="B230" s="650">
        <v>10</v>
      </c>
      <c r="C230" s="656" t="s">
        <v>303</v>
      </c>
      <c r="D230" s="651">
        <v>4905</v>
      </c>
      <c r="E230" s="648" t="s">
        <v>1253</v>
      </c>
      <c r="F230" s="655">
        <v>1286181</v>
      </c>
      <c r="G230" s="655">
        <v>88587</v>
      </c>
      <c r="H230" s="655">
        <v>60617</v>
      </c>
      <c r="I230" s="655">
        <v>268841</v>
      </c>
      <c r="J230" s="655">
        <v>148254</v>
      </c>
      <c r="K230" s="655">
        <v>15080</v>
      </c>
      <c r="L230" s="655">
        <v>14480</v>
      </c>
      <c r="M230" s="655">
        <v>0</v>
      </c>
      <c r="N230" s="655">
        <v>67989</v>
      </c>
      <c r="O230" s="655">
        <v>10332</v>
      </c>
      <c r="P230" s="655">
        <v>10557</v>
      </c>
      <c r="Q230" s="655">
        <v>11593</v>
      </c>
      <c r="R230" s="655">
        <v>0</v>
      </c>
      <c r="S230" s="655">
        <v>6574</v>
      </c>
      <c r="T230" s="655">
        <v>765</v>
      </c>
      <c r="U230" s="655">
        <v>39718</v>
      </c>
      <c r="V230" s="655">
        <v>136240</v>
      </c>
      <c r="W230" s="655">
        <v>96809</v>
      </c>
      <c r="X230" s="655">
        <v>158064</v>
      </c>
      <c r="Y230" s="655">
        <v>0</v>
      </c>
      <c r="Z230" s="655">
        <v>0</v>
      </c>
      <c r="AA230" s="655">
        <v>0</v>
      </c>
      <c r="AB230" s="655">
        <v>0</v>
      </c>
      <c r="AC230" s="655">
        <v>0</v>
      </c>
      <c r="AD230" s="655">
        <v>17821</v>
      </c>
      <c r="AE230" s="655">
        <v>2402860</v>
      </c>
      <c r="AF230" s="655">
        <v>69012</v>
      </c>
      <c r="AG230" s="655">
        <v>110009</v>
      </c>
      <c r="AH230" s="655">
        <v>0</v>
      </c>
      <c r="AI230" s="655">
        <v>190621</v>
      </c>
      <c r="AJ230" s="655">
        <v>-136239</v>
      </c>
      <c r="AK230" s="655">
        <v>2636263</v>
      </c>
      <c r="AL230" s="655">
        <v>2565106</v>
      </c>
      <c r="AM230" s="655">
        <v>71157</v>
      </c>
    </row>
    <row r="231" spans="1:39" x14ac:dyDescent="0.2">
      <c r="A231" s="649">
        <v>2013</v>
      </c>
      <c r="B231" s="650">
        <v>13</v>
      </c>
      <c r="C231" s="656" t="s">
        <v>304</v>
      </c>
      <c r="D231" s="651">
        <v>4978</v>
      </c>
      <c r="E231" s="648" t="s">
        <v>1254</v>
      </c>
      <c r="F231" s="655">
        <v>1224204</v>
      </c>
      <c r="G231" s="655">
        <v>25447</v>
      </c>
      <c r="H231" s="655">
        <v>33342</v>
      </c>
      <c r="I231" s="655">
        <v>178830</v>
      </c>
      <c r="J231" s="655">
        <v>136880</v>
      </c>
      <c r="K231" s="655">
        <v>15192</v>
      </c>
      <c r="L231" s="655">
        <v>9714</v>
      </c>
      <c r="M231" s="655">
        <v>0</v>
      </c>
      <c r="N231" s="655">
        <v>61690</v>
      </c>
      <c r="O231" s="655">
        <v>11076</v>
      </c>
      <c r="P231" s="655">
        <v>10215</v>
      </c>
      <c r="Q231" s="655">
        <v>11299</v>
      </c>
      <c r="R231" s="655">
        <v>0</v>
      </c>
      <c r="S231" s="655">
        <v>6461</v>
      </c>
      <c r="T231" s="655">
        <v>681</v>
      </c>
      <c r="U231" s="655">
        <v>50743</v>
      </c>
      <c r="V231" s="655">
        <v>0</v>
      </c>
      <c r="W231" s="655">
        <v>47064</v>
      </c>
      <c r="X231" s="655">
        <v>5030</v>
      </c>
      <c r="Y231" s="655">
        <v>0</v>
      </c>
      <c r="Z231" s="655">
        <v>0</v>
      </c>
      <c r="AA231" s="655">
        <v>0</v>
      </c>
      <c r="AB231" s="655">
        <v>0</v>
      </c>
      <c r="AC231" s="655">
        <v>0</v>
      </c>
      <c r="AD231" s="655">
        <v>17320</v>
      </c>
      <c r="AE231" s="655">
        <v>1810548</v>
      </c>
      <c r="AF231" s="655">
        <v>0</v>
      </c>
      <c r="AG231" s="655">
        <v>109232</v>
      </c>
      <c r="AH231" s="655">
        <v>0</v>
      </c>
      <c r="AI231" s="655">
        <v>630473</v>
      </c>
      <c r="AJ231" s="655">
        <v>516940</v>
      </c>
      <c r="AK231" s="655">
        <v>3067193</v>
      </c>
      <c r="AL231" s="655">
        <v>2663726</v>
      </c>
      <c r="AM231" s="655">
        <v>403467</v>
      </c>
    </row>
    <row r="232" spans="1:39" x14ac:dyDescent="0.2">
      <c r="A232" s="649">
        <v>2013</v>
      </c>
      <c r="B232" s="650">
        <v>7</v>
      </c>
      <c r="C232" s="656" t="s">
        <v>305</v>
      </c>
      <c r="D232" s="651">
        <v>4995</v>
      </c>
      <c r="E232" s="648" t="s">
        <v>1255</v>
      </c>
      <c r="F232" s="655">
        <v>5625459</v>
      </c>
      <c r="G232" s="655">
        <v>0</v>
      </c>
      <c r="H232" s="655">
        <v>48034</v>
      </c>
      <c r="I232" s="655">
        <v>661231</v>
      </c>
      <c r="J232" s="655">
        <v>480588</v>
      </c>
      <c r="K232" s="655">
        <v>54648</v>
      </c>
      <c r="L232" s="655">
        <v>50284</v>
      </c>
      <c r="M232" s="655">
        <v>0</v>
      </c>
      <c r="N232" s="655">
        <v>277266</v>
      </c>
      <c r="O232" s="655">
        <v>2706</v>
      </c>
      <c r="P232" s="655">
        <v>48125</v>
      </c>
      <c r="Q232" s="655">
        <v>53804</v>
      </c>
      <c r="R232" s="655">
        <v>0</v>
      </c>
      <c r="S232" s="655">
        <v>35813</v>
      </c>
      <c r="T232" s="655">
        <v>4109</v>
      </c>
      <c r="U232" s="655">
        <v>140000</v>
      </c>
      <c r="V232" s="655">
        <v>0</v>
      </c>
      <c r="W232" s="655">
        <v>41800</v>
      </c>
      <c r="X232" s="655">
        <v>62355</v>
      </c>
      <c r="Y232" s="655">
        <v>0</v>
      </c>
      <c r="Z232" s="655">
        <v>0</v>
      </c>
      <c r="AA232" s="655">
        <v>0</v>
      </c>
      <c r="AB232" s="655">
        <v>0</v>
      </c>
      <c r="AC232" s="655">
        <v>0</v>
      </c>
      <c r="AD232" s="655">
        <v>58091</v>
      </c>
      <c r="AE232" s="655">
        <v>7528131</v>
      </c>
      <c r="AF232" s="655">
        <v>84014</v>
      </c>
      <c r="AG232" s="655">
        <v>426691</v>
      </c>
      <c r="AH232" s="655">
        <v>0</v>
      </c>
      <c r="AI232" s="655">
        <v>762393</v>
      </c>
      <c r="AJ232" s="655">
        <v>1687221</v>
      </c>
      <c r="AK232" s="655">
        <v>10488450</v>
      </c>
      <c r="AL232" s="655">
        <v>8696179</v>
      </c>
      <c r="AM232" s="655">
        <v>1792271</v>
      </c>
    </row>
    <row r="233" spans="1:39" x14ac:dyDescent="0.2">
      <c r="A233" s="649">
        <v>2013</v>
      </c>
      <c r="B233" s="650">
        <v>15</v>
      </c>
      <c r="C233" s="656" t="s">
        <v>306</v>
      </c>
      <c r="D233" s="651">
        <v>5013</v>
      </c>
      <c r="E233" s="648" t="s">
        <v>1256</v>
      </c>
      <c r="F233" s="655">
        <v>14377796</v>
      </c>
      <c r="G233" s="655">
        <v>0</v>
      </c>
      <c r="H233" s="655">
        <v>184357</v>
      </c>
      <c r="I233" s="655">
        <v>1867931</v>
      </c>
      <c r="J233" s="655">
        <v>1208252</v>
      </c>
      <c r="K233" s="655">
        <v>142484</v>
      </c>
      <c r="L233" s="655">
        <v>158968</v>
      </c>
      <c r="M233" s="655">
        <v>0</v>
      </c>
      <c r="N233" s="655">
        <v>707167</v>
      </c>
      <c r="O233" s="655">
        <v>0</v>
      </c>
      <c r="P233" s="655">
        <v>125399</v>
      </c>
      <c r="Q233" s="655">
        <v>137689</v>
      </c>
      <c r="R233" s="655">
        <v>0</v>
      </c>
      <c r="S233" s="655">
        <v>70684</v>
      </c>
      <c r="T233" s="655">
        <v>7607</v>
      </c>
      <c r="U233" s="655">
        <v>516413</v>
      </c>
      <c r="V233" s="655">
        <v>0</v>
      </c>
      <c r="W233" s="655">
        <v>130014</v>
      </c>
      <c r="X233" s="655">
        <v>329256</v>
      </c>
      <c r="Y233" s="655">
        <v>0</v>
      </c>
      <c r="Z233" s="655">
        <v>0</v>
      </c>
      <c r="AA233" s="655">
        <v>0</v>
      </c>
      <c r="AB233" s="655">
        <v>0</v>
      </c>
      <c r="AC233" s="655">
        <v>0</v>
      </c>
      <c r="AD233" s="655">
        <v>140746</v>
      </c>
      <c r="AE233" s="655">
        <v>19823271</v>
      </c>
      <c r="AF233" s="655">
        <v>393066</v>
      </c>
      <c r="AG233" s="655">
        <v>900108</v>
      </c>
      <c r="AH233" s="655">
        <v>0</v>
      </c>
      <c r="AI233" s="655">
        <v>1928082</v>
      </c>
      <c r="AJ233" s="655">
        <v>3563001</v>
      </c>
      <c r="AK233" s="655">
        <v>26607528</v>
      </c>
      <c r="AL233" s="655">
        <v>23284214</v>
      </c>
      <c r="AM233" s="655">
        <v>3323314</v>
      </c>
    </row>
    <row r="234" spans="1:39" x14ac:dyDescent="0.2">
      <c r="A234" s="649">
        <v>2013</v>
      </c>
      <c r="B234" s="650">
        <v>15</v>
      </c>
      <c r="C234" s="656" t="s">
        <v>307</v>
      </c>
      <c r="D234" s="651">
        <v>5049</v>
      </c>
      <c r="E234" s="648" t="s">
        <v>1257</v>
      </c>
      <c r="F234" s="655">
        <v>26919886</v>
      </c>
      <c r="G234" s="655">
        <v>0</v>
      </c>
      <c r="H234" s="655">
        <v>598516</v>
      </c>
      <c r="I234" s="655">
        <v>2897643</v>
      </c>
      <c r="J234" s="655">
        <v>2229717</v>
      </c>
      <c r="K234" s="655">
        <v>252825</v>
      </c>
      <c r="L234" s="655">
        <v>326888</v>
      </c>
      <c r="M234" s="655">
        <v>0</v>
      </c>
      <c r="N234" s="655">
        <v>1297939</v>
      </c>
      <c r="O234" s="655">
        <v>6528</v>
      </c>
      <c r="P234" s="655">
        <v>223069</v>
      </c>
      <c r="Q234" s="655">
        <v>244930</v>
      </c>
      <c r="R234" s="655">
        <v>0</v>
      </c>
      <c r="S234" s="655">
        <v>129734</v>
      </c>
      <c r="T234" s="655">
        <v>13962</v>
      </c>
      <c r="U234" s="655">
        <v>0</v>
      </c>
      <c r="V234" s="655">
        <v>0</v>
      </c>
      <c r="W234" s="655">
        <v>0</v>
      </c>
      <c r="X234" s="655">
        <v>0</v>
      </c>
      <c r="Y234" s="655">
        <v>0</v>
      </c>
      <c r="Z234" s="655">
        <v>0</v>
      </c>
      <c r="AA234" s="655">
        <v>0</v>
      </c>
      <c r="AB234" s="655">
        <v>0</v>
      </c>
      <c r="AC234" s="655">
        <v>-25062</v>
      </c>
      <c r="AD234" s="655">
        <v>265805</v>
      </c>
      <c r="AE234" s="655">
        <v>34850770</v>
      </c>
      <c r="AF234" s="655">
        <v>738123</v>
      </c>
      <c r="AG234" s="655">
        <v>1602272</v>
      </c>
      <c r="AH234" s="655">
        <v>0</v>
      </c>
      <c r="AI234" s="655">
        <v>4272582</v>
      </c>
      <c r="AJ234" s="655">
        <v>17717708</v>
      </c>
      <c r="AK234" s="655">
        <v>59181455</v>
      </c>
      <c r="AL234" s="655">
        <v>41654165</v>
      </c>
      <c r="AM234" s="655">
        <v>17527290</v>
      </c>
    </row>
    <row r="235" spans="1:39" x14ac:dyDescent="0.2">
      <c r="A235" s="649">
        <v>2013</v>
      </c>
      <c r="B235" s="650">
        <v>11</v>
      </c>
      <c r="C235" s="656" t="s">
        <v>308</v>
      </c>
      <c r="D235" s="651">
        <v>5121</v>
      </c>
      <c r="E235" s="648" t="s">
        <v>1258</v>
      </c>
      <c r="F235" s="655">
        <v>4408935</v>
      </c>
      <c r="G235" s="655">
        <v>171027</v>
      </c>
      <c r="H235" s="655">
        <v>76345</v>
      </c>
      <c r="I235" s="655">
        <v>408968</v>
      </c>
      <c r="J235" s="655">
        <v>380629</v>
      </c>
      <c r="K235" s="655">
        <v>36813</v>
      </c>
      <c r="L235" s="655">
        <v>38733</v>
      </c>
      <c r="M235" s="655">
        <v>0</v>
      </c>
      <c r="N235" s="655">
        <v>205369</v>
      </c>
      <c r="O235" s="655">
        <v>13538</v>
      </c>
      <c r="P235" s="655">
        <v>36049</v>
      </c>
      <c r="Q235" s="655">
        <v>39553</v>
      </c>
      <c r="R235" s="655">
        <v>0</v>
      </c>
      <c r="S235" s="655">
        <v>16843</v>
      </c>
      <c r="T235" s="655">
        <v>2170</v>
      </c>
      <c r="U235" s="655">
        <v>188204</v>
      </c>
      <c r="V235" s="655">
        <v>0</v>
      </c>
      <c r="W235" s="655">
        <v>102311</v>
      </c>
      <c r="X235" s="655">
        <v>157603</v>
      </c>
      <c r="Y235" s="655">
        <v>0</v>
      </c>
      <c r="Z235" s="655">
        <v>0</v>
      </c>
      <c r="AA235" s="655">
        <v>0</v>
      </c>
      <c r="AB235" s="655">
        <v>0</v>
      </c>
      <c r="AC235" s="655">
        <v>0</v>
      </c>
      <c r="AD235" s="655">
        <v>39927</v>
      </c>
      <c r="AE235" s="655">
        <v>6243163</v>
      </c>
      <c r="AF235" s="655">
        <v>93016</v>
      </c>
      <c r="AG235" s="655">
        <v>383434</v>
      </c>
      <c r="AH235" s="655">
        <v>0</v>
      </c>
      <c r="AI235" s="655">
        <v>663080</v>
      </c>
      <c r="AJ235" s="655">
        <v>1342799</v>
      </c>
      <c r="AK235" s="655">
        <v>8725492</v>
      </c>
      <c r="AL235" s="655">
        <v>7215446</v>
      </c>
      <c r="AM235" s="655">
        <v>1510046</v>
      </c>
    </row>
    <row r="236" spans="1:39" x14ac:dyDescent="0.2">
      <c r="A236" s="649">
        <v>2013</v>
      </c>
      <c r="B236" s="650">
        <v>5</v>
      </c>
      <c r="C236" s="656" t="s">
        <v>309</v>
      </c>
      <c r="D236" s="651">
        <v>5139</v>
      </c>
      <c r="E236" s="648" t="s">
        <v>1259</v>
      </c>
      <c r="F236" s="655">
        <v>1134912</v>
      </c>
      <c r="G236" s="655">
        <v>1641</v>
      </c>
      <c r="H236" s="655">
        <v>95061</v>
      </c>
      <c r="I236" s="655">
        <v>71240</v>
      </c>
      <c r="J236" s="655">
        <v>98510</v>
      </c>
      <c r="K236" s="655">
        <v>8479</v>
      </c>
      <c r="L236" s="655">
        <v>11800</v>
      </c>
      <c r="M236" s="655">
        <v>0</v>
      </c>
      <c r="N236" s="655">
        <v>53544</v>
      </c>
      <c r="O236" s="655">
        <v>6344</v>
      </c>
      <c r="P236" s="655">
        <v>9101</v>
      </c>
      <c r="Q236" s="655">
        <v>10234</v>
      </c>
      <c r="R236" s="655">
        <v>1071</v>
      </c>
      <c r="S236" s="655">
        <v>5768</v>
      </c>
      <c r="T236" s="655">
        <v>689</v>
      </c>
      <c r="U236" s="655">
        <v>56437</v>
      </c>
      <c r="V236" s="655">
        <v>0</v>
      </c>
      <c r="W236" s="655">
        <v>41181</v>
      </c>
      <c r="X236" s="655">
        <v>79423</v>
      </c>
      <c r="Y236" s="655">
        <v>0</v>
      </c>
      <c r="Z236" s="655">
        <v>0</v>
      </c>
      <c r="AA236" s="655">
        <v>0</v>
      </c>
      <c r="AB236" s="655">
        <v>0</v>
      </c>
      <c r="AC236" s="655">
        <v>0</v>
      </c>
      <c r="AD236" s="655">
        <v>12681</v>
      </c>
      <c r="AE236" s="655">
        <v>1672754</v>
      </c>
      <c r="AF236" s="655">
        <v>45008</v>
      </c>
      <c r="AG236" s="655">
        <v>98868</v>
      </c>
      <c r="AH236" s="655">
        <v>0</v>
      </c>
      <c r="AI236" s="655">
        <v>415935</v>
      </c>
      <c r="AJ236" s="655">
        <v>565134</v>
      </c>
      <c r="AK236" s="655">
        <v>2797699</v>
      </c>
      <c r="AL236" s="655">
        <v>2279059</v>
      </c>
      <c r="AM236" s="655">
        <v>518640</v>
      </c>
    </row>
    <row r="237" spans="1:39" x14ac:dyDescent="0.2">
      <c r="A237" s="649">
        <v>2013</v>
      </c>
      <c r="B237" s="650">
        <v>12</v>
      </c>
      <c r="C237" s="656" t="s">
        <v>310</v>
      </c>
      <c r="D237" s="651">
        <v>6099</v>
      </c>
      <c r="E237" s="648" t="s">
        <v>646</v>
      </c>
      <c r="F237" s="655">
        <v>4029542</v>
      </c>
      <c r="G237" s="655">
        <v>0</v>
      </c>
      <c r="H237" s="655">
        <v>36276</v>
      </c>
      <c r="I237" s="655">
        <v>686947</v>
      </c>
      <c r="J237" s="655">
        <v>355737</v>
      </c>
      <c r="K237" s="655">
        <v>42033</v>
      </c>
      <c r="L237" s="655">
        <v>34704</v>
      </c>
      <c r="M237" s="655">
        <v>0</v>
      </c>
      <c r="N237" s="655">
        <v>210692</v>
      </c>
      <c r="O237" s="655">
        <v>0</v>
      </c>
      <c r="P237" s="655">
        <v>37635</v>
      </c>
      <c r="Q237" s="655">
        <v>42306</v>
      </c>
      <c r="R237" s="655">
        <v>0</v>
      </c>
      <c r="S237" s="655">
        <v>21128</v>
      </c>
      <c r="T237" s="655">
        <v>2532</v>
      </c>
      <c r="U237" s="655">
        <v>187651</v>
      </c>
      <c r="V237" s="655">
        <v>0</v>
      </c>
      <c r="W237" s="655">
        <v>49728</v>
      </c>
      <c r="X237" s="655">
        <v>87114</v>
      </c>
      <c r="Y237" s="655">
        <v>0</v>
      </c>
      <c r="Z237" s="655">
        <v>0</v>
      </c>
      <c r="AA237" s="655">
        <v>0</v>
      </c>
      <c r="AB237" s="655">
        <v>0</v>
      </c>
      <c r="AC237" s="655">
        <v>0</v>
      </c>
      <c r="AD237" s="655">
        <v>48390</v>
      </c>
      <c r="AE237" s="655">
        <v>5775635</v>
      </c>
      <c r="AF237" s="655">
        <v>39007</v>
      </c>
      <c r="AG237" s="655">
        <v>335943</v>
      </c>
      <c r="AH237" s="655">
        <v>0</v>
      </c>
      <c r="AI237" s="655">
        <v>489675</v>
      </c>
      <c r="AJ237" s="655">
        <v>1808572</v>
      </c>
      <c r="AK237" s="655">
        <v>8448832</v>
      </c>
      <c r="AL237" s="655">
        <v>6877757</v>
      </c>
      <c r="AM237" s="655">
        <v>1571075</v>
      </c>
    </row>
    <row r="238" spans="1:39" x14ac:dyDescent="0.2">
      <c r="A238" s="649">
        <v>2013</v>
      </c>
      <c r="B238" s="650">
        <v>15</v>
      </c>
      <c r="C238" s="656" t="s">
        <v>311</v>
      </c>
      <c r="D238" s="651">
        <v>5163</v>
      </c>
      <c r="E238" s="648" t="s">
        <v>1260</v>
      </c>
      <c r="F238" s="655">
        <v>3857443</v>
      </c>
      <c r="G238" s="655">
        <v>11282</v>
      </c>
      <c r="H238" s="655">
        <v>34122</v>
      </c>
      <c r="I238" s="655">
        <v>446474</v>
      </c>
      <c r="J238" s="655">
        <v>331061</v>
      </c>
      <c r="K238" s="655">
        <v>37173</v>
      </c>
      <c r="L238" s="655">
        <v>38067</v>
      </c>
      <c r="M238" s="655">
        <v>0</v>
      </c>
      <c r="N238" s="655">
        <v>187347</v>
      </c>
      <c r="O238" s="655">
        <v>13214</v>
      </c>
      <c r="P238" s="655">
        <v>31558</v>
      </c>
      <c r="Q238" s="655">
        <v>34651</v>
      </c>
      <c r="R238" s="655">
        <v>0</v>
      </c>
      <c r="S238" s="655">
        <v>18726</v>
      </c>
      <c r="T238" s="655">
        <v>2015</v>
      </c>
      <c r="U238" s="655">
        <v>0</v>
      </c>
      <c r="V238" s="655">
        <v>0</v>
      </c>
      <c r="W238" s="655">
        <v>21767</v>
      </c>
      <c r="X238" s="655">
        <v>0</v>
      </c>
      <c r="Y238" s="655">
        <v>26456</v>
      </c>
      <c r="Z238" s="655">
        <v>0</v>
      </c>
      <c r="AA238" s="655">
        <v>0</v>
      </c>
      <c r="AB238" s="655">
        <v>0</v>
      </c>
      <c r="AC238" s="655">
        <v>0</v>
      </c>
      <c r="AD238" s="655">
        <v>40540</v>
      </c>
      <c r="AE238" s="655">
        <v>4997904</v>
      </c>
      <c r="AF238" s="655">
        <v>96016</v>
      </c>
      <c r="AG238" s="655">
        <v>306945</v>
      </c>
      <c r="AH238" s="655">
        <v>0</v>
      </c>
      <c r="AI238" s="655">
        <v>661019</v>
      </c>
      <c r="AJ238" s="655">
        <v>1404142</v>
      </c>
      <c r="AK238" s="655">
        <v>7466026</v>
      </c>
      <c r="AL238" s="655">
        <v>6259675</v>
      </c>
      <c r="AM238" s="655">
        <v>1206351</v>
      </c>
    </row>
    <row r="239" spans="1:39" x14ac:dyDescent="0.2">
      <c r="A239" s="649">
        <v>2013</v>
      </c>
      <c r="B239" s="650">
        <v>11</v>
      </c>
      <c r="C239" s="656" t="s">
        <v>312</v>
      </c>
      <c r="D239" s="651">
        <v>5166</v>
      </c>
      <c r="E239" s="648" t="s">
        <v>1261</v>
      </c>
      <c r="F239" s="655">
        <v>13262810</v>
      </c>
      <c r="G239" s="655">
        <v>0</v>
      </c>
      <c r="H239" s="655">
        <v>468294</v>
      </c>
      <c r="I239" s="655">
        <v>1089001</v>
      </c>
      <c r="J239" s="655">
        <v>1079965</v>
      </c>
      <c r="K239" s="655">
        <v>115257</v>
      </c>
      <c r="L239" s="655">
        <v>123854</v>
      </c>
      <c r="M239" s="655">
        <v>0</v>
      </c>
      <c r="N239" s="655">
        <v>611764</v>
      </c>
      <c r="O239" s="655">
        <v>0</v>
      </c>
      <c r="P239" s="655">
        <v>134058</v>
      </c>
      <c r="Q239" s="655">
        <v>147086</v>
      </c>
      <c r="R239" s="655">
        <v>0</v>
      </c>
      <c r="S239" s="655">
        <v>49171</v>
      </c>
      <c r="T239" s="655">
        <v>6314</v>
      </c>
      <c r="U239" s="655">
        <v>279323</v>
      </c>
      <c r="V239" s="655">
        <v>0</v>
      </c>
      <c r="W239" s="655">
        <v>57140</v>
      </c>
      <c r="X239" s="655">
        <v>782520</v>
      </c>
      <c r="Y239" s="655">
        <v>0</v>
      </c>
      <c r="Z239" s="655">
        <v>0</v>
      </c>
      <c r="AA239" s="655">
        <v>0</v>
      </c>
      <c r="AB239" s="655">
        <v>0</v>
      </c>
      <c r="AC239" s="655">
        <v>0</v>
      </c>
      <c r="AD239" s="655">
        <v>116072</v>
      </c>
      <c r="AE239" s="655">
        <v>18090485</v>
      </c>
      <c r="AF239" s="655">
        <v>147025</v>
      </c>
      <c r="AG239" s="655">
        <v>800543</v>
      </c>
      <c r="AH239" s="655">
        <v>0</v>
      </c>
      <c r="AI239" s="655">
        <v>1967632</v>
      </c>
      <c r="AJ239" s="655">
        <v>5780571</v>
      </c>
      <c r="AK239" s="655">
        <v>26786256</v>
      </c>
      <c r="AL239" s="655">
        <v>20626684</v>
      </c>
      <c r="AM239" s="655">
        <v>6159572</v>
      </c>
    </row>
    <row r="240" spans="1:39" x14ac:dyDescent="0.2">
      <c r="A240" s="649">
        <v>2013</v>
      </c>
      <c r="B240" s="650">
        <v>11</v>
      </c>
      <c r="C240" s="656" t="s">
        <v>313</v>
      </c>
      <c r="D240" s="651">
        <v>5184</v>
      </c>
      <c r="E240" s="648" t="s">
        <v>1262</v>
      </c>
      <c r="F240" s="655">
        <v>10868422</v>
      </c>
      <c r="G240" s="655">
        <v>21832</v>
      </c>
      <c r="H240" s="655">
        <v>450636</v>
      </c>
      <c r="I240" s="655">
        <v>1446062</v>
      </c>
      <c r="J240" s="655">
        <v>958112</v>
      </c>
      <c r="K240" s="655">
        <v>103723</v>
      </c>
      <c r="L240" s="655">
        <v>144810</v>
      </c>
      <c r="M240" s="655">
        <v>0</v>
      </c>
      <c r="N240" s="655">
        <v>524833</v>
      </c>
      <c r="O240" s="655">
        <v>0</v>
      </c>
      <c r="P240" s="655">
        <v>93650</v>
      </c>
      <c r="Q240" s="655">
        <v>102751</v>
      </c>
      <c r="R240" s="655">
        <v>0</v>
      </c>
      <c r="S240" s="655">
        <v>42184</v>
      </c>
      <c r="T240" s="655">
        <v>5417</v>
      </c>
      <c r="U240" s="655">
        <v>332888</v>
      </c>
      <c r="V240" s="655">
        <v>0</v>
      </c>
      <c r="W240" s="655">
        <v>347876</v>
      </c>
      <c r="X240" s="655">
        <v>0</v>
      </c>
      <c r="Y240" s="655">
        <v>0</v>
      </c>
      <c r="Z240" s="655">
        <v>0</v>
      </c>
      <c r="AA240" s="655">
        <v>0</v>
      </c>
      <c r="AB240" s="655">
        <v>0</v>
      </c>
      <c r="AC240" s="655">
        <v>102264</v>
      </c>
      <c r="AD240" s="655">
        <v>98403</v>
      </c>
      <c r="AE240" s="655">
        <v>15447057</v>
      </c>
      <c r="AF240" s="655">
        <v>430420</v>
      </c>
      <c r="AG240" s="655">
        <v>624229</v>
      </c>
      <c r="AH240" s="655">
        <v>0</v>
      </c>
      <c r="AI240" s="655">
        <v>1728621</v>
      </c>
      <c r="AJ240" s="655">
        <v>6917960</v>
      </c>
      <c r="AK240" s="655">
        <v>25148287</v>
      </c>
      <c r="AL240" s="655">
        <v>17504032</v>
      </c>
      <c r="AM240" s="655">
        <v>7644255</v>
      </c>
    </row>
    <row r="241" spans="1:39" x14ac:dyDescent="0.2">
      <c r="A241" s="649">
        <v>2013</v>
      </c>
      <c r="B241" s="650">
        <v>9</v>
      </c>
      <c r="C241" s="656" t="s">
        <v>314</v>
      </c>
      <c r="D241" s="651">
        <v>5250</v>
      </c>
      <c r="E241" s="648" t="s">
        <v>1263</v>
      </c>
      <c r="F241" s="655">
        <v>24290027</v>
      </c>
      <c r="G241" s="655">
        <v>0</v>
      </c>
      <c r="H241" s="655">
        <v>101364</v>
      </c>
      <c r="I241" s="655">
        <v>1564231</v>
      </c>
      <c r="J241" s="655">
        <v>1891446</v>
      </c>
      <c r="K241" s="655">
        <v>218784</v>
      </c>
      <c r="L241" s="655">
        <v>194075</v>
      </c>
      <c r="M241" s="655">
        <v>0</v>
      </c>
      <c r="N241" s="655">
        <v>1116192</v>
      </c>
      <c r="O241" s="655">
        <v>0</v>
      </c>
      <c r="P241" s="655">
        <v>198615</v>
      </c>
      <c r="Q241" s="655">
        <v>216479</v>
      </c>
      <c r="R241" s="655">
        <v>0</v>
      </c>
      <c r="S241" s="655">
        <v>99388</v>
      </c>
      <c r="T241" s="655">
        <v>11675</v>
      </c>
      <c r="U241" s="655">
        <v>620776</v>
      </c>
      <c r="V241" s="655">
        <v>0</v>
      </c>
      <c r="W241" s="655">
        <v>1658142</v>
      </c>
      <c r="X241" s="655">
        <v>417266</v>
      </c>
      <c r="Y241" s="655">
        <v>0</v>
      </c>
      <c r="Z241" s="655">
        <v>0</v>
      </c>
      <c r="AA241" s="655">
        <v>0</v>
      </c>
      <c r="AB241" s="655">
        <v>0</v>
      </c>
      <c r="AC241" s="655">
        <v>0</v>
      </c>
      <c r="AD241" s="655">
        <v>166150</v>
      </c>
      <c r="AE241" s="655">
        <v>32432310</v>
      </c>
      <c r="AF241" s="655">
        <v>321054</v>
      </c>
      <c r="AG241" s="655">
        <v>1471781</v>
      </c>
      <c r="AH241" s="655">
        <v>0</v>
      </c>
      <c r="AI241" s="655">
        <v>3273996</v>
      </c>
      <c r="AJ241" s="655">
        <v>7317458</v>
      </c>
      <c r="AK241" s="655">
        <v>44816599</v>
      </c>
      <c r="AL241" s="655">
        <v>36449117</v>
      </c>
      <c r="AM241" s="655">
        <v>8367482</v>
      </c>
    </row>
    <row r="242" spans="1:39" x14ac:dyDescent="0.2">
      <c r="A242" s="649">
        <v>2013</v>
      </c>
      <c r="B242" s="650">
        <v>11</v>
      </c>
      <c r="C242" s="656" t="s">
        <v>315</v>
      </c>
      <c r="D242" s="651">
        <v>5256</v>
      </c>
      <c r="E242" s="648" t="s">
        <v>1264</v>
      </c>
      <c r="F242" s="655">
        <v>3724821</v>
      </c>
      <c r="G242" s="655">
        <v>52400</v>
      </c>
      <c r="H242" s="655">
        <v>34686</v>
      </c>
      <c r="I242" s="655">
        <v>469158</v>
      </c>
      <c r="J242" s="655">
        <v>321855</v>
      </c>
      <c r="K242" s="655">
        <v>33476</v>
      </c>
      <c r="L242" s="655">
        <v>42916</v>
      </c>
      <c r="M242" s="655">
        <v>0</v>
      </c>
      <c r="N242" s="655">
        <v>178774</v>
      </c>
      <c r="O242" s="655">
        <v>6000</v>
      </c>
      <c r="P242" s="655">
        <v>30515</v>
      </c>
      <c r="Q242" s="655">
        <v>33480</v>
      </c>
      <c r="R242" s="655">
        <v>0</v>
      </c>
      <c r="S242" s="655">
        <v>14369</v>
      </c>
      <c r="T242" s="655">
        <v>1847</v>
      </c>
      <c r="U242" s="655">
        <v>120343</v>
      </c>
      <c r="V242" s="655">
        <v>0</v>
      </c>
      <c r="W242" s="655">
        <v>93016</v>
      </c>
      <c r="X242" s="655">
        <v>198132</v>
      </c>
      <c r="Y242" s="655">
        <v>0</v>
      </c>
      <c r="Z242" s="655">
        <v>0</v>
      </c>
      <c r="AA242" s="655">
        <v>0</v>
      </c>
      <c r="AB242" s="655">
        <v>0</v>
      </c>
      <c r="AC242" s="655">
        <v>0</v>
      </c>
      <c r="AD242" s="655">
        <v>37233</v>
      </c>
      <c r="AE242" s="655">
        <v>5318555</v>
      </c>
      <c r="AF242" s="655">
        <v>119784</v>
      </c>
      <c r="AG242" s="655">
        <v>260930</v>
      </c>
      <c r="AH242" s="655">
        <v>0</v>
      </c>
      <c r="AI242" s="655">
        <v>865200</v>
      </c>
      <c r="AJ242" s="655">
        <v>1624634</v>
      </c>
      <c r="AK242" s="655">
        <v>8189103</v>
      </c>
      <c r="AL242" s="655">
        <v>6853577</v>
      </c>
      <c r="AM242" s="655">
        <v>1335526</v>
      </c>
    </row>
    <row r="243" spans="1:39" x14ac:dyDescent="0.2">
      <c r="A243" s="649">
        <v>2013</v>
      </c>
      <c r="B243" s="650">
        <v>5</v>
      </c>
      <c r="C243" s="656" t="s">
        <v>316</v>
      </c>
      <c r="D243" s="651">
        <v>5283</v>
      </c>
      <c r="E243" s="648" t="s">
        <v>647</v>
      </c>
      <c r="F243" s="655">
        <v>4358401</v>
      </c>
      <c r="G243" s="655">
        <v>103522</v>
      </c>
      <c r="H243" s="655">
        <v>335921</v>
      </c>
      <c r="I243" s="655">
        <v>435411</v>
      </c>
      <c r="J243" s="655">
        <v>439995</v>
      </c>
      <c r="K243" s="655">
        <v>55616</v>
      </c>
      <c r="L243" s="655">
        <v>39031</v>
      </c>
      <c r="M243" s="655">
        <v>0</v>
      </c>
      <c r="N243" s="655">
        <v>213917</v>
      </c>
      <c r="O243" s="655">
        <v>52130</v>
      </c>
      <c r="P243" s="655">
        <v>38035</v>
      </c>
      <c r="Q243" s="655">
        <v>42772</v>
      </c>
      <c r="R243" s="655">
        <v>4277</v>
      </c>
      <c r="S243" s="655">
        <v>23075</v>
      </c>
      <c r="T243" s="655">
        <v>2757</v>
      </c>
      <c r="U243" s="655">
        <v>120241</v>
      </c>
      <c r="V243" s="655">
        <v>0</v>
      </c>
      <c r="W243" s="655">
        <v>60188</v>
      </c>
      <c r="X243" s="655">
        <v>214099</v>
      </c>
      <c r="Y243" s="655">
        <v>0</v>
      </c>
      <c r="Z243" s="655">
        <v>0</v>
      </c>
      <c r="AA243" s="655">
        <v>0</v>
      </c>
      <c r="AB243" s="655">
        <v>0</v>
      </c>
      <c r="AC243" s="655">
        <v>0</v>
      </c>
      <c r="AD243" s="655">
        <v>63708</v>
      </c>
      <c r="AE243" s="655">
        <v>6475680</v>
      </c>
      <c r="AF243" s="655">
        <v>126021</v>
      </c>
      <c r="AG243" s="655">
        <v>392515</v>
      </c>
      <c r="AH243" s="655">
        <v>0</v>
      </c>
      <c r="AI243" s="655">
        <v>1026490</v>
      </c>
      <c r="AJ243" s="655">
        <v>3329028</v>
      </c>
      <c r="AK243" s="655">
        <v>11349734</v>
      </c>
      <c r="AL243" s="655">
        <v>7923651</v>
      </c>
      <c r="AM243" s="655">
        <v>3426083</v>
      </c>
    </row>
    <row r="244" spans="1:39" x14ac:dyDescent="0.2">
      <c r="A244" s="649">
        <v>2013</v>
      </c>
      <c r="B244" s="650">
        <v>1</v>
      </c>
      <c r="C244" s="656" t="s">
        <v>317</v>
      </c>
      <c r="D244" s="651">
        <v>5310</v>
      </c>
      <c r="E244" s="648" t="s">
        <v>1265</v>
      </c>
      <c r="F244" s="655">
        <v>3396106</v>
      </c>
      <c r="G244" s="655">
        <v>33355</v>
      </c>
      <c r="H244" s="655">
        <v>173215</v>
      </c>
      <c r="I244" s="655">
        <v>408711</v>
      </c>
      <c r="J244" s="655">
        <v>302929</v>
      </c>
      <c r="K244" s="655">
        <v>29291</v>
      </c>
      <c r="L244" s="655">
        <v>47696</v>
      </c>
      <c r="M244" s="655">
        <v>0</v>
      </c>
      <c r="N244" s="655">
        <v>175917</v>
      </c>
      <c r="O244" s="655">
        <v>10610</v>
      </c>
      <c r="P244" s="655">
        <v>28492</v>
      </c>
      <c r="Q244" s="655">
        <v>31822</v>
      </c>
      <c r="R244" s="655">
        <v>0</v>
      </c>
      <c r="S244" s="655">
        <v>17434</v>
      </c>
      <c r="T244" s="655">
        <v>1851</v>
      </c>
      <c r="U244" s="655">
        <v>0</v>
      </c>
      <c r="V244" s="655">
        <v>0</v>
      </c>
      <c r="W244" s="655">
        <v>298655</v>
      </c>
      <c r="X244" s="655">
        <v>115188</v>
      </c>
      <c r="Y244" s="655">
        <v>0</v>
      </c>
      <c r="Z244" s="655">
        <v>0</v>
      </c>
      <c r="AA244" s="655">
        <v>0</v>
      </c>
      <c r="AB244" s="655">
        <v>0</v>
      </c>
      <c r="AC244" s="655">
        <v>-1297</v>
      </c>
      <c r="AD244" s="655">
        <v>37523</v>
      </c>
      <c r="AE244" s="655">
        <v>5032452</v>
      </c>
      <c r="AF244" s="655">
        <v>78013</v>
      </c>
      <c r="AG244" s="655">
        <v>254980</v>
      </c>
      <c r="AH244" s="655">
        <v>0</v>
      </c>
      <c r="AI244" s="655">
        <v>935691</v>
      </c>
      <c r="AJ244" s="655">
        <v>1841123</v>
      </c>
      <c r="AK244" s="655">
        <v>8142259</v>
      </c>
      <c r="AL244" s="655">
        <v>5993556</v>
      </c>
      <c r="AM244" s="655">
        <v>2148703</v>
      </c>
    </row>
    <row r="245" spans="1:39" x14ac:dyDescent="0.2">
      <c r="A245" s="649">
        <v>2013</v>
      </c>
      <c r="B245" s="650">
        <v>11</v>
      </c>
      <c r="C245" s="656" t="s">
        <v>318</v>
      </c>
      <c r="D245" s="651">
        <v>5160</v>
      </c>
      <c r="E245" s="648" t="s">
        <v>648</v>
      </c>
      <c r="F245" s="655">
        <v>6101217</v>
      </c>
      <c r="G245" s="655">
        <v>54519</v>
      </c>
      <c r="H245" s="655">
        <v>47702</v>
      </c>
      <c r="I245" s="655">
        <v>785771</v>
      </c>
      <c r="J245" s="655">
        <v>511176</v>
      </c>
      <c r="K245" s="655">
        <v>54627</v>
      </c>
      <c r="L245" s="655">
        <v>55512</v>
      </c>
      <c r="M245" s="655">
        <v>0</v>
      </c>
      <c r="N245" s="655">
        <v>293566</v>
      </c>
      <c r="O245" s="655">
        <v>561</v>
      </c>
      <c r="P245" s="655">
        <v>50939</v>
      </c>
      <c r="Q245" s="655">
        <v>55890</v>
      </c>
      <c r="R245" s="655">
        <v>0</v>
      </c>
      <c r="S245" s="655">
        <v>23595</v>
      </c>
      <c r="T245" s="655">
        <v>3030</v>
      </c>
      <c r="U245" s="655">
        <v>55619</v>
      </c>
      <c r="V245" s="655">
        <v>0</v>
      </c>
      <c r="W245" s="655">
        <v>109874</v>
      </c>
      <c r="X245" s="655">
        <v>87770</v>
      </c>
      <c r="Y245" s="655">
        <v>0</v>
      </c>
      <c r="Z245" s="655">
        <v>0</v>
      </c>
      <c r="AA245" s="655">
        <v>0</v>
      </c>
      <c r="AB245" s="655">
        <v>0</v>
      </c>
      <c r="AC245" s="655">
        <v>0</v>
      </c>
      <c r="AD245" s="655">
        <v>54416</v>
      </c>
      <c r="AE245" s="655">
        <v>8236952</v>
      </c>
      <c r="AF245" s="655">
        <v>177030</v>
      </c>
      <c r="AG245" s="655">
        <v>427947</v>
      </c>
      <c r="AH245" s="655">
        <v>0</v>
      </c>
      <c r="AI245" s="655">
        <v>1190078</v>
      </c>
      <c r="AJ245" s="655">
        <v>2762297</v>
      </c>
      <c r="AK245" s="655">
        <v>12794304</v>
      </c>
      <c r="AL245" s="655">
        <v>9862718</v>
      </c>
      <c r="AM245" s="655">
        <v>2931586</v>
      </c>
    </row>
    <row r="246" spans="1:39" x14ac:dyDescent="0.2">
      <c r="A246" s="649">
        <v>2013</v>
      </c>
      <c r="B246" s="650">
        <v>5</v>
      </c>
      <c r="C246" s="656" t="s">
        <v>319</v>
      </c>
      <c r="D246" s="651">
        <v>5325</v>
      </c>
      <c r="E246" s="648" t="s">
        <v>649</v>
      </c>
      <c r="F246" s="655">
        <v>3845824</v>
      </c>
      <c r="G246" s="655">
        <v>12009</v>
      </c>
      <c r="H246" s="655">
        <v>190241</v>
      </c>
      <c r="I246" s="655">
        <v>443711</v>
      </c>
      <c r="J246" s="655">
        <v>363396</v>
      </c>
      <c r="K246" s="655">
        <v>43918</v>
      </c>
      <c r="L246" s="655">
        <v>37704</v>
      </c>
      <c r="M246" s="655">
        <v>0</v>
      </c>
      <c r="N246" s="655">
        <v>191883</v>
      </c>
      <c r="O246" s="655">
        <v>10547</v>
      </c>
      <c r="P246" s="655">
        <v>32644</v>
      </c>
      <c r="Q246" s="655">
        <v>36709</v>
      </c>
      <c r="R246" s="655">
        <v>3839</v>
      </c>
      <c r="S246" s="655">
        <v>20491</v>
      </c>
      <c r="T246" s="655">
        <v>2446</v>
      </c>
      <c r="U246" s="655">
        <v>82755</v>
      </c>
      <c r="V246" s="655">
        <v>0</v>
      </c>
      <c r="W246" s="655">
        <v>41181</v>
      </c>
      <c r="X246" s="655">
        <v>102611</v>
      </c>
      <c r="Y246" s="655">
        <v>0</v>
      </c>
      <c r="Z246" s="655">
        <v>0</v>
      </c>
      <c r="AA246" s="655">
        <v>0</v>
      </c>
      <c r="AB246" s="655">
        <v>0</v>
      </c>
      <c r="AC246" s="655">
        <v>0</v>
      </c>
      <c r="AD246" s="655">
        <v>47462</v>
      </c>
      <c r="AE246" s="655">
        <v>5414447</v>
      </c>
      <c r="AF246" s="655">
        <v>111019</v>
      </c>
      <c r="AG246" s="655">
        <v>327954</v>
      </c>
      <c r="AH246" s="655">
        <v>0</v>
      </c>
      <c r="AI246" s="655">
        <v>868363</v>
      </c>
      <c r="AJ246" s="655">
        <v>482595</v>
      </c>
      <c r="AK246" s="655">
        <v>7204378</v>
      </c>
      <c r="AL246" s="655">
        <v>6797627</v>
      </c>
      <c r="AM246" s="655">
        <v>406751</v>
      </c>
    </row>
    <row r="247" spans="1:39" x14ac:dyDescent="0.2">
      <c r="A247" s="649">
        <v>2013</v>
      </c>
      <c r="B247" s="650">
        <v>13</v>
      </c>
      <c r="C247" s="656" t="s">
        <v>320</v>
      </c>
      <c r="D247" s="651">
        <v>5463</v>
      </c>
      <c r="E247" s="648" t="s">
        <v>1266</v>
      </c>
      <c r="F247" s="655">
        <v>7278013</v>
      </c>
      <c r="G247" s="655">
        <v>0</v>
      </c>
      <c r="H247" s="655">
        <v>253500</v>
      </c>
      <c r="I247" s="655">
        <v>1040633</v>
      </c>
      <c r="J247" s="655">
        <v>643839</v>
      </c>
      <c r="K247" s="655">
        <v>71058</v>
      </c>
      <c r="L247" s="655">
        <v>87103</v>
      </c>
      <c r="M247" s="655">
        <v>0</v>
      </c>
      <c r="N247" s="655">
        <v>365765</v>
      </c>
      <c r="O247" s="655">
        <v>14112</v>
      </c>
      <c r="P247" s="655">
        <v>59570</v>
      </c>
      <c r="Q247" s="655">
        <v>65890</v>
      </c>
      <c r="R247" s="655">
        <v>0</v>
      </c>
      <c r="S247" s="655">
        <v>37566</v>
      </c>
      <c r="T247" s="655">
        <v>3965</v>
      </c>
      <c r="U247" s="655">
        <v>363901</v>
      </c>
      <c r="V247" s="655">
        <v>0</v>
      </c>
      <c r="W247" s="655">
        <v>87041</v>
      </c>
      <c r="X247" s="655">
        <v>0</v>
      </c>
      <c r="Y247" s="655">
        <v>1653</v>
      </c>
      <c r="Z247" s="655">
        <v>0</v>
      </c>
      <c r="AA247" s="655">
        <v>0</v>
      </c>
      <c r="AB247" s="655">
        <v>0</v>
      </c>
      <c r="AC247" s="655">
        <v>-2589</v>
      </c>
      <c r="AD247" s="655">
        <v>75870</v>
      </c>
      <c r="AE247" s="655">
        <v>10291844</v>
      </c>
      <c r="AF247" s="655">
        <v>225038</v>
      </c>
      <c r="AG247" s="655">
        <v>532459</v>
      </c>
      <c r="AH247" s="655">
        <v>0</v>
      </c>
      <c r="AI247" s="655">
        <v>1376495</v>
      </c>
      <c r="AJ247" s="655">
        <v>2083417</v>
      </c>
      <c r="AK247" s="655">
        <v>14509253</v>
      </c>
      <c r="AL247" s="655">
        <v>12766191</v>
      </c>
      <c r="AM247" s="655">
        <v>1743062</v>
      </c>
    </row>
    <row r="248" spans="1:39" x14ac:dyDescent="0.2">
      <c r="A248" s="649">
        <v>2013</v>
      </c>
      <c r="B248" s="650">
        <v>12</v>
      </c>
      <c r="C248" s="656" t="s">
        <v>321</v>
      </c>
      <c r="D248" s="651">
        <v>5486</v>
      </c>
      <c r="E248" s="648" t="s">
        <v>1267</v>
      </c>
      <c r="F248" s="655">
        <v>2330514</v>
      </c>
      <c r="G248" s="655">
        <v>27272</v>
      </c>
      <c r="H248" s="655">
        <v>17885</v>
      </c>
      <c r="I248" s="655">
        <v>434427</v>
      </c>
      <c r="J248" s="655">
        <v>214279</v>
      </c>
      <c r="K248" s="655">
        <v>21403</v>
      </c>
      <c r="L248" s="655">
        <v>19520</v>
      </c>
      <c r="M248" s="655">
        <v>0</v>
      </c>
      <c r="N248" s="655">
        <v>124170</v>
      </c>
      <c r="O248" s="655">
        <v>0</v>
      </c>
      <c r="P248" s="655">
        <v>30276</v>
      </c>
      <c r="Q248" s="655">
        <v>34034</v>
      </c>
      <c r="R248" s="655">
        <v>0</v>
      </c>
      <c r="S248" s="655">
        <v>12452</v>
      </c>
      <c r="T248" s="655">
        <v>1492</v>
      </c>
      <c r="U248" s="655">
        <v>0</v>
      </c>
      <c r="V248" s="655">
        <v>0</v>
      </c>
      <c r="W248" s="655">
        <v>0</v>
      </c>
      <c r="X248" s="655">
        <v>0</v>
      </c>
      <c r="Y248" s="655">
        <v>39783</v>
      </c>
      <c r="Z248" s="655">
        <v>0</v>
      </c>
      <c r="AA248" s="655">
        <v>0</v>
      </c>
      <c r="AB248" s="655">
        <v>0</v>
      </c>
      <c r="AC248" s="655">
        <v>0</v>
      </c>
      <c r="AD248" s="655">
        <v>29719</v>
      </c>
      <c r="AE248" s="655">
        <v>3198222</v>
      </c>
      <c r="AF248" s="655">
        <v>45008</v>
      </c>
      <c r="AG248" s="655">
        <v>204067</v>
      </c>
      <c r="AH248" s="655">
        <v>0</v>
      </c>
      <c r="AI248" s="655">
        <v>464818</v>
      </c>
      <c r="AJ248" s="655">
        <v>1787891</v>
      </c>
      <c r="AK248" s="655">
        <v>5700006</v>
      </c>
      <c r="AL248" s="655">
        <v>4320675</v>
      </c>
      <c r="AM248" s="655">
        <v>1379331</v>
      </c>
    </row>
    <row r="249" spans="1:39" x14ac:dyDescent="0.2">
      <c r="A249" s="649">
        <v>2013</v>
      </c>
      <c r="B249" s="650">
        <v>1</v>
      </c>
      <c r="C249" s="656" t="s">
        <v>322</v>
      </c>
      <c r="D249" s="651">
        <v>5508</v>
      </c>
      <c r="E249" s="648" t="s">
        <v>1268</v>
      </c>
      <c r="F249" s="655">
        <v>1659877</v>
      </c>
      <c r="G249" s="655">
        <v>50482</v>
      </c>
      <c r="H249" s="655">
        <v>84440</v>
      </c>
      <c r="I249" s="655">
        <v>201814</v>
      </c>
      <c r="J249" s="655">
        <v>188503</v>
      </c>
      <c r="K249" s="655">
        <v>23165</v>
      </c>
      <c r="L249" s="655">
        <v>15794</v>
      </c>
      <c r="M249" s="655">
        <v>0</v>
      </c>
      <c r="N249" s="655">
        <v>86263</v>
      </c>
      <c r="O249" s="655">
        <v>24771</v>
      </c>
      <c r="P249" s="655">
        <v>13678</v>
      </c>
      <c r="Q249" s="655">
        <v>15277</v>
      </c>
      <c r="R249" s="655">
        <v>0</v>
      </c>
      <c r="S249" s="655">
        <v>8479</v>
      </c>
      <c r="T249" s="655">
        <v>900</v>
      </c>
      <c r="U249" s="655">
        <v>8022</v>
      </c>
      <c r="V249" s="655">
        <v>0</v>
      </c>
      <c r="W249" s="655">
        <v>90015</v>
      </c>
      <c r="X249" s="655">
        <v>85112</v>
      </c>
      <c r="Y249" s="655">
        <v>0</v>
      </c>
      <c r="Z249" s="655">
        <v>0</v>
      </c>
      <c r="AA249" s="655">
        <v>0</v>
      </c>
      <c r="AB249" s="655">
        <v>0</v>
      </c>
      <c r="AC249" s="655">
        <v>4706</v>
      </c>
      <c r="AD249" s="655">
        <v>26037</v>
      </c>
      <c r="AE249" s="655">
        <v>2535261</v>
      </c>
      <c r="AF249" s="655">
        <v>0</v>
      </c>
      <c r="AG249" s="655">
        <v>152205</v>
      </c>
      <c r="AH249" s="655">
        <v>0</v>
      </c>
      <c r="AI249" s="655">
        <v>677703</v>
      </c>
      <c r="AJ249" s="655">
        <v>6195</v>
      </c>
      <c r="AK249" s="655">
        <v>3371364</v>
      </c>
      <c r="AL249" s="655">
        <v>3090515</v>
      </c>
      <c r="AM249" s="655">
        <v>280849</v>
      </c>
    </row>
    <row r="250" spans="1:39" x14ac:dyDescent="0.2">
      <c r="A250" s="649">
        <v>2013</v>
      </c>
      <c r="B250" s="650">
        <v>12</v>
      </c>
      <c r="C250" s="656" t="s">
        <v>323</v>
      </c>
      <c r="D250" s="651">
        <v>5607</v>
      </c>
      <c r="E250" s="648" t="s">
        <v>1269</v>
      </c>
      <c r="F250" s="655">
        <v>4005846</v>
      </c>
      <c r="G250" s="655">
        <v>0</v>
      </c>
      <c r="H250" s="655">
        <v>121263</v>
      </c>
      <c r="I250" s="655">
        <v>361916</v>
      </c>
      <c r="J250" s="655">
        <v>351861</v>
      </c>
      <c r="K250" s="655">
        <v>36949</v>
      </c>
      <c r="L250" s="655">
        <v>49712</v>
      </c>
      <c r="M250" s="655">
        <v>0</v>
      </c>
      <c r="N250" s="655">
        <v>195501</v>
      </c>
      <c r="O250" s="655">
        <v>0</v>
      </c>
      <c r="P250" s="655">
        <v>52353</v>
      </c>
      <c r="Q250" s="655">
        <v>58851</v>
      </c>
      <c r="R250" s="655">
        <v>0</v>
      </c>
      <c r="S250" s="655">
        <v>19605</v>
      </c>
      <c r="T250" s="655">
        <v>2349</v>
      </c>
      <c r="U250" s="655">
        <v>147143</v>
      </c>
      <c r="V250" s="655">
        <v>0</v>
      </c>
      <c r="W250" s="655">
        <v>84467</v>
      </c>
      <c r="X250" s="655">
        <v>0</v>
      </c>
      <c r="Y250" s="655">
        <v>0</v>
      </c>
      <c r="Z250" s="655">
        <v>0</v>
      </c>
      <c r="AA250" s="655">
        <v>0</v>
      </c>
      <c r="AB250" s="655">
        <v>0</v>
      </c>
      <c r="AC250" s="655">
        <v>0</v>
      </c>
      <c r="AD250" s="655">
        <v>35033</v>
      </c>
      <c r="AE250" s="655">
        <v>5452783</v>
      </c>
      <c r="AF250" s="655">
        <v>240040</v>
      </c>
      <c r="AG250" s="655">
        <v>298195</v>
      </c>
      <c r="AH250" s="655">
        <v>0</v>
      </c>
      <c r="AI250" s="655">
        <v>1547308</v>
      </c>
      <c r="AJ250" s="655">
        <v>4426179</v>
      </c>
      <c r="AK250" s="655">
        <v>11964505</v>
      </c>
      <c r="AL250" s="655">
        <v>6829426</v>
      </c>
      <c r="AM250" s="655">
        <v>5135079</v>
      </c>
    </row>
    <row r="251" spans="1:39" x14ac:dyDescent="0.2">
      <c r="A251" s="649">
        <v>2013</v>
      </c>
      <c r="B251" s="650">
        <v>11</v>
      </c>
      <c r="C251" s="656" t="s">
        <v>324</v>
      </c>
      <c r="D251" s="651">
        <v>5643</v>
      </c>
      <c r="E251" s="648" t="s">
        <v>1270</v>
      </c>
      <c r="F251" s="655">
        <v>5673946</v>
      </c>
      <c r="G251" s="655">
        <v>0</v>
      </c>
      <c r="H251" s="655">
        <v>83366</v>
      </c>
      <c r="I251" s="655">
        <v>484161</v>
      </c>
      <c r="J251" s="655">
        <v>476239</v>
      </c>
      <c r="K251" s="655">
        <v>59888</v>
      </c>
      <c r="L251" s="655">
        <v>53884</v>
      </c>
      <c r="M251" s="655">
        <v>0</v>
      </c>
      <c r="N251" s="655">
        <v>262497</v>
      </c>
      <c r="O251" s="655">
        <v>8544</v>
      </c>
      <c r="P251" s="655">
        <v>46335</v>
      </c>
      <c r="Q251" s="655">
        <v>50838</v>
      </c>
      <c r="R251" s="655">
        <v>0</v>
      </c>
      <c r="S251" s="655">
        <v>21098</v>
      </c>
      <c r="T251" s="655">
        <v>2709</v>
      </c>
      <c r="U251" s="655">
        <v>110332</v>
      </c>
      <c r="V251" s="655">
        <v>0</v>
      </c>
      <c r="W251" s="655">
        <v>134663</v>
      </c>
      <c r="X251" s="655">
        <v>155696</v>
      </c>
      <c r="Y251" s="655">
        <v>0</v>
      </c>
      <c r="Z251" s="655">
        <v>0</v>
      </c>
      <c r="AA251" s="655">
        <v>0</v>
      </c>
      <c r="AB251" s="655">
        <v>0</v>
      </c>
      <c r="AC251" s="655">
        <v>0</v>
      </c>
      <c r="AD251" s="655">
        <v>57756</v>
      </c>
      <c r="AE251" s="655">
        <v>7566440</v>
      </c>
      <c r="AF251" s="655">
        <v>66011</v>
      </c>
      <c r="AG251" s="655">
        <v>420156</v>
      </c>
      <c r="AH251" s="655">
        <v>0</v>
      </c>
      <c r="AI251" s="655">
        <v>1188458</v>
      </c>
      <c r="AJ251" s="655">
        <v>1852873</v>
      </c>
      <c r="AK251" s="655">
        <v>11093938</v>
      </c>
      <c r="AL251" s="655">
        <v>9186066</v>
      </c>
      <c r="AM251" s="655">
        <v>1907872</v>
      </c>
    </row>
    <row r="252" spans="1:39" x14ac:dyDescent="0.2">
      <c r="A252" s="649">
        <v>2013</v>
      </c>
      <c r="B252" s="650">
        <v>7</v>
      </c>
      <c r="C252" s="656" t="s">
        <v>325</v>
      </c>
      <c r="D252" s="651">
        <v>5697</v>
      </c>
      <c r="E252" s="648" t="s">
        <v>1271</v>
      </c>
      <c r="F252" s="655">
        <v>2785664</v>
      </c>
      <c r="G252" s="655">
        <v>120485</v>
      </c>
      <c r="H252" s="655">
        <v>44887</v>
      </c>
      <c r="I252" s="655">
        <v>393606</v>
      </c>
      <c r="J252" s="655">
        <v>260661</v>
      </c>
      <c r="K252" s="655">
        <v>29405</v>
      </c>
      <c r="L252" s="655">
        <v>26920</v>
      </c>
      <c r="M252" s="655">
        <v>0</v>
      </c>
      <c r="N252" s="655">
        <v>141549</v>
      </c>
      <c r="O252" s="655">
        <v>16474</v>
      </c>
      <c r="P252" s="655">
        <v>23124</v>
      </c>
      <c r="Q252" s="655">
        <v>25852</v>
      </c>
      <c r="R252" s="655">
        <v>0</v>
      </c>
      <c r="S252" s="655">
        <v>19056</v>
      </c>
      <c r="T252" s="655">
        <v>2187</v>
      </c>
      <c r="U252" s="655">
        <v>73801</v>
      </c>
      <c r="V252" s="655">
        <v>0</v>
      </c>
      <c r="W252" s="655">
        <v>47408</v>
      </c>
      <c r="X252" s="655">
        <v>77620</v>
      </c>
      <c r="Y252" s="655">
        <v>0</v>
      </c>
      <c r="Z252" s="655">
        <v>0</v>
      </c>
      <c r="AA252" s="655">
        <v>0</v>
      </c>
      <c r="AB252" s="655">
        <v>0</v>
      </c>
      <c r="AC252" s="655">
        <v>0</v>
      </c>
      <c r="AD252" s="655">
        <v>36015</v>
      </c>
      <c r="AE252" s="655">
        <v>4052684</v>
      </c>
      <c r="AF252" s="655">
        <v>90015</v>
      </c>
      <c r="AG252" s="655">
        <v>239118</v>
      </c>
      <c r="AH252" s="655">
        <v>0</v>
      </c>
      <c r="AI252" s="655">
        <v>687702</v>
      </c>
      <c r="AJ252" s="655">
        <v>1431487</v>
      </c>
      <c r="AK252" s="655">
        <v>6501006</v>
      </c>
      <c r="AL252" s="655">
        <v>5129367</v>
      </c>
      <c r="AM252" s="655">
        <v>1371639</v>
      </c>
    </row>
    <row r="253" spans="1:39" x14ac:dyDescent="0.2">
      <c r="A253" s="649">
        <v>2013</v>
      </c>
      <c r="B253" s="650">
        <v>5</v>
      </c>
      <c r="C253" s="656" t="s">
        <v>326</v>
      </c>
      <c r="D253" s="651">
        <v>5724</v>
      </c>
      <c r="E253" s="648" t="s">
        <v>1272</v>
      </c>
      <c r="F253" s="655">
        <v>1503750</v>
      </c>
      <c r="G253" s="655">
        <v>50758</v>
      </c>
      <c r="H253" s="655">
        <v>71266</v>
      </c>
      <c r="I253" s="655">
        <v>185322</v>
      </c>
      <c r="J253" s="655">
        <v>149198</v>
      </c>
      <c r="K253" s="655">
        <v>16299</v>
      </c>
      <c r="L253" s="655">
        <v>17761</v>
      </c>
      <c r="M253" s="655">
        <v>0</v>
      </c>
      <c r="N253" s="655">
        <v>76889</v>
      </c>
      <c r="O253" s="655">
        <v>2083</v>
      </c>
      <c r="P253" s="655">
        <v>12860</v>
      </c>
      <c r="Q253" s="655">
        <v>14461</v>
      </c>
      <c r="R253" s="655">
        <v>1539</v>
      </c>
      <c r="S253" s="655">
        <v>8440</v>
      </c>
      <c r="T253" s="655">
        <v>1008</v>
      </c>
      <c r="U253" s="655">
        <v>56391</v>
      </c>
      <c r="V253" s="655">
        <v>0</v>
      </c>
      <c r="W253" s="655">
        <v>47064</v>
      </c>
      <c r="X253" s="655">
        <v>13405</v>
      </c>
      <c r="Y253" s="655">
        <v>0</v>
      </c>
      <c r="Z253" s="655">
        <v>0</v>
      </c>
      <c r="AA253" s="655">
        <v>0</v>
      </c>
      <c r="AB253" s="655">
        <v>0</v>
      </c>
      <c r="AC253" s="655">
        <v>0</v>
      </c>
      <c r="AD253" s="655">
        <v>16037</v>
      </c>
      <c r="AE253" s="655">
        <v>2212457</v>
      </c>
      <c r="AF253" s="655">
        <v>57010</v>
      </c>
      <c r="AG253" s="655">
        <v>127641</v>
      </c>
      <c r="AH253" s="655">
        <v>0</v>
      </c>
      <c r="AI253" s="655">
        <v>433589</v>
      </c>
      <c r="AJ253" s="655">
        <v>135755</v>
      </c>
      <c r="AK253" s="655">
        <v>2966452</v>
      </c>
      <c r="AL253" s="655">
        <v>2837875</v>
      </c>
      <c r="AM253" s="655">
        <v>128577</v>
      </c>
    </row>
    <row r="254" spans="1:39" x14ac:dyDescent="0.2">
      <c r="A254" s="649">
        <v>2013</v>
      </c>
      <c r="B254" s="650">
        <v>7</v>
      </c>
      <c r="C254" s="656" t="s">
        <v>327</v>
      </c>
      <c r="D254" s="651">
        <v>5751</v>
      </c>
      <c r="E254" s="648" t="s">
        <v>1273</v>
      </c>
      <c r="F254" s="655">
        <v>3807859</v>
      </c>
      <c r="G254" s="655">
        <v>38576</v>
      </c>
      <c r="H254" s="655">
        <v>32124</v>
      </c>
      <c r="I254" s="655">
        <v>364031</v>
      </c>
      <c r="J254" s="655">
        <v>319880</v>
      </c>
      <c r="K254" s="655">
        <v>37684</v>
      </c>
      <c r="L254" s="655">
        <v>35166</v>
      </c>
      <c r="M254" s="655">
        <v>0</v>
      </c>
      <c r="N254" s="655">
        <v>184942</v>
      </c>
      <c r="O254" s="655">
        <v>7117</v>
      </c>
      <c r="P254" s="655">
        <v>31277</v>
      </c>
      <c r="Q254" s="655">
        <v>34967</v>
      </c>
      <c r="R254" s="655">
        <v>0</v>
      </c>
      <c r="S254" s="655">
        <v>24096</v>
      </c>
      <c r="T254" s="655">
        <v>2766</v>
      </c>
      <c r="U254" s="655">
        <v>119777</v>
      </c>
      <c r="V254" s="655">
        <v>0</v>
      </c>
      <c r="W254" s="655">
        <v>66168</v>
      </c>
      <c r="X254" s="655">
        <v>217860</v>
      </c>
      <c r="Y254" s="655">
        <v>0</v>
      </c>
      <c r="Z254" s="655">
        <v>0</v>
      </c>
      <c r="AA254" s="655">
        <v>0</v>
      </c>
      <c r="AB254" s="655">
        <v>0</v>
      </c>
      <c r="AC254" s="655">
        <v>0</v>
      </c>
      <c r="AD254" s="655">
        <v>42659</v>
      </c>
      <c r="AE254" s="655">
        <v>5281631</v>
      </c>
      <c r="AF254" s="655">
        <v>87015</v>
      </c>
      <c r="AG254" s="655">
        <v>320062</v>
      </c>
      <c r="AH254" s="655">
        <v>0</v>
      </c>
      <c r="AI254" s="655">
        <v>676374</v>
      </c>
      <c r="AJ254" s="655">
        <v>2447921</v>
      </c>
      <c r="AK254" s="655">
        <v>8813003</v>
      </c>
      <c r="AL254" s="655">
        <v>6356395</v>
      </c>
      <c r="AM254" s="655">
        <v>2456608</v>
      </c>
    </row>
    <row r="255" spans="1:39" x14ac:dyDescent="0.2">
      <c r="A255" s="649">
        <v>2013</v>
      </c>
      <c r="B255" s="650">
        <v>11</v>
      </c>
      <c r="C255" s="656" t="s">
        <v>328</v>
      </c>
      <c r="D255" s="651">
        <v>5805</v>
      </c>
      <c r="E255" s="648" t="s">
        <v>1274</v>
      </c>
      <c r="F255" s="655">
        <v>7288262</v>
      </c>
      <c r="G255" s="655">
        <v>0</v>
      </c>
      <c r="H255" s="655">
        <v>89572</v>
      </c>
      <c r="I255" s="655">
        <v>1160757</v>
      </c>
      <c r="J255" s="655">
        <v>672528</v>
      </c>
      <c r="K255" s="655">
        <v>71622</v>
      </c>
      <c r="L255" s="655">
        <v>86789</v>
      </c>
      <c r="M255" s="655">
        <v>0</v>
      </c>
      <c r="N255" s="655">
        <v>356115</v>
      </c>
      <c r="O255" s="655">
        <v>8953</v>
      </c>
      <c r="P255" s="655">
        <v>60686</v>
      </c>
      <c r="Q255" s="655">
        <v>66584</v>
      </c>
      <c r="R255" s="655">
        <v>0</v>
      </c>
      <c r="S255" s="655">
        <v>28623</v>
      </c>
      <c r="T255" s="655">
        <v>3675</v>
      </c>
      <c r="U255" s="655">
        <v>364413</v>
      </c>
      <c r="V255" s="655">
        <v>0</v>
      </c>
      <c r="W255" s="655">
        <v>174919</v>
      </c>
      <c r="X255" s="655">
        <v>298805</v>
      </c>
      <c r="Y255" s="655">
        <v>0</v>
      </c>
      <c r="Z255" s="655">
        <v>0</v>
      </c>
      <c r="AA255" s="655">
        <v>0</v>
      </c>
      <c r="AB255" s="655">
        <v>0</v>
      </c>
      <c r="AC255" s="655">
        <v>0</v>
      </c>
      <c r="AD255" s="655">
        <v>80916</v>
      </c>
      <c r="AE255" s="655">
        <v>10651387</v>
      </c>
      <c r="AF255" s="655">
        <v>87015</v>
      </c>
      <c r="AG255" s="655">
        <v>628321</v>
      </c>
      <c r="AH255" s="655">
        <v>0</v>
      </c>
      <c r="AI255" s="655">
        <v>2551862</v>
      </c>
      <c r="AJ255" s="655">
        <v>4391211</v>
      </c>
      <c r="AK255" s="655">
        <v>18309796</v>
      </c>
      <c r="AL255" s="655">
        <v>13637387</v>
      </c>
      <c r="AM255" s="655">
        <v>4672409</v>
      </c>
    </row>
    <row r="256" spans="1:39" x14ac:dyDescent="0.2">
      <c r="A256" s="649">
        <v>2013</v>
      </c>
      <c r="B256" s="650">
        <v>5</v>
      </c>
      <c r="C256" s="656" t="s">
        <v>329</v>
      </c>
      <c r="D256" s="651">
        <v>5823</v>
      </c>
      <c r="E256" s="648" t="s">
        <v>650</v>
      </c>
      <c r="F256" s="655">
        <v>2259723</v>
      </c>
      <c r="G256" s="655">
        <v>19518</v>
      </c>
      <c r="H256" s="655">
        <v>189042</v>
      </c>
      <c r="I256" s="655">
        <v>268448</v>
      </c>
      <c r="J256" s="655">
        <v>207267</v>
      </c>
      <c r="K256" s="655">
        <v>23309</v>
      </c>
      <c r="L256" s="655">
        <v>19640</v>
      </c>
      <c r="M256" s="655">
        <v>0</v>
      </c>
      <c r="N256" s="655">
        <v>114080</v>
      </c>
      <c r="O256" s="655">
        <v>6687</v>
      </c>
      <c r="P256" s="655">
        <v>19042</v>
      </c>
      <c r="Q256" s="655">
        <v>21414</v>
      </c>
      <c r="R256" s="655">
        <v>2281</v>
      </c>
      <c r="S256" s="655">
        <v>12183</v>
      </c>
      <c r="T256" s="655">
        <v>1454</v>
      </c>
      <c r="U256" s="655">
        <v>73110</v>
      </c>
      <c r="V256" s="655">
        <v>0</v>
      </c>
      <c r="W256" s="655">
        <v>54390</v>
      </c>
      <c r="X256" s="655">
        <v>45656</v>
      </c>
      <c r="Y256" s="655">
        <v>0</v>
      </c>
      <c r="Z256" s="655">
        <v>0</v>
      </c>
      <c r="AA256" s="655">
        <v>0</v>
      </c>
      <c r="AB256" s="655">
        <v>0</v>
      </c>
      <c r="AC256" s="655">
        <v>0</v>
      </c>
      <c r="AD256" s="655">
        <v>29023</v>
      </c>
      <c r="AE256" s="655">
        <v>3308221</v>
      </c>
      <c r="AF256" s="655">
        <v>45008</v>
      </c>
      <c r="AG256" s="655">
        <v>195513</v>
      </c>
      <c r="AH256" s="655">
        <v>0</v>
      </c>
      <c r="AI256" s="655">
        <v>1080652</v>
      </c>
      <c r="AJ256" s="655">
        <v>256727</v>
      </c>
      <c r="AK256" s="655">
        <v>4886121</v>
      </c>
      <c r="AL256" s="655">
        <v>4980725</v>
      </c>
      <c r="AM256" s="655">
        <v>-94604</v>
      </c>
    </row>
    <row r="257" spans="1:39" x14ac:dyDescent="0.2">
      <c r="A257" s="649">
        <v>2013</v>
      </c>
      <c r="B257" s="650">
        <v>12</v>
      </c>
      <c r="C257" s="656" t="s">
        <v>330</v>
      </c>
      <c r="D257" s="651">
        <v>5832</v>
      </c>
      <c r="E257" s="648" t="s">
        <v>1275</v>
      </c>
      <c r="F257" s="655">
        <v>1856709</v>
      </c>
      <c r="G257" s="655">
        <v>0</v>
      </c>
      <c r="H257" s="655">
        <v>73632</v>
      </c>
      <c r="I257" s="655">
        <v>268965</v>
      </c>
      <c r="J257" s="655">
        <v>139193</v>
      </c>
      <c r="K257" s="655">
        <v>11853</v>
      </c>
      <c r="L257" s="655">
        <v>16556</v>
      </c>
      <c r="M257" s="655">
        <v>0</v>
      </c>
      <c r="N257" s="655">
        <v>95795</v>
      </c>
      <c r="O257" s="655">
        <v>0</v>
      </c>
      <c r="P257" s="655">
        <v>15410</v>
      </c>
      <c r="Q257" s="655">
        <v>17322</v>
      </c>
      <c r="R257" s="655">
        <v>0</v>
      </c>
      <c r="S257" s="655">
        <v>9606</v>
      </c>
      <c r="T257" s="655">
        <v>1151</v>
      </c>
      <c r="U257" s="655">
        <v>0</v>
      </c>
      <c r="V257" s="655">
        <v>0</v>
      </c>
      <c r="W257" s="655">
        <v>37336</v>
      </c>
      <c r="X257" s="655">
        <v>20353</v>
      </c>
      <c r="Y257" s="655">
        <v>0</v>
      </c>
      <c r="Z257" s="655">
        <v>0</v>
      </c>
      <c r="AA257" s="655">
        <v>0</v>
      </c>
      <c r="AB257" s="655">
        <v>0</v>
      </c>
      <c r="AC257" s="655">
        <v>0</v>
      </c>
      <c r="AD257" s="655">
        <v>17059</v>
      </c>
      <c r="AE257" s="655">
        <v>2546822</v>
      </c>
      <c r="AF257" s="655">
        <v>0</v>
      </c>
      <c r="AG257" s="655">
        <v>147757</v>
      </c>
      <c r="AH257" s="655">
        <v>0</v>
      </c>
      <c r="AI257" s="655">
        <v>406266</v>
      </c>
      <c r="AJ257" s="655">
        <v>1882793</v>
      </c>
      <c r="AK257" s="655">
        <v>4983638</v>
      </c>
      <c r="AL257" s="655">
        <v>3150028</v>
      </c>
      <c r="AM257" s="655">
        <v>1833610</v>
      </c>
    </row>
    <row r="258" spans="1:39" x14ac:dyDescent="0.2">
      <c r="A258" s="649">
        <v>2013</v>
      </c>
      <c r="B258" s="650">
        <v>12</v>
      </c>
      <c r="C258" s="656" t="s">
        <v>331</v>
      </c>
      <c r="D258" s="651">
        <v>5877</v>
      </c>
      <c r="E258" s="648" t="s">
        <v>1276</v>
      </c>
      <c r="F258" s="655">
        <v>8037139</v>
      </c>
      <c r="G258" s="655">
        <v>164369</v>
      </c>
      <c r="H258" s="655">
        <v>162585</v>
      </c>
      <c r="I258" s="655">
        <v>888628</v>
      </c>
      <c r="J258" s="655">
        <v>710758</v>
      </c>
      <c r="K258" s="655">
        <v>86807</v>
      </c>
      <c r="L258" s="655">
        <v>83177</v>
      </c>
      <c r="M258" s="655">
        <v>0</v>
      </c>
      <c r="N258" s="655">
        <v>402247</v>
      </c>
      <c r="O258" s="655">
        <v>6216</v>
      </c>
      <c r="P258" s="655">
        <v>68652</v>
      </c>
      <c r="Q258" s="655">
        <v>77173</v>
      </c>
      <c r="R258" s="655">
        <v>0</v>
      </c>
      <c r="S258" s="655">
        <v>40943</v>
      </c>
      <c r="T258" s="655">
        <v>4912</v>
      </c>
      <c r="U258" s="655">
        <v>301393</v>
      </c>
      <c r="V258" s="655">
        <v>0</v>
      </c>
      <c r="W258" s="655">
        <v>107037</v>
      </c>
      <c r="X258" s="655">
        <v>414290</v>
      </c>
      <c r="Y258" s="655">
        <v>0</v>
      </c>
      <c r="Z258" s="655">
        <v>0</v>
      </c>
      <c r="AA258" s="655">
        <v>0</v>
      </c>
      <c r="AB258" s="655">
        <v>0</v>
      </c>
      <c r="AC258" s="655">
        <v>0</v>
      </c>
      <c r="AD258" s="655">
        <v>69098</v>
      </c>
      <c r="AE258" s="655">
        <v>11487228</v>
      </c>
      <c r="AF258" s="655">
        <v>366407</v>
      </c>
      <c r="AG258" s="655">
        <v>677855</v>
      </c>
      <c r="AH258" s="655">
        <v>0</v>
      </c>
      <c r="AI258" s="655">
        <v>2686709</v>
      </c>
      <c r="AJ258" s="655">
        <v>2034053</v>
      </c>
      <c r="AK258" s="655">
        <v>17252252</v>
      </c>
      <c r="AL258" s="655">
        <v>14606694</v>
      </c>
      <c r="AM258" s="655">
        <v>2645558</v>
      </c>
    </row>
    <row r="259" spans="1:39" x14ac:dyDescent="0.2">
      <c r="A259" s="649">
        <v>2013</v>
      </c>
      <c r="B259" s="650">
        <v>15</v>
      </c>
      <c r="C259" s="656" t="s">
        <v>332</v>
      </c>
      <c r="D259" s="651">
        <v>5895</v>
      </c>
      <c r="E259" s="648" t="s">
        <v>1277</v>
      </c>
      <c r="F259" s="655">
        <v>1427638</v>
      </c>
      <c r="G259" s="655">
        <v>32807</v>
      </c>
      <c r="H259" s="655">
        <v>50978</v>
      </c>
      <c r="I259" s="655">
        <v>113779</v>
      </c>
      <c r="J259" s="655">
        <v>155270</v>
      </c>
      <c r="K259" s="655">
        <v>17065</v>
      </c>
      <c r="L259" s="655">
        <v>17336</v>
      </c>
      <c r="M259" s="655">
        <v>0</v>
      </c>
      <c r="N259" s="655">
        <v>67097</v>
      </c>
      <c r="O259" s="655">
        <v>17329</v>
      </c>
      <c r="P259" s="655">
        <v>11681</v>
      </c>
      <c r="Q259" s="655">
        <v>12826</v>
      </c>
      <c r="R259" s="655">
        <v>0</v>
      </c>
      <c r="S259" s="655">
        <v>6707</v>
      </c>
      <c r="T259" s="655">
        <v>722</v>
      </c>
      <c r="U259" s="655">
        <v>7135</v>
      </c>
      <c r="V259" s="655">
        <v>0</v>
      </c>
      <c r="W259" s="655">
        <v>88833</v>
      </c>
      <c r="X259" s="655">
        <v>0</v>
      </c>
      <c r="Y259" s="655">
        <v>2963</v>
      </c>
      <c r="Z259" s="655">
        <v>0</v>
      </c>
      <c r="AA259" s="655">
        <v>0</v>
      </c>
      <c r="AB259" s="655">
        <v>0</v>
      </c>
      <c r="AC259" s="655">
        <v>0</v>
      </c>
      <c r="AD259" s="655">
        <v>20072</v>
      </c>
      <c r="AE259" s="655">
        <v>2004168</v>
      </c>
      <c r="AF259" s="655">
        <v>0</v>
      </c>
      <c r="AG259" s="655">
        <v>116617</v>
      </c>
      <c r="AH259" s="655">
        <v>0</v>
      </c>
      <c r="AI259" s="655">
        <v>327674</v>
      </c>
      <c r="AJ259" s="655">
        <v>539230</v>
      </c>
      <c r="AK259" s="655">
        <v>2987689</v>
      </c>
      <c r="AL259" s="655">
        <v>2443419</v>
      </c>
      <c r="AM259" s="655">
        <v>544270</v>
      </c>
    </row>
    <row r="260" spans="1:39" x14ac:dyDescent="0.2">
      <c r="A260" s="649">
        <v>2013</v>
      </c>
      <c r="B260" s="650">
        <v>7</v>
      </c>
      <c r="C260" s="656" t="s">
        <v>333</v>
      </c>
      <c r="D260" s="651">
        <v>5922</v>
      </c>
      <c r="E260" s="648" t="s">
        <v>1483</v>
      </c>
      <c r="F260" s="655">
        <v>4370731</v>
      </c>
      <c r="G260" s="655">
        <v>243831</v>
      </c>
      <c r="H260" s="655">
        <v>217513</v>
      </c>
      <c r="I260" s="655">
        <v>644283</v>
      </c>
      <c r="J260" s="655">
        <v>436916</v>
      </c>
      <c r="K260" s="655">
        <v>50205</v>
      </c>
      <c r="L260" s="655">
        <v>38788</v>
      </c>
      <c r="M260" s="655">
        <v>0</v>
      </c>
      <c r="N260" s="655">
        <v>221217</v>
      </c>
      <c r="O260" s="655">
        <v>21305</v>
      </c>
      <c r="P260" s="655">
        <v>36810</v>
      </c>
      <c r="Q260" s="655">
        <v>41154</v>
      </c>
      <c r="R260" s="655">
        <v>0</v>
      </c>
      <c r="S260" s="655">
        <v>30467</v>
      </c>
      <c r="T260" s="655">
        <v>3497</v>
      </c>
      <c r="U260" s="655">
        <v>73645</v>
      </c>
      <c r="V260" s="655">
        <v>0</v>
      </c>
      <c r="W260" s="655">
        <v>21767</v>
      </c>
      <c r="X260" s="655">
        <v>11368</v>
      </c>
      <c r="Y260" s="655">
        <v>0</v>
      </c>
      <c r="Z260" s="655">
        <v>0</v>
      </c>
      <c r="AA260" s="655">
        <v>0</v>
      </c>
      <c r="AB260" s="655">
        <v>0</v>
      </c>
      <c r="AC260" s="655">
        <v>0</v>
      </c>
      <c r="AD260" s="655">
        <v>54063</v>
      </c>
      <c r="AE260" s="655">
        <v>6409434</v>
      </c>
      <c r="AF260" s="655">
        <v>138023</v>
      </c>
      <c r="AG260" s="655">
        <v>387485</v>
      </c>
      <c r="AH260" s="655">
        <v>0</v>
      </c>
      <c r="AI260" s="655">
        <v>523066</v>
      </c>
      <c r="AJ260" s="655">
        <v>1644234</v>
      </c>
      <c r="AK260" s="655">
        <v>9102242</v>
      </c>
      <c r="AL260" s="655">
        <v>7048949</v>
      </c>
      <c r="AM260" s="655">
        <v>2053293</v>
      </c>
    </row>
    <row r="261" spans="1:39" x14ac:dyDescent="0.2">
      <c r="A261" s="649">
        <v>2013</v>
      </c>
      <c r="B261" s="650">
        <v>12</v>
      </c>
      <c r="C261" s="656" t="s">
        <v>334</v>
      </c>
      <c r="D261" s="651">
        <v>5949</v>
      </c>
      <c r="E261" s="648" t="s">
        <v>1278</v>
      </c>
      <c r="F261" s="655">
        <v>5853976</v>
      </c>
      <c r="G261" s="655">
        <v>127070</v>
      </c>
      <c r="H261" s="655">
        <v>112009</v>
      </c>
      <c r="I261" s="655">
        <v>733382</v>
      </c>
      <c r="J261" s="655">
        <v>489912</v>
      </c>
      <c r="K261" s="655">
        <v>51246</v>
      </c>
      <c r="L261" s="655">
        <v>60768</v>
      </c>
      <c r="M261" s="655">
        <v>0</v>
      </c>
      <c r="N261" s="655">
        <v>296865</v>
      </c>
      <c r="O261" s="655">
        <v>7466</v>
      </c>
      <c r="P261" s="655">
        <v>60848</v>
      </c>
      <c r="Q261" s="655">
        <v>68401</v>
      </c>
      <c r="R261" s="655">
        <v>0</v>
      </c>
      <c r="S261" s="655">
        <v>30040</v>
      </c>
      <c r="T261" s="655">
        <v>3604</v>
      </c>
      <c r="U261" s="655">
        <v>242795</v>
      </c>
      <c r="V261" s="655">
        <v>0</v>
      </c>
      <c r="W261" s="655">
        <v>52689</v>
      </c>
      <c r="X261" s="655">
        <v>305067</v>
      </c>
      <c r="Y261" s="655">
        <v>0</v>
      </c>
      <c r="Z261" s="655">
        <v>0</v>
      </c>
      <c r="AA261" s="655">
        <v>0</v>
      </c>
      <c r="AB261" s="655">
        <v>0</v>
      </c>
      <c r="AC261" s="655">
        <v>0</v>
      </c>
      <c r="AD261" s="655">
        <v>64991</v>
      </c>
      <c r="AE261" s="655">
        <v>8431147</v>
      </c>
      <c r="AF261" s="655">
        <v>261044</v>
      </c>
      <c r="AG261" s="655">
        <v>456055</v>
      </c>
      <c r="AH261" s="655">
        <v>0</v>
      </c>
      <c r="AI261" s="655">
        <v>936185</v>
      </c>
      <c r="AJ261" s="655">
        <v>2309052</v>
      </c>
      <c r="AK261" s="655">
        <v>12393483</v>
      </c>
      <c r="AL261" s="655">
        <v>9914316</v>
      </c>
      <c r="AM261" s="655">
        <v>2479167</v>
      </c>
    </row>
    <row r="262" spans="1:39" x14ac:dyDescent="0.2">
      <c r="A262" s="649">
        <v>2013</v>
      </c>
      <c r="B262" s="650">
        <v>13</v>
      </c>
      <c r="C262" s="656" t="s">
        <v>335</v>
      </c>
      <c r="D262" s="651">
        <v>5976</v>
      </c>
      <c r="E262" s="648" t="s">
        <v>1279</v>
      </c>
      <c r="F262" s="655">
        <v>5941590</v>
      </c>
      <c r="G262" s="655">
        <v>277723</v>
      </c>
      <c r="H262" s="655">
        <v>129100</v>
      </c>
      <c r="I262" s="655">
        <v>764707</v>
      </c>
      <c r="J262" s="655">
        <v>563491</v>
      </c>
      <c r="K262" s="655">
        <v>60573</v>
      </c>
      <c r="L262" s="655">
        <v>71866</v>
      </c>
      <c r="M262" s="655">
        <v>0</v>
      </c>
      <c r="N262" s="655">
        <v>294871</v>
      </c>
      <c r="O262" s="655">
        <v>7284</v>
      </c>
      <c r="P262" s="655">
        <v>48717</v>
      </c>
      <c r="Q262" s="655">
        <v>53885</v>
      </c>
      <c r="R262" s="655">
        <v>0</v>
      </c>
      <c r="S262" s="655">
        <v>31034</v>
      </c>
      <c r="T262" s="655">
        <v>3270</v>
      </c>
      <c r="U262" s="655">
        <v>216531</v>
      </c>
      <c r="V262" s="655">
        <v>0</v>
      </c>
      <c r="W262" s="655">
        <v>88245</v>
      </c>
      <c r="X262" s="655">
        <v>17218</v>
      </c>
      <c r="Y262" s="655">
        <v>0</v>
      </c>
      <c r="Z262" s="655">
        <v>0</v>
      </c>
      <c r="AA262" s="655">
        <v>0</v>
      </c>
      <c r="AB262" s="655">
        <v>0</v>
      </c>
      <c r="AC262" s="655">
        <v>0</v>
      </c>
      <c r="AD262" s="655">
        <v>57967</v>
      </c>
      <c r="AE262" s="655">
        <v>8512138</v>
      </c>
      <c r="AF262" s="655">
        <v>0</v>
      </c>
      <c r="AG262" s="655">
        <v>439830</v>
      </c>
      <c r="AH262" s="655">
        <v>0</v>
      </c>
      <c r="AI262" s="655">
        <v>1080608</v>
      </c>
      <c r="AJ262" s="655">
        <v>2439360</v>
      </c>
      <c r="AK262" s="655">
        <v>12471936</v>
      </c>
      <c r="AL262" s="655">
        <v>10028393</v>
      </c>
      <c r="AM262" s="655">
        <v>2443543</v>
      </c>
    </row>
    <row r="263" spans="1:39" x14ac:dyDescent="0.2">
      <c r="A263" s="649">
        <v>2013</v>
      </c>
      <c r="B263" s="650">
        <v>12</v>
      </c>
      <c r="C263" s="656" t="s">
        <v>336</v>
      </c>
      <c r="D263" s="651">
        <v>5994</v>
      </c>
      <c r="E263" s="648" t="s">
        <v>1280</v>
      </c>
      <c r="F263" s="655">
        <v>4409264</v>
      </c>
      <c r="G263" s="655">
        <v>111638</v>
      </c>
      <c r="H263" s="655">
        <v>214028</v>
      </c>
      <c r="I263" s="655">
        <v>411194</v>
      </c>
      <c r="J263" s="655">
        <v>404775</v>
      </c>
      <c r="K263" s="655">
        <v>40598</v>
      </c>
      <c r="L263" s="655">
        <v>46911</v>
      </c>
      <c r="M263" s="655">
        <v>0</v>
      </c>
      <c r="N263" s="655">
        <v>216157</v>
      </c>
      <c r="O263" s="655">
        <v>28127</v>
      </c>
      <c r="P263" s="655">
        <v>36894</v>
      </c>
      <c r="Q263" s="655">
        <v>41473</v>
      </c>
      <c r="R263" s="655">
        <v>0</v>
      </c>
      <c r="S263" s="655">
        <v>22107</v>
      </c>
      <c r="T263" s="655">
        <v>2652</v>
      </c>
      <c r="U263" s="655">
        <v>140346</v>
      </c>
      <c r="V263" s="655">
        <v>0</v>
      </c>
      <c r="W263" s="655">
        <v>163319</v>
      </c>
      <c r="X263" s="655">
        <v>113229</v>
      </c>
      <c r="Y263" s="655">
        <v>0</v>
      </c>
      <c r="Z263" s="655">
        <v>0</v>
      </c>
      <c r="AA263" s="655">
        <v>0</v>
      </c>
      <c r="AB263" s="655">
        <v>0</v>
      </c>
      <c r="AC263" s="655">
        <v>0</v>
      </c>
      <c r="AD263" s="655">
        <v>53719</v>
      </c>
      <c r="AE263" s="655">
        <v>6348993</v>
      </c>
      <c r="AF263" s="655">
        <v>120020</v>
      </c>
      <c r="AG263" s="655">
        <v>248772</v>
      </c>
      <c r="AH263" s="655">
        <v>0</v>
      </c>
      <c r="AI263" s="655">
        <v>701585</v>
      </c>
      <c r="AJ263" s="655">
        <v>1038789</v>
      </c>
      <c r="AK263" s="655">
        <v>8458159</v>
      </c>
      <c r="AL263" s="655">
        <v>7701748</v>
      </c>
      <c r="AM263" s="655">
        <v>756411</v>
      </c>
    </row>
    <row r="264" spans="1:39" x14ac:dyDescent="0.2">
      <c r="A264" s="649">
        <v>2013</v>
      </c>
      <c r="B264" s="650">
        <v>13</v>
      </c>
      <c r="C264" s="656" t="s">
        <v>337</v>
      </c>
      <c r="D264" s="651">
        <v>6003</v>
      </c>
      <c r="E264" s="648" t="s">
        <v>1281</v>
      </c>
      <c r="F264" s="655">
        <v>2070276</v>
      </c>
      <c r="G264" s="655">
        <v>28492</v>
      </c>
      <c r="H264" s="655">
        <v>210160</v>
      </c>
      <c r="I264" s="655">
        <v>396978</v>
      </c>
      <c r="J264" s="655">
        <v>203816</v>
      </c>
      <c r="K264" s="655">
        <v>21298</v>
      </c>
      <c r="L264" s="655">
        <v>22585</v>
      </c>
      <c r="M264" s="655">
        <v>0</v>
      </c>
      <c r="N264" s="655">
        <v>108267</v>
      </c>
      <c r="O264" s="655">
        <v>6025</v>
      </c>
      <c r="P264" s="655">
        <v>16894</v>
      </c>
      <c r="Q264" s="655">
        <v>18686</v>
      </c>
      <c r="R264" s="655">
        <v>0</v>
      </c>
      <c r="S264" s="655">
        <v>11148</v>
      </c>
      <c r="T264" s="655">
        <v>1175</v>
      </c>
      <c r="U264" s="655">
        <v>0</v>
      </c>
      <c r="V264" s="655">
        <v>0</v>
      </c>
      <c r="W264" s="655">
        <v>20295</v>
      </c>
      <c r="X264" s="655">
        <v>268263</v>
      </c>
      <c r="Y264" s="655">
        <v>0</v>
      </c>
      <c r="Z264" s="655">
        <v>0</v>
      </c>
      <c r="AA264" s="655">
        <v>0</v>
      </c>
      <c r="AB264" s="655">
        <v>0</v>
      </c>
      <c r="AC264" s="655">
        <v>0</v>
      </c>
      <c r="AD264" s="655">
        <v>22257</v>
      </c>
      <c r="AE264" s="655">
        <v>3382101</v>
      </c>
      <c r="AF264" s="655">
        <v>69012</v>
      </c>
      <c r="AG264" s="655">
        <v>165404</v>
      </c>
      <c r="AH264" s="655">
        <v>0</v>
      </c>
      <c r="AI264" s="655">
        <v>1089459</v>
      </c>
      <c r="AJ264" s="655">
        <v>1104968</v>
      </c>
      <c r="AK264" s="655">
        <v>5810944</v>
      </c>
      <c r="AL264" s="655">
        <v>4690996</v>
      </c>
      <c r="AM264" s="655">
        <v>1119948</v>
      </c>
    </row>
    <row r="265" spans="1:39" x14ac:dyDescent="0.2">
      <c r="A265" s="649">
        <v>2013</v>
      </c>
      <c r="B265" s="650">
        <v>15</v>
      </c>
      <c r="C265" s="656" t="s">
        <v>338</v>
      </c>
      <c r="D265" s="651">
        <v>6012</v>
      </c>
      <c r="E265" s="648" t="s">
        <v>1282</v>
      </c>
      <c r="F265" s="655">
        <v>3341605</v>
      </c>
      <c r="G265" s="655">
        <v>80783</v>
      </c>
      <c r="H265" s="655">
        <v>308610</v>
      </c>
      <c r="I265" s="655">
        <v>364866</v>
      </c>
      <c r="J265" s="655">
        <v>316302</v>
      </c>
      <c r="K265" s="655">
        <v>32712</v>
      </c>
      <c r="L265" s="655">
        <v>33764</v>
      </c>
      <c r="M265" s="655">
        <v>0</v>
      </c>
      <c r="N265" s="655">
        <v>161126</v>
      </c>
      <c r="O265" s="655">
        <v>13031</v>
      </c>
      <c r="P265" s="655">
        <v>27288</v>
      </c>
      <c r="Q265" s="655">
        <v>29963</v>
      </c>
      <c r="R265" s="655">
        <v>0</v>
      </c>
      <c r="S265" s="655">
        <v>16455</v>
      </c>
      <c r="T265" s="655">
        <v>1769</v>
      </c>
      <c r="U265" s="655">
        <v>125310</v>
      </c>
      <c r="V265" s="655">
        <v>0</v>
      </c>
      <c r="W265" s="655">
        <v>57065</v>
      </c>
      <c r="X265" s="655">
        <v>18550</v>
      </c>
      <c r="Y265" s="655">
        <v>0</v>
      </c>
      <c r="Z265" s="655">
        <v>0</v>
      </c>
      <c r="AA265" s="655">
        <v>0</v>
      </c>
      <c r="AB265" s="655">
        <v>0</v>
      </c>
      <c r="AC265" s="655">
        <v>0</v>
      </c>
      <c r="AD265" s="655">
        <v>39919</v>
      </c>
      <c r="AE265" s="655">
        <v>4889280</v>
      </c>
      <c r="AF265" s="655">
        <v>114019</v>
      </c>
      <c r="AG265" s="655">
        <v>252846</v>
      </c>
      <c r="AH265" s="655">
        <v>0</v>
      </c>
      <c r="AI265" s="655">
        <v>674347</v>
      </c>
      <c r="AJ265" s="655">
        <v>1217762</v>
      </c>
      <c r="AK265" s="655">
        <v>7148254</v>
      </c>
      <c r="AL265" s="655">
        <v>5586192</v>
      </c>
      <c r="AM265" s="655">
        <v>1562062</v>
      </c>
    </row>
    <row r="266" spans="1:39" x14ac:dyDescent="0.2">
      <c r="A266" s="649">
        <v>2013</v>
      </c>
      <c r="B266" s="654">
        <v>12</v>
      </c>
      <c r="C266" s="656" t="s">
        <v>339</v>
      </c>
      <c r="D266" s="651">
        <v>6030</v>
      </c>
      <c r="E266" s="648" t="s">
        <v>1283</v>
      </c>
      <c r="F266" s="655">
        <v>6169628</v>
      </c>
      <c r="G266" s="655">
        <v>0</v>
      </c>
      <c r="H266" s="655">
        <v>141090</v>
      </c>
      <c r="I266" s="655">
        <v>760867</v>
      </c>
      <c r="J266" s="655">
        <v>537357</v>
      </c>
      <c r="K266" s="655">
        <v>70106</v>
      </c>
      <c r="L266" s="655">
        <v>73437</v>
      </c>
      <c r="M266" s="655">
        <v>0</v>
      </c>
      <c r="N266" s="655">
        <v>312328</v>
      </c>
      <c r="O266" s="655">
        <v>0</v>
      </c>
      <c r="P266" s="655">
        <v>80506</v>
      </c>
      <c r="Q266" s="655">
        <v>90498</v>
      </c>
      <c r="R266" s="655">
        <v>0</v>
      </c>
      <c r="S266" s="655">
        <v>31321</v>
      </c>
      <c r="T266" s="655">
        <v>3753</v>
      </c>
      <c r="U266" s="655">
        <v>308481</v>
      </c>
      <c r="V266" s="655">
        <v>0</v>
      </c>
      <c r="W266" s="655">
        <v>244601</v>
      </c>
      <c r="X266" s="655">
        <v>292490</v>
      </c>
      <c r="Y266" s="655">
        <v>0</v>
      </c>
      <c r="Z266" s="655">
        <v>0</v>
      </c>
      <c r="AA266" s="655">
        <v>0</v>
      </c>
      <c r="AB266" s="655">
        <v>0</v>
      </c>
      <c r="AC266" s="655">
        <v>0</v>
      </c>
      <c r="AD266" s="655">
        <v>59091</v>
      </c>
      <c r="AE266" s="655">
        <v>9057372</v>
      </c>
      <c r="AF266" s="655">
        <v>0</v>
      </c>
      <c r="AG266" s="655">
        <v>476295</v>
      </c>
      <c r="AH266" s="655">
        <v>0</v>
      </c>
      <c r="AI266" s="655">
        <v>1135429</v>
      </c>
      <c r="AJ266" s="655">
        <v>1060563</v>
      </c>
      <c r="AK266" s="655">
        <v>11729659</v>
      </c>
      <c r="AL266" s="655">
        <v>10687304</v>
      </c>
      <c r="AM266" s="655">
        <v>1042355</v>
      </c>
    </row>
    <row r="267" spans="1:39" x14ac:dyDescent="0.2">
      <c r="A267" s="649">
        <v>2013</v>
      </c>
      <c r="B267" s="650">
        <v>12</v>
      </c>
      <c r="C267" s="656" t="s">
        <v>340</v>
      </c>
      <c r="D267" s="651">
        <v>6039</v>
      </c>
      <c r="E267" s="648" t="s">
        <v>1284</v>
      </c>
      <c r="F267" s="655">
        <v>82609766</v>
      </c>
      <c r="G267" s="655">
        <v>0</v>
      </c>
      <c r="H267" s="655">
        <v>2658947</v>
      </c>
      <c r="I267" s="655">
        <v>12766887</v>
      </c>
      <c r="J267" s="655">
        <v>6890434</v>
      </c>
      <c r="K267" s="655">
        <v>826786</v>
      </c>
      <c r="L267" s="655">
        <v>1051447</v>
      </c>
      <c r="M267" s="655">
        <v>0</v>
      </c>
      <c r="N267" s="655">
        <v>4298227</v>
      </c>
      <c r="O267" s="655">
        <v>0</v>
      </c>
      <c r="P267" s="655">
        <v>744801</v>
      </c>
      <c r="Q267" s="655">
        <v>837242</v>
      </c>
      <c r="R267" s="655">
        <v>0</v>
      </c>
      <c r="S267" s="655">
        <v>431031</v>
      </c>
      <c r="T267" s="655">
        <v>51654</v>
      </c>
      <c r="U267" s="655">
        <v>3098528</v>
      </c>
      <c r="V267" s="655">
        <v>0</v>
      </c>
      <c r="W267" s="655">
        <v>2042380</v>
      </c>
      <c r="X267" s="655">
        <v>0</v>
      </c>
      <c r="Y267" s="655">
        <v>0</v>
      </c>
      <c r="Z267" s="655">
        <v>0</v>
      </c>
      <c r="AA267" s="655">
        <v>0</v>
      </c>
      <c r="AB267" s="655">
        <v>0</v>
      </c>
      <c r="AC267" s="655">
        <v>-50476</v>
      </c>
      <c r="AD267" s="655">
        <v>830310</v>
      </c>
      <c r="AE267" s="655">
        <v>117427344</v>
      </c>
      <c r="AF267" s="655">
        <v>1974329</v>
      </c>
      <c r="AG267" s="655">
        <v>3845154</v>
      </c>
      <c r="AH267" s="655">
        <v>0</v>
      </c>
      <c r="AI267" s="655">
        <v>16820786</v>
      </c>
      <c r="AJ267" s="655">
        <v>24407633</v>
      </c>
      <c r="AK267" s="655">
        <v>164475246</v>
      </c>
      <c r="AL267" s="655">
        <v>144457015</v>
      </c>
      <c r="AM267" s="655">
        <v>20018231</v>
      </c>
    </row>
    <row r="268" spans="1:39" x14ac:dyDescent="0.2">
      <c r="A268" s="649">
        <v>2013</v>
      </c>
      <c r="B268" s="650">
        <v>5</v>
      </c>
      <c r="C268" s="656" t="s">
        <v>341</v>
      </c>
      <c r="D268" s="651">
        <v>6035</v>
      </c>
      <c r="E268" s="648" t="s">
        <v>651</v>
      </c>
      <c r="F268" s="655">
        <v>2996570</v>
      </c>
      <c r="G268" s="655">
        <v>73061</v>
      </c>
      <c r="H268" s="655">
        <v>65941</v>
      </c>
      <c r="I268" s="655">
        <v>329196</v>
      </c>
      <c r="J268" s="655">
        <v>323315</v>
      </c>
      <c r="K268" s="655">
        <v>37081</v>
      </c>
      <c r="L268" s="655">
        <v>32943</v>
      </c>
      <c r="M268" s="655">
        <v>0</v>
      </c>
      <c r="N268" s="655">
        <v>151368</v>
      </c>
      <c r="O268" s="655">
        <v>486</v>
      </c>
      <c r="P268" s="655">
        <v>24829</v>
      </c>
      <c r="Q268" s="655">
        <v>27921</v>
      </c>
      <c r="R268" s="655">
        <v>3028</v>
      </c>
      <c r="S268" s="655">
        <v>16229</v>
      </c>
      <c r="T268" s="655">
        <v>1939</v>
      </c>
      <c r="U268" s="655">
        <v>85406</v>
      </c>
      <c r="V268" s="655">
        <v>0</v>
      </c>
      <c r="W268" s="655">
        <v>22943</v>
      </c>
      <c r="X268" s="655">
        <v>260425</v>
      </c>
      <c r="Y268" s="655">
        <v>0</v>
      </c>
      <c r="Z268" s="655">
        <v>0</v>
      </c>
      <c r="AA268" s="655">
        <v>0</v>
      </c>
      <c r="AB268" s="655">
        <v>0</v>
      </c>
      <c r="AC268" s="655">
        <v>0</v>
      </c>
      <c r="AD268" s="655">
        <v>35635</v>
      </c>
      <c r="AE268" s="655">
        <v>4417046</v>
      </c>
      <c r="AF268" s="655">
        <v>96016</v>
      </c>
      <c r="AG268" s="655">
        <v>0</v>
      </c>
      <c r="AH268" s="655">
        <v>0</v>
      </c>
      <c r="AI268" s="655">
        <v>1654071</v>
      </c>
      <c r="AJ268" s="655">
        <v>2280301</v>
      </c>
      <c r="AK268" s="655">
        <v>8447434</v>
      </c>
      <c r="AL268" s="655">
        <v>6239161</v>
      </c>
      <c r="AM268" s="655">
        <v>2208273</v>
      </c>
    </row>
    <row r="269" spans="1:39" x14ac:dyDescent="0.2">
      <c r="A269" s="649">
        <v>2013</v>
      </c>
      <c r="B269" s="650">
        <v>5</v>
      </c>
      <c r="C269" s="656" t="s">
        <v>1871</v>
      </c>
      <c r="D269" s="651">
        <v>6091</v>
      </c>
      <c r="E269" s="648" t="s">
        <v>1639</v>
      </c>
      <c r="F269" s="655">
        <v>5831679</v>
      </c>
      <c r="G269" s="655">
        <v>7592</v>
      </c>
      <c r="H269" s="655">
        <v>601123</v>
      </c>
      <c r="I269" s="655">
        <v>576214</v>
      </c>
      <c r="J269" s="655">
        <v>560692</v>
      </c>
      <c r="K269" s="655">
        <v>56544</v>
      </c>
      <c r="L269" s="655">
        <v>59443</v>
      </c>
      <c r="M269" s="655">
        <v>0</v>
      </c>
      <c r="N269" s="655">
        <v>290748</v>
      </c>
      <c r="O269" s="655">
        <v>6334</v>
      </c>
      <c r="P269" s="655">
        <v>48174</v>
      </c>
      <c r="Q269" s="655">
        <v>54174</v>
      </c>
      <c r="R269" s="655">
        <v>5813</v>
      </c>
      <c r="S269" s="655">
        <v>31049</v>
      </c>
      <c r="T269" s="655">
        <v>3705</v>
      </c>
      <c r="U269" s="655">
        <v>200691</v>
      </c>
      <c r="V269" s="287">
        <v>0</v>
      </c>
      <c r="W269" s="287">
        <v>59534</v>
      </c>
      <c r="X269" s="385">
        <v>133398</v>
      </c>
      <c r="Y269" s="385">
        <v>0</v>
      </c>
      <c r="Z269" s="287">
        <v>0</v>
      </c>
      <c r="AA269" s="287">
        <v>0</v>
      </c>
      <c r="AB269" s="287">
        <v>0</v>
      </c>
      <c r="AC269" s="655">
        <v>43400</v>
      </c>
      <c r="AD269" s="655">
        <v>67346</v>
      </c>
      <c r="AE269" s="655">
        <v>8502961</v>
      </c>
      <c r="AF269" s="655">
        <v>126021</v>
      </c>
      <c r="AG269" s="655">
        <v>480457</v>
      </c>
      <c r="AH269" s="655">
        <v>0</v>
      </c>
      <c r="AI269" s="655">
        <v>1547945</v>
      </c>
      <c r="AJ269" s="655">
        <v>1962513</v>
      </c>
      <c r="AK269" s="655">
        <v>12619897</v>
      </c>
      <c r="AL269" s="655">
        <v>9863838</v>
      </c>
      <c r="AM269" s="655">
        <v>2756059</v>
      </c>
    </row>
    <row r="270" spans="1:39" x14ac:dyDescent="0.2">
      <c r="A270" s="649">
        <v>2013</v>
      </c>
      <c r="B270" s="650">
        <v>10</v>
      </c>
      <c r="C270" s="656" t="s">
        <v>342</v>
      </c>
      <c r="D270" s="651">
        <v>6093</v>
      </c>
      <c r="E270" s="648" t="s">
        <v>1285</v>
      </c>
      <c r="F270" s="655">
        <v>7515652</v>
      </c>
      <c r="G270" s="655">
        <v>0</v>
      </c>
      <c r="H270" s="655">
        <v>63437</v>
      </c>
      <c r="I270" s="655">
        <v>553832</v>
      </c>
      <c r="J270" s="655">
        <v>616206</v>
      </c>
      <c r="K270" s="655">
        <v>62971</v>
      </c>
      <c r="L270" s="655">
        <v>55895</v>
      </c>
      <c r="M270" s="655">
        <v>0</v>
      </c>
      <c r="N270" s="655">
        <v>353519</v>
      </c>
      <c r="O270" s="655">
        <v>0</v>
      </c>
      <c r="P270" s="655">
        <v>62259</v>
      </c>
      <c r="Q270" s="655">
        <v>68371</v>
      </c>
      <c r="R270" s="655">
        <v>0</v>
      </c>
      <c r="S270" s="655">
        <v>32716</v>
      </c>
      <c r="T270" s="655">
        <v>3805</v>
      </c>
      <c r="U270" s="655">
        <v>119982</v>
      </c>
      <c r="V270" s="655">
        <v>0</v>
      </c>
      <c r="W270" s="655">
        <v>39007</v>
      </c>
      <c r="X270" s="655">
        <v>360410</v>
      </c>
      <c r="Y270" s="655">
        <v>0</v>
      </c>
      <c r="Z270" s="655">
        <v>0</v>
      </c>
      <c r="AA270" s="655">
        <v>0</v>
      </c>
      <c r="AB270" s="655">
        <v>0</v>
      </c>
      <c r="AC270" s="655">
        <v>0</v>
      </c>
      <c r="AD270" s="655">
        <v>59937</v>
      </c>
      <c r="AE270" s="655">
        <v>9848125</v>
      </c>
      <c r="AF270" s="655">
        <v>102017</v>
      </c>
      <c r="AG270" s="655">
        <v>553227</v>
      </c>
      <c r="AH270" s="655">
        <v>0</v>
      </c>
      <c r="AI270" s="655">
        <v>1625188</v>
      </c>
      <c r="AJ270" s="655">
        <v>3621087</v>
      </c>
      <c r="AK270" s="655">
        <v>15749644</v>
      </c>
      <c r="AL270" s="655">
        <v>11660390</v>
      </c>
      <c r="AM270" s="655">
        <v>4089254</v>
      </c>
    </row>
    <row r="271" spans="1:39" x14ac:dyDescent="0.2">
      <c r="A271" s="649">
        <v>2013</v>
      </c>
      <c r="B271" s="650">
        <v>11</v>
      </c>
      <c r="C271" s="656" t="s">
        <v>343</v>
      </c>
      <c r="D271" s="651">
        <v>6094</v>
      </c>
      <c r="E271" s="648" t="s">
        <v>1286</v>
      </c>
      <c r="F271" s="655">
        <v>3251942</v>
      </c>
      <c r="G271" s="655">
        <v>16065</v>
      </c>
      <c r="H271" s="655">
        <v>19653</v>
      </c>
      <c r="I271" s="655">
        <v>517046</v>
      </c>
      <c r="J271" s="655">
        <v>286611</v>
      </c>
      <c r="K271" s="655">
        <v>30005</v>
      </c>
      <c r="L271" s="655">
        <v>28406</v>
      </c>
      <c r="M271" s="655">
        <v>0</v>
      </c>
      <c r="N271" s="655">
        <v>160658</v>
      </c>
      <c r="O271" s="655">
        <v>1181</v>
      </c>
      <c r="P271" s="655">
        <v>26743</v>
      </c>
      <c r="Q271" s="655">
        <v>29342</v>
      </c>
      <c r="R271" s="655">
        <v>0</v>
      </c>
      <c r="S271" s="655">
        <v>12913</v>
      </c>
      <c r="T271" s="655">
        <v>1658</v>
      </c>
      <c r="U271" s="655">
        <v>112544</v>
      </c>
      <c r="V271" s="655">
        <v>0</v>
      </c>
      <c r="W271" s="655">
        <v>112804</v>
      </c>
      <c r="X271" s="655">
        <v>132019</v>
      </c>
      <c r="Y271" s="655">
        <v>0</v>
      </c>
      <c r="Z271" s="655">
        <v>0</v>
      </c>
      <c r="AA271" s="655">
        <v>0</v>
      </c>
      <c r="AB271" s="655">
        <v>0</v>
      </c>
      <c r="AC271" s="655">
        <v>0</v>
      </c>
      <c r="AD271" s="655">
        <v>32592</v>
      </c>
      <c r="AE271" s="655">
        <v>4706998</v>
      </c>
      <c r="AF271" s="655">
        <v>102017</v>
      </c>
      <c r="AG271" s="655">
        <v>228401</v>
      </c>
      <c r="AH271" s="655">
        <v>0</v>
      </c>
      <c r="AI271" s="655">
        <v>521473</v>
      </c>
      <c r="AJ271" s="655">
        <v>1802245</v>
      </c>
      <c r="AK271" s="655">
        <v>7361134</v>
      </c>
      <c r="AL271" s="655">
        <v>5659874</v>
      </c>
      <c r="AM271" s="655">
        <v>1701260</v>
      </c>
    </row>
    <row r="272" spans="1:39" x14ac:dyDescent="0.2">
      <c r="A272" s="649">
        <v>2013</v>
      </c>
      <c r="B272" s="650">
        <v>5</v>
      </c>
      <c r="C272" s="656" t="s">
        <v>344</v>
      </c>
      <c r="D272" s="651">
        <v>6095</v>
      </c>
      <c r="E272" s="648" t="s">
        <v>1287</v>
      </c>
      <c r="F272" s="655">
        <v>4099194</v>
      </c>
      <c r="G272" s="655">
        <v>27665</v>
      </c>
      <c r="H272" s="655">
        <v>116652</v>
      </c>
      <c r="I272" s="655">
        <v>421803</v>
      </c>
      <c r="J272" s="655">
        <v>393693</v>
      </c>
      <c r="K272" s="655">
        <v>46759</v>
      </c>
      <c r="L272" s="655">
        <v>43859</v>
      </c>
      <c r="M272" s="655">
        <v>0</v>
      </c>
      <c r="N272" s="655">
        <v>204172</v>
      </c>
      <c r="O272" s="655">
        <v>7713</v>
      </c>
      <c r="P272" s="655">
        <v>33435</v>
      </c>
      <c r="Q272" s="655">
        <v>37599</v>
      </c>
      <c r="R272" s="655">
        <v>4083</v>
      </c>
      <c r="S272" s="655">
        <v>21808</v>
      </c>
      <c r="T272" s="655">
        <v>2605</v>
      </c>
      <c r="U272" s="655">
        <v>0</v>
      </c>
      <c r="V272" s="655">
        <v>0</v>
      </c>
      <c r="W272" s="655">
        <v>119151</v>
      </c>
      <c r="X272" s="655">
        <v>89220</v>
      </c>
      <c r="Y272" s="655">
        <v>0</v>
      </c>
      <c r="Z272" s="655">
        <v>0</v>
      </c>
      <c r="AA272" s="655">
        <v>0</v>
      </c>
      <c r="AB272" s="655">
        <v>0</v>
      </c>
      <c r="AC272" s="655">
        <v>0</v>
      </c>
      <c r="AD272" s="655">
        <v>42944</v>
      </c>
      <c r="AE272" s="655">
        <v>5626467</v>
      </c>
      <c r="AF272" s="655">
        <v>102017</v>
      </c>
      <c r="AG272" s="655">
        <v>327714</v>
      </c>
      <c r="AH272" s="655">
        <v>0</v>
      </c>
      <c r="AI272" s="655">
        <v>1156500</v>
      </c>
      <c r="AJ272" s="655">
        <v>1620263</v>
      </c>
      <c r="AK272" s="655">
        <v>8832961</v>
      </c>
      <c r="AL272" s="655">
        <v>7418812</v>
      </c>
      <c r="AM272" s="655">
        <v>1414149</v>
      </c>
    </row>
    <row r="273" spans="1:39" x14ac:dyDescent="0.2">
      <c r="A273" s="649">
        <v>2013</v>
      </c>
      <c r="B273" s="650">
        <v>5</v>
      </c>
      <c r="C273" s="656" t="s">
        <v>1469</v>
      </c>
      <c r="D273" s="651">
        <v>6096</v>
      </c>
      <c r="E273" s="648" t="s">
        <v>980</v>
      </c>
      <c r="F273" s="655">
        <v>3334107</v>
      </c>
      <c r="G273" s="655">
        <v>11801</v>
      </c>
      <c r="H273" s="655">
        <v>165375</v>
      </c>
      <c r="I273" s="655">
        <v>421438</v>
      </c>
      <c r="J273" s="655">
        <v>314885</v>
      </c>
      <c r="K273" s="655">
        <v>36719</v>
      </c>
      <c r="L273" s="655">
        <v>38051</v>
      </c>
      <c r="M273" s="655">
        <v>0</v>
      </c>
      <c r="N273" s="655">
        <v>167750</v>
      </c>
      <c r="O273" s="655">
        <v>4293</v>
      </c>
      <c r="P273" s="655">
        <v>27203</v>
      </c>
      <c r="Q273" s="655">
        <v>30591</v>
      </c>
      <c r="R273" s="655">
        <v>3354</v>
      </c>
      <c r="S273" s="655">
        <v>17914</v>
      </c>
      <c r="T273" s="655">
        <v>2138</v>
      </c>
      <c r="U273" s="655">
        <v>97998</v>
      </c>
      <c r="V273" s="655">
        <v>0</v>
      </c>
      <c r="W273" s="655">
        <v>114719</v>
      </c>
      <c r="X273" s="655">
        <v>237502</v>
      </c>
      <c r="Y273" s="655">
        <v>0</v>
      </c>
      <c r="Z273" s="655">
        <v>0</v>
      </c>
      <c r="AA273" s="655">
        <v>0</v>
      </c>
      <c r="AB273" s="655">
        <v>0</v>
      </c>
      <c r="AC273" s="655">
        <v>0</v>
      </c>
      <c r="AD273" s="655">
        <v>39624</v>
      </c>
      <c r="AE273" s="655">
        <v>4986214</v>
      </c>
      <c r="AF273" s="655">
        <v>72012</v>
      </c>
      <c r="AG273" s="655">
        <v>271153</v>
      </c>
      <c r="AH273" s="655">
        <v>0</v>
      </c>
      <c r="AI273" s="655">
        <v>981875</v>
      </c>
      <c r="AJ273" s="655">
        <v>971138</v>
      </c>
      <c r="AK273" s="655">
        <v>7282392</v>
      </c>
      <c r="AL273" s="655">
        <v>6418985</v>
      </c>
      <c r="AM273" s="655">
        <v>863407</v>
      </c>
    </row>
    <row r="274" spans="1:39" x14ac:dyDescent="0.2">
      <c r="A274" s="649">
        <v>2013</v>
      </c>
      <c r="B274" s="652" t="s">
        <v>2012</v>
      </c>
      <c r="C274" s="656" t="s">
        <v>345</v>
      </c>
      <c r="D274" s="651">
        <v>6097</v>
      </c>
      <c r="E274" s="648" t="s">
        <v>1288</v>
      </c>
      <c r="F274" s="655">
        <v>1309418</v>
      </c>
      <c r="G274" s="655">
        <v>38654</v>
      </c>
      <c r="H274" s="655">
        <v>93346</v>
      </c>
      <c r="I274" s="655">
        <v>297170</v>
      </c>
      <c r="J274" s="655">
        <v>133687</v>
      </c>
      <c r="K274" s="655">
        <v>13282</v>
      </c>
      <c r="L274" s="655">
        <v>10530</v>
      </c>
      <c r="M274" s="655">
        <v>0</v>
      </c>
      <c r="N274" s="655">
        <v>70641</v>
      </c>
      <c r="O274" s="655">
        <v>8607</v>
      </c>
      <c r="P274" s="655">
        <v>10853</v>
      </c>
      <c r="Q274" s="655">
        <v>12005</v>
      </c>
      <c r="R274" s="655">
        <v>0</v>
      </c>
      <c r="S274" s="655">
        <v>7255</v>
      </c>
      <c r="T274" s="655">
        <v>766</v>
      </c>
      <c r="U274" s="655">
        <v>0</v>
      </c>
      <c r="V274" s="655">
        <v>0</v>
      </c>
      <c r="W274" s="655">
        <v>76479</v>
      </c>
      <c r="X274" s="655">
        <v>71323</v>
      </c>
      <c r="Y274" s="655">
        <v>0</v>
      </c>
      <c r="Z274" s="655">
        <v>0</v>
      </c>
      <c r="AA274" s="655">
        <v>0</v>
      </c>
      <c r="AB274" s="655">
        <v>0</v>
      </c>
      <c r="AC274" s="655">
        <v>0</v>
      </c>
      <c r="AD274" s="655">
        <v>19102</v>
      </c>
      <c r="AE274" s="655">
        <v>2134914</v>
      </c>
      <c r="AF274" s="655">
        <v>39007</v>
      </c>
      <c r="AG274" s="655">
        <v>110191</v>
      </c>
      <c r="AH274" s="655">
        <v>0</v>
      </c>
      <c r="AI274" s="655">
        <v>336523</v>
      </c>
      <c r="AJ274" s="655">
        <v>501607</v>
      </c>
      <c r="AK274" s="655">
        <v>3122242</v>
      </c>
      <c r="AL274" s="655">
        <v>2692240</v>
      </c>
      <c r="AM274" s="655">
        <v>430002</v>
      </c>
    </row>
    <row r="275" spans="1:39" x14ac:dyDescent="0.2">
      <c r="A275" s="649">
        <v>2013</v>
      </c>
      <c r="B275" s="650">
        <v>7</v>
      </c>
      <c r="C275" s="656" t="s">
        <v>346</v>
      </c>
      <c r="D275" s="651">
        <v>6098</v>
      </c>
      <c r="E275" s="648" t="s">
        <v>1289</v>
      </c>
      <c r="F275" s="655">
        <v>8762963</v>
      </c>
      <c r="G275" s="655">
        <v>290380</v>
      </c>
      <c r="H275" s="655">
        <v>203179</v>
      </c>
      <c r="I275" s="655">
        <v>1677390</v>
      </c>
      <c r="J275" s="655">
        <v>798579</v>
      </c>
      <c r="K275" s="655">
        <v>82166</v>
      </c>
      <c r="L275" s="655">
        <v>104989</v>
      </c>
      <c r="M275" s="655">
        <v>0</v>
      </c>
      <c r="N275" s="655">
        <v>463287</v>
      </c>
      <c r="O275" s="655">
        <v>15143</v>
      </c>
      <c r="P275" s="655">
        <v>71990</v>
      </c>
      <c r="Q275" s="655">
        <v>80485</v>
      </c>
      <c r="R275" s="655">
        <v>0</v>
      </c>
      <c r="S275" s="655">
        <v>61195</v>
      </c>
      <c r="T275" s="655">
        <v>7024</v>
      </c>
      <c r="U275" s="655">
        <v>159563</v>
      </c>
      <c r="V275" s="655">
        <v>0</v>
      </c>
      <c r="W275" s="655">
        <v>217758</v>
      </c>
      <c r="X275" s="655">
        <v>56161</v>
      </c>
      <c r="Y275" s="655">
        <v>0</v>
      </c>
      <c r="Z275" s="655">
        <v>0</v>
      </c>
      <c r="AA275" s="655">
        <v>0</v>
      </c>
      <c r="AB275" s="655">
        <v>0</v>
      </c>
      <c r="AC275" s="655">
        <v>-7792</v>
      </c>
      <c r="AD275" s="655">
        <v>92404</v>
      </c>
      <c r="AE275" s="655">
        <v>12952056</v>
      </c>
      <c r="AF275" s="655">
        <v>243041</v>
      </c>
      <c r="AG275" s="655">
        <v>602047</v>
      </c>
      <c r="AH275" s="655">
        <v>0</v>
      </c>
      <c r="AI275" s="655">
        <v>1453661</v>
      </c>
      <c r="AJ275" s="655">
        <v>2071701</v>
      </c>
      <c r="AK275" s="655">
        <v>17322506</v>
      </c>
      <c r="AL275" s="655">
        <v>14623886</v>
      </c>
      <c r="AM275" s="655">
        <v>2698620</v>
      </c>
    </row>
    <row r="276" spans="1:39" x14ac:dyDescent="0.2">
      <c r="A276" s="649">
        <v>2013</v>
      </c>
      <c r="B276" s="650">
        <v>1</v>
      </c>
      <c r="C276" s="656" t="s">
        <v>347</v>
      </c>
      <c r="D276" s="651">
        <v>6100</v>
      </c>
      <c r="E276" s="648" t="s">
        <v>1290</v>
      </c>
      <c r="F276" s="655">
        <v>3604201</v>
      </c>
      <c r="G276" s="655">
        <v>0</v>
      </c>
      <c r="H276" s="655">
        <v>114007</v>
      </c>
      <c r="I276" s="655">
        <v>572615</v>
      </c>
      <c r="J276" s="655">
        <v>322630</v>
      </c>
      <c r="K276" s="655">
        <v>37207</v>
      </c>
      <c r="L276" s="655">
        <v>26823</v>
      </c>
      <c r="M276" s="655">
        <v>0</v>
      </c>
      <c r="N276" s="655">
        <v>193535</v>
      </c>
      <c r="O276" s="655">
        <v>0</v>
      </c>
      <c r="P276" s="655">
        <v>38072</v>
      </c>
      <c r="Q276" s="655">
        <v>42521</v>
      </c>
      <c r="R276" s="655">
        <v>0</v>
      </c>
      <c r="S276" s="655">
        <v>18987</v>
      </c>
      <c r="T276" s="655">
        <v>2018</v>
      </c>
      <c r="U276" s="655">
        <v>164325</v>
      </c>
      <c r="V276" s="655">
        <v>0</v>
      </c>
      <c r="W276" s="655">
        <v>85002</v>
      </c>
      <c r="X276" s="655">
        <v>40664</v>
      </c>
      <c r="Y276" s="655">
        <v>0</v>
      </c>
      <c r="Z276" s="655">
        <v>0</v>
      </c>
      <c r="AA276" s="655">
        <v>0</v>
      </c>
      <c r="AB276" s="655">
        <v>0</v>
      </c>
      <c r="AC276" s="655">
        <v>0</v>
      </c>
      <c r="AD276" s="655">
        <v>45989</v>
      </c>
      <c r="AE276" s="655">
        <v>5216618</v>
      </c>
      <c r="AF276" s="655">
        <v>177030</v>
      </c>
      <c r="AG276" s="655">
        <v>285020</v>
      </c>
      <c r="AH276" s="655">
        <v>0</v>
      </c>
      <c r="AI276" s="655">
        <v>842738</v>
      </c>
      <c r="AJ276" s="655">
        <v>1792561</v>
      </c>
      <c r="AK276" s="655">
        <v>8313967</v>
      </c>
      <c r="AL276" s="655">
        <v>6654286</v>
      </c>
      <c r="AM276" s="655">
        <v>1659681</v>
      </c>
    </row>
    <row r="277" spans="1:39" x14ac:dyDescent="0.2">
      <c r="A277" s="649">
        <v>2013</v>
      </c>
      <c r="B277" s="650">
        <v>11</v>
      </c>
      <c r="C277" s="656" t="s">
        <v>348</v>
      </c>
      <c r="D277" s="651">
        <v>6101</v>
      </c>
      <c r="E277" s="648" t="s">
        <v>1291</v>
      </c>
      <c r="F277" s="655">
        <v>37290214</v>
      </c>
      <c r="G277" s="655">
        <v>0</v>
      </c>
      <c r="H277" s="655">
        <v>645282</v>
      </c>
      <c r="I277" s="655">
        <v>4226324</v>
      </c>
      <c r="J277" s="655">
        <v>3003288</v>
      </c>
      <c r="K277" s="655">
        <v>344318</v>
      </c>
      <c r="L277" s="655">
        <v>337296</v>
      </c>
      <c r="M277" s="655">
        <v>0</v>
      </c>
      <c r="N277" s="655">
        <v>1769693</v>
      </c>
      <c r="O277" s="655">
        <v>0</v>
      </c>
      <c r="P277" s="655">
        <v>316166</v>
      </c>
      <c r="Q277" s="655">
        <v>346892</v>
      </c>
      <c r="R277" s="655">
        <v>0</v>
      </c>
      <c r="S277" s="655">
        <v>142240</v>
      </c>
      <c r="T277" s="655">
        <v>18264</v>
      </c>
      <c r="U277" s="655">
        <v>1263961</v>
      </c>
      <c r="V277" s="655">
        <v>0</v>
      </c>
      <c r="W277" s="655">
        <v>1185678</v>
      </c>
      <c r="X277" s="655">
        <v>1289884</v>
      </c>
      <c r="Y277" s="655">
        <v>0</v>
      </c>
      <c r="Z277" s="655">
        <v>0</v>
      </c>
      <c r="AA277" s="655">
        <v>0</v>
      </c>
      <c r="AB277" s="655">
        <v>0</v>
      </c>
      <c r="AC277" s="655">
        <v>-12354</v>
      </c>
      <c r="AD277" s="655">
        <v>243238</v>
      </c>
      <c r="AE277" s="655">
        <v>51923908</v>
      </c>
      <c r="AF277" s="655">
        <v>684173</v>
      </c>
      <c r="AG277" s="655">
        <v>2373522</v>
      </c>
      <c r="AH277" s="655">
        <v>0</v>
      </c>
      <c r="AI277" s="655">
        <v>6111496</v>
      </c>
      <c r="AJ277" s="655">
        <v>2548818</v>
      </c>
      <c r="AK277" s="655">
        <v>63641917</v>
      </c>
      <c r="AL277" s="655">
        <v>61763776</v>
      </c>
      <c r="AM277" s="655">
        <v>1878141</v>
      </c>
    </row>
    <row r="278" spans="1:39" x14ac:dyDescent="0.2">
      <c r="A278" s="649">
        <v>2013</v>
      </c>
      <c r="B278" s="650">
        <v>5</v>
      </c>
      <c r="C278" s="656" t="s">
        <v>349</v>
      </c>
      <c r="D278" s="651">
        <v>6102</v>
      </c>
      <c r="E278" s="648" t="s">
        <v>1292</v>
      </c>
      <c r="F278" s="655">
        <v>11457709</v>
      </c>
      <c r="G278" s="655">
        <v>0</v>
      </c>
      <c r="H278" s="655">
        <v>304299</v>
      </c>
      <c r="I278" s="655">
        <v>1742150</v>
      </c>
      <c r="J278" s="655">
        <v>1002993</v>
      </c>
      <c r="K278" s="655">
        <v>122100</v>
      </c>
      <c r="L278" s="655">
        <v>118243</v>
      </c>
      <c r="M278" s="655">
        <v>0</v>
      </c>
      <c r="N278" s="655">
        <v>602275</v>
      </c>
      <c r="O278" s="655">
        <v>0</v>
      </c>
      <c r="P278" s="655">
        <v>102976</v>
      </c>
      <c r="Q278" s="655">
        <v>115801</v>
      </c>
      <c r="R278" s="655">
        <v>12045</v>
      </c>
      <c r="S278" s="655">
        <v>64317</v>
      </c>
      <c r="T278" s="655">
        <v>7677</v>
      </c>
      <c r="U278" s="655">
        <v>558607</v>
      </c>
      <c r="V278" s="655">
        <v>0</v>
      </c>
      <c r="W278" s="655">
        <v>104417</v>
      </c>
      <c r="X278" s="655">
        <v>314066</v>
      </c>
      <c r="Y278" s="655">
        <v>0</v>
      </c>
      <c r="Z278" s="655">
        <v>0</v>
      </c>
      <c r="AA278" s="655">
        <v>0</v>
      </c>
      <c r="AB278" s="655">
        <v>0</v>
      </c>
      <c r="AC278" s="655">
        <v>0</v>
      </c>
      <c r="AD278" s="655">
        <v>123470</v>
      </c>
      <c r="AE278" s="655">
        <v>16506205</v>
      </c>
      <c r="AF278" s="655">
        <v>294049</v>
      </c>
      <c r="AG278" s="655">
        <v>607545</v>
      </c>
      <c r="AH278" s="655">
        <v>0</v>
      </c>
      <c r="AI278" s="655">
        <v>2322286</v>
      </c>
      <c r="AJ278" s="655">
        <v>7075423</v>
      </c>
      <c r="AK278" s="655">
        <v>26805508</v>
      </c>
      <c r="AL278" s="655">
        <v>19765615</v>
      </c>
      <c r="AM278" s="655">
        <v>7039893</v>
      </c>
    </row>
    <row r="279" spans="1:39" x14ac:dyDescent="0.2">
      <c r="A279" s="649">
        <v>2013</v>
      </c>
      <c r="B279" s="650">
        <v>5</v>
      </c>
      <c r="C279" s="656" t="s">
        <v>350</v>
      </c>
      <c r="D279" s="651">
        <v>6120</v>
      </c>
      <c r="E279" s="648" t="s">
        <v>1293</v>
      </c>
      <c r="F279" s="655">
        <v>7190398</v>
      </c>
      <c r="G279" s="655">
        <v>0</v>
      </c>
      <c r="H279" s="655">
        <v>276046</v>
      </c>
      <c r="I279" s="655">
        <v>727441</v>
      </c>
      <c r="J279" s="655">
        <v>623184</v>
      </c>
      <c r="K279" s="655">
        <v>74348</v>
      </c>
      <c r="L279" s="655">
        <v>69831</v>
      </c>
      <c r="M279" s="655">
        <v>0</v>
      </c>
      <c r="N279" s="655">
        <v>361270</v>
      </c>
      <c r="O279" s="655">
        <v>0</v>
      </c>
      <c r="P279" s="655">
        <v>59303</v>
      </c>
      <c r="Q279" s="655">
        <v>66688</v>
      </c>
      <c r="R279" s="655">
        <v>7226</v>
      </c>
      <c r="S279" s="655">
        <v>38580</v>
      </c>
      <c r="T279" s="655">
        <v>4605</v>
      </c>
      <c r="U279" s="655">
        <v>208887</v>
      </c>
      <c r="V279" s="655">
        <v>0</v>
      </c>
      <c r="W279" s="655">
        <v>58830</v>
      </c>
      <c r="X279" s="655">
        <v>337987</v>
      </c>
      <c r="Y279" s="655">
        <v>0</v>
      </c>
      <c r="Z279" s="655">
        <v>0</v>
      </c>
      <c r="AA279" s="655">
        <v>0</v>
      </c>
      <c r="AB279" s="655">
        <v>0</v>
      </c>
      <c r="AC279" s="655">
        <v>0</v>
      </c>
      <c r="AD279" s="655">
        <v>68445</v>
      </c>
      <c r="AE279" s="655">
        <v>10036179</v>
      </c>
      <c r="AF279" s="655">
        <v>96016</v>
      </c>
      <c r="AG279" s="655">
        <v>649509</v>
      </c>
      <c r="AH279" s="655">
        <v>0</v>
      </c>
      <c r="AI279" s="655">
        <v>1535640</v>
      </c>
      <c r="AJ279" s="655">
        <v>1528466</v>
      </c>
      <c r="AK279" s="655">
        <v>13845810</v>
      </c>
      <c r="AL279" s="655">
        <v>12360034</v>
      </c>
      <c r="AM279" s="655">
        <v>1485776</v>
      </c>
    </row>
    <row r="280" spans="1:39" x14ac:dyDescent="0.2">
      <c r="A280" s="649">
        <v>2013</v>
      </c>
      <c r="B280" s="650">
        <v>10</v>
      </c>
      <c r="C280" s="656" t="s">
        <v>351</v>
      </c>
      <c r="D280" s="651">
        <v>6138</v>
      </c>
      <c r="E280" s="648" t="s">
        <v>1294</v>
      </c>
      <c r="F280" s="655">
        <v>2338641</v>
      </c>
      <c r="G280" s="655">
        <v>78398</v>
      </c>
      <c r="H280" s="655">
        <v>65536</v>
      </c>
      <c r="I280" s="655">
        <v>236160</v>
      </c>
      <c r="J280" s="655">
        <v>223837</v>
      </c>
      <c r="K280" s="655">
        <v>20902</v>
      </c>
      <c r="L280" s="655">
        <v>18713</v>
      </c>
      <c r="M280" s="655">
        <v>0</v>
      </c>
      <c r="N280" s="655">
        <v>112016</v>
      </c>
      <c r="O280" s="655">
        <v>16969</v>
      </c>
      <c r="P280" s="655">
        <v>19296</v>
      </c>
      <c r="Q280" s="655">
        <v>21191</v>
      </c>
      <c r="R280" s="655">
        <v>0</v>
      </c>
      <c r="S280" s="655">
        <v>10704</v>
      </c>
      <c r="T280" s="655">
        <v>1246</v>
      </c>
      <c r="U280" s="655">
        <v>17164</v>
      </c>
      <c r="V280" s="655">
        <v>0</v>
      </c>
      <c r="W280" s="655">
        <v>55300</v>
      </c>
      <c r="X280" s="655">
        <v>64868</v>
      </c>
      <c r="Y280" s="655">
        <v>0</v>
      </c>
      <c r="Z280" s="655">
        <v>0</v>
      </c>
      <c r="AA280" s="655">
        <v>0</v>
      </c>
      <c r="AB280" s="655">
        <v>0</v>
      </c>
      <c r="AC280" s="655">
        <v>0</v>
      </c>
      <c r="AD280" s="655">
        <v>26699</v>
      </c>
      <c r="AE280" s="655">
        <v>3274242</v>
      </c>
      <c r="AF280" s="655">
        <v>66011</v>
      </c>
      <c r="AG280" s="655">
        <v>179562</v>
      </c>
      <c r="AH280" s="655">
        <v>0</v>
      </c>
      <c r="AI280" s="655">
        <v>650395</v>
      </c>
      <c r="AJ280" s="655">
        <v>1887916</v>
      </c>
      <c r="AK280" s="655">
        <v>6058126</v>
      </c>
      <c r="AL280" s="655">
        <v>4384543</v>
      </c>
      <c r="AM280" s="655">
        <v>1673583</v>
      </c>
    </row>
    <row r="281" spans="1:39" x14ac:dyDescent="0.2">
      <c r="A281" s="649">
        <v>2013</v>
      </c>
      <c r="B281" s="650">
        <v>13</v>
      </c>
      <c r="C281" s="656" t="s">
        <v>352</v>
      </c>
      <c r="D281" s="651">
        <v>6165</v>
      </c>
      <c r="E281" s="648" t="s">
        <v>1295</v>
      </c>
      <c r="F281" s="655">
        <v>1080180</v>
      </c>
      <c r="G281" s="655">
        <v>96302</v>
      </c>
      <c r="H281" s="655">
        <v>42937</v>
      </c>
      <c r="I281" s="655">
        <v>139583</v>
      </c>
      <c r="J281" s="655">
        <v>118493</v>
      </c>
      <c r="K281" s="655">
        <v>14818</v>
      </c>
      <c r="L281" s="655">
        <v>11496</v>
      </c>
      <c r="M281" s="655">
        <v>0</v>
      </c>
      <c r="N281" s="655">
        <v>53632</v>
      </c>
      <c r="O281" s="655">
        <v>8315</v>
      </c>
      <c r="P281" s="655">
        <v>8840</v>
      </c>
      <c r="Q281" s="655">
        <v>9778</v>
      </c>
      <c r="R281" s="655">
        <v>0</v>
      </c>
      <c r="S281" s="655">
        <v>6013</v>
      </c>
      <c r="T281" s="655">
        <v>634</v>
      </c>
      <c r="U281" s="655">
        <v>0</v>
      </c>
      <c r="V281" s="655">
        <v>0</v>
      </c>
      <c r="W281" s="655">
        <v>29651</v>
      </c>
      <c r="X281" s="655">
        <v>22982</v>
      </c>
      <c r="Y281" s="655">
        <v>0</v>
      </c>
      <c r="Z281" s="655">
        <v>0</v>
      </c>
      <c r="AA281" s="655">
        <v>0</v>
      </c>
      <c r="AB281" s="655">
        <v>0</v>
      </c>
      <c r="AC281" s="655">
        <v>0</v>
      </c>
      <c r="AD281" s="655">
        <v>14719</v>
      </c>
      <c r="AE281" s="655">
        <v>1628935</v>
      </c>
      <c r="AF281" s="655">
        <v>66011</v>
      </c>
      <c r="AG281" s="655">
        <v>93413</v>
      </c>
      <c r="AH281" s="655">
        <v>0</v>
      </c>
      <c r="AI281" s="655">
        <v>564241</v>
      </c>
      <c r="AJ281" s="655">
        <v>616532</v>
      </c>
      <c r="AK281" s="655">
        <v>2969132</v>
      </c>
      <c r="AL281" s="655">
        <v>2499822</v>
      </c>
      <c r="AM281" s="655">
        <v>469310</v>
      </c>
    </row>
    <row r="282" spans="1:39" x14ac:dyDescent="0.2">
      <c r="A282" s="649">
        <v>2013</v>
      </c>
      <c r="B282" s="650">
        <v>1</v>
      </c>
      <c r="C282" s="656" t="s">
        <v>353</v>
      </c>
      <c r="D282" s="651">
        <v>6175</v>
      </c>
      <c r="E282" s="648" t="s">
        <v>1296</v>
      </c>
      <c r="F282" s="655">
        <v>3785841</v>
      </c>
      <c r="G282" s="655">
        <v>75414</v>
      </c>
      <c r="H282" s="655">
        <v>34412</v>
      </c>
      <c r="I282" s="655">
        <v>597049</v>
      </c>
      <c r="J282" s="655">
        <v>364883</v>
      </c>
      <c r="K282" s="655">
        <v>40357</v>
      </c>
      <c r="L282" s="655">
        <v>44785</v>
      </c>
      <c r="M282" s="655">
        <v>0</v>
      </c>
      <c r="N282" s="655">
        <v>202611</v>
      </c>
      <c r="O282" s="655">
        <v>14622</v>
      </c>
      <c r="P282" s="655">
        <v>31109</v>
      </c>
      <c r="Q282" s="655">
        <v>34745</v>
      </c>
      <c r="R282" s="655">
        <v>0</v>
      </c>
      <c r="S282" s="655">
        <v>20394</v>
      </c>
      <c r="T282" s="655">
        <v>2165</v>
      </c>
      <c r="U282" s="655">
        <v>117350</v>
      </c>
      <c r="V282" s="655">
        <v>0</v>
      </c>
      <c r="W282" s="655">
        <v>109575</v>
      </c>
      <c r="X282" s="655">
        <v>49982</v>
      </c>
      <c r="Y282" s="655">
        <v>0</v>
      </c>
      <c r="Z282" s="655">
        <v>0</v>
      </c>
      <c r="AA282" s="655">
        <v>0</v>
      </c>
      <c r="AB282" s="655">
        <v>0</v>
      </c>
      <c r="AC282" s="655">
        <v>0</v>
      </c>
      <c r="AD282" s="655">
        <v>50934</v>
      </c>
      <c r="AE282" s="655">
        <v>5474360</v>
      </c>
      <c r="AF282" s="655">
        <v>90015</v>
      </c>
      <c r="AG282" s="655">
        <v>298514</v>
      </c>
      <c r="AH282" s="655">
        <v>0</v>
      </c>
      <c r="AI282" s="655">
        <v>1209977</v>
      </c>
      <c r="AJ282" s="655">
        <v>159334</v>
      </c>
      <c r="AK282" s="655">
        <v>7232200</v>
      </c>
      <c r="AL282" s="655">
        <v>7286656</v>
      </c>
      <c r="AM282" s="655">
        <v>-54456</v>
      </c>
    </row>
    <row r="283" spans="1:39" x14ac:dyDescent="0.2">
      <c r="A283" s="649">
        <v>2013</v>
      </c>
      <c r="B283" s="650">
        <v>5</v>
      </c>
      <c r="C283" s="656" t="s">
        <v>354</v>
      </c>
      <c r="D283" s="651">
        <v>6219</v>
      </c>
      <c r="E283" s="648" t="s">
        <v>1297</v>
      </c>
      <c r="F283" s="655">
        <v>13091782</v>
      </c>
      <c r="G283" s="655">
        <v>0</v>
      </c>
      <c r="H283" s="655">
        <v>1309916</v>
      </c>
      <c r="I283" s="655">
        <v>1191739</v>
      </c>
      <c r="J283" s="655">
        <v>1098654</v>
      </c>
      <c r="K283" s="655">
        <v>126947</v>
      </c>
      <c r="L283" s="655">
        <v>165671</v>
      </c>
      <c r="M283" s="655">
        <v>0</v>
      </c>
      <c r="N283" s="655">
        <v>651720</v>
      </c>
      <c r="O283" s="655">
        <v>0</v>
      </c>
      <c r="P283" s="655">
        <v>118951</v>
      </c>
      <c r="Q283" s="655">
        <v>133766</v>
      </c>
      <c r="R283" s="655">
        <v>13033</v>
      </c>
      <c r="S283" s="655">
        <v>69597</v>
      </c>
      <c r="T283" s="655">
        <v>8307</v>
      </c>
      <c r="U283" s="655">
        <v>654507</v>
      </c>
      <c r="V283" s="655">
        <v>0</v>
      </c>
      <c r="W283" s="655">
        <v>400905</v>
      </c>
      <c r="X283" s="655">
        <v>446817</v>
      </c>
      <c r="Y283" s="655">
        <v>0</v>
      </c>
      <c r="Z283" s="655">
        <v>0</v>
      </c>
      <c r="AA283" s="655">
        <v>0</v>
      </c>
      <c r="AB283" s="655">
        <v>0</v>
      </c>
      <c r="AC283" s="655">
        <v>-1294</v>
      </c>
      <c r="AD283" s="655">
        <v>108959</v>
      </c>
      <c r="AE283" s="655">
        <v>19372059</v>
      </c>
      <c r="AF283" s="655">
        <v>252042</v>
      </c>
      <c r="AG283" s="655">
        <v>320277</v>
      </c>
      <c r="AH283" s="655">
        <v>0</v>
      </c>
      <c r="AI283" s="655">
        <v>3570436</v>
      </c>
      <c r="AJ283" s="655">
        <v>7868463</v>
      </c>
      <c r="AK283" s="655">
        <v>31383277</v>
      </c>
      <c r="AL283" s="655">
        <v>21839118</v>
      </c>
      <c r="AM283" s="655">
        <v>9544159</v>
      </c>
    </row>
    <row r="284" spans="1:39" x14ac:dyDescent="0.2">
      <c r="A284" s="649">
        <v>2013</v>
      </c>
      <c r="B284" s="650">
        <v>5</v>
      </c>
      <c r="C284" s="656" t="s">
        <v>355</v>
      </c>
      <c r="D284" s="651">
        <v>6246</v>
      </c>
      <c r="E284" s="648" t="s">
        <v>1298</v>
      </c>
      <c r="F284" s="655">
        <v>1015952</v>
      </c>
      <c r="G284" s="655">
        <v>72543</v>
      </c>
      <c r="H284" s="655">
        <v>58258</v>
      </c>
      <c r="I284" s="655">
        <v>144889</v>
      </c>
      <c r="J284" s="655">
        <v>86433</v>
      </c>
      <c r="K284" s="655">
        <v>8224</v>
      </c>
      <c r="L284" s="655">
        <v>9450</v>
      </c>
      <c r="M284" s="655">
        <v>0</v>
      </c>
      <c r="N284" s="655">
        <v>51465</v>
      </c>
      <c r="O284" s="655">
        <v>12046</v>
      </c>
      <c r="P284" s="655">
        <v>8161</v>
      </c>
      <c r="Q284" s="655">
        <v>9177</v>
      </c>
      <c r="R284" s="655">
        <v>1030</v>
      </c>
      <c r="S284" s="655">
        <v>5709</v>
      </c>
      <c r="T284" s="655">
        <v>682</v>
      </c>
      <c r="U284" s="655">
        <v>31578</v>
      </c>
      <c r="V284" s="655">
        <v>0</v>
      </c>
      <c r="W284" s="655">
        <v>34121</v>
      </c>
      <c r="X284" s="655">
        <v>0</v>
      </c>
      <c r="Y284" s="655">
        <v>13732</v>
      </c>
      <c r="Z284" s="655">
        <v>0</v>
      </c>
      <c r="AA284" s="655">
        <v>0</v>
      </c>
      <c r="AB284" s="655">
        <v>0</v>
      </c>
      <c r="AC284" s="655">
        <v>0</v>
      </c>
      <c r="AD284" s="655">
        <v>12233</v>
      </c>
      <c r="AE284" s="655">
        <v>1523753</v>
      </c>
      <c r="AF284" s="655">
        <v>33006</v>
      </c>
      <c r="AG284" s="655">
        <v>90280</v>
      </c>
      <c r="AH284" s="655">
        <v>0</v>
      </c>
      <c r="AI284" s="655">
        <v>225414</v>
      </c>
      <c r="AJ284" s="655">
        <v>2015767</v>
      </c>
      <c r="AK284" s="655">
        <v>3888220</v>
      </c>
      <c r="AL284" s="655">
        <v>1741782</v>
      </c>
      <c r="AM284" s="655">
        <v>2146438</v>
      </c>
    </row>
    <row r="285" spans="1:39" x14ac:dyDescent="0.2">
      <c r="A285" s="649">
        <v>2013</v>
      </c>
      <c r="B285" s="650">
        <v>11</v>
      </c>
      <c r="C285" s="656" t="s">
        <v>356</v>
      </c>
      <c r="D285" s="651">
        <v>6264</v>
      </c>
      <c r="E285" s="648" t="s">
        <v>1299</v>
      </c>
      <c r="F285" s="655">
        <v>5775177</v>
      </c>
      <c r="G285" s="655">
        <v>0</v>
      </c>
      <c r="H285" s="655">
        <v>57206</v>
      </c>
      <c r="I285" s="655">
        <v>794898</v>
      </c>
      <c r="J285" s="655">
        <v>506344</v>
      </c>
      <c r="K285" s="655">
        <v>48623</v>
      </c>
      <c r="L285" s="655">
        <v>53839</v>
      </c>
      <c r="M285" s="655">
        <v>0</v>
      </c>
      <c r="N285" s="655">
        <v>277011</v>
      </c>
      <c r="O285" s="655">
        <v>2532</v>
      </c>
      <c r="P285" s="655">
        <v>46825</v>
      </c>
      <c r="Q285" s="655">
        <v>51375</v>
      </c>
      <c r="R285" s="655">
        <v>0</v>
      </c>
      <c r="S285" s="655">
        <v>22265</v>
      </c>
      <c r="T285" s="655">
        <v>2859</v>
      </c>
      <c r="U285" s="655">
        <v>49678</v>
      </c>
      <c r="V285" s="655">
        <v>0</v>
      </c>
      <c r="W285" s="655">
        <v>88833</v>
      </c>
      <c r="X285" s="655">
        <v>0</v>
      </c>
      <c r="Y285" s="655">
        <v>38666</v>
      </c>
      <c r="Z285" s="655">
        <v>0</v>
      </c>
      <c r="AA285" s="655">
        <v>0</v>
      </c>
      <c r="AB285" s="655">
        <v>0</v>
      </c>
      <c r="AC285" s="655">
        <v>0</v>
      </c>
      <c r="AD285" s="655">
        <v>53708</v>
      </c>
      <c r="AE285" s="655">
        <v>7685091</v>
      </c>
      <c r="AF285" s="655">
        <v>150025</v>
      </c>
      <c r="AG285" s="655">
        <v>472467</v>
      </c>
      <c r="AH285" s="655">
        <v>0</v>
      </c>
      <c r="AI285" s="655">
        <v>606435</v>
      </c>
      <c r="AJ285" s="655">
        <v>3375520</v>
      </c>
      <c r="AK285" s="655">
        <v>12289538</v>
      </c>
      <c r="AL285" s="655">
        <v>9127008</v>
      </c>
      <c r="AM285" s="655">
        <v>3162530</v>
      </c>
    </row>
    <row r="286" spans="1:39" x14ac:dyDescent="0.2">
      <c r="A286" s="649">
        <v>2013</v>
      </c>
      <c r="B286" s="650">
        <v>7</v>
      </c>
      <c r="C286" s="656" t="s">
        <v>357</v>
      </c>
      <c r="D286" s="651">
        <v>6273</v>
      </c>
      <c r="E286" s="648" t="s">
        <v>1640</v>
      </c>
      <c r="F286" s="655">
        <v>4910618</v>
      </c>
      <c r="G286" s="655">
        <v>69229</v>
      </c>
      <c r="H286" s="655">
        <v>80311</v>
      </c>
      <c r="I286" s="655">
        <v>620864</v>
      </c>
      <c r="J286" s="655">
        <v>441754</v>
      </c>
      <c r="K286" s="655">
        <v>48541</v>
      </c>
      <c r="L286" s="655">
        <v>43703</v>
      </c>
      <c r="M286" s="655">
        <v>0</v>
      </c>
      <c r="N286" s="655">
        <v>249382</v>
      </c>
      <c r="O286" s="655">
        <v>9663</v>
      </c>
      <c r="P286" s="655">
        <v>40657</v>
      </c>
      <c r="Q286" s="655">
        <v>45439</v>
      </c>
      <c r="R286" s="655">
        <v>0</v>
      </c>
      <c r="S286" s="655">
        <v>30167</v>
      </c>
      <c r="T286" s="655">
        <v>3393</v>
      </c>
      <c r="U286" s="655">
        <v>0</v>
      </c>
      <c r="V286" s="655">
        <v>0</v>
      </c>
      <c r="W286" s="655">
        <v>95331</v>
      </c>
      <c r="X286" s="655">
        <v>31290</v>
      </c>
      <c r="Y286" s="655">
        <v>66964</v>
      </c>
      <c r="Z286" s="655">
        <v>0</v>
      </c>
      <c r="AA286" s="655">
        <v>0</v>
      </c>
      <c r="AB286" s="655">
        <v>0</v>
      </c>
      <c r="AC286" s="655">
        <v>0</v>
      </c>
      <c r="AD286" s="655">
        <v>58775</v>
      </c>
      <c r="AE286" s="655">
        <v>6594603</v>
      </c>
      <c r="AF286" s="655">
        <v>168028</v>
      </c>
      <c r="AG286" s="655">
        <v>395272</v>
      </c>
      <c r="AH286" s="655">
        <v>0</v>
      </c>
      <c r="AI286" s="655">
        <v>2456447</v>
      </c>
      <c r="AJ286" s="655">
        <v>1867541</v>
      </c>
      <c r="AK286" s="655">
        <v>11481891</v>
      </c>
      <c r="AL286" s="655">
        <v>10032654</v>
      </c>
      <c r="AM286" s="655">
        <v>1449237</v>
      </c>
    </row>
    <row r="287" spans="1:39" x14ac:dyDescent="0.2">
      <c r="A287" s="649">
        <v>2013</v>
      </c>
      <c r="B287" s="650">
        <v>10</v>
      </c>
      <c r="C287" s="656" t="s">
        <v>358</v>
      </c>
      <c r="D287" s="651">
        <v>6408</v>
      </c>
      <c r="E287" s="648" t="s">
        <v>1300</v>
      </c>
      <c r="F287" s="655">
        <v>5063103</v>
      </c>
      <c r="G287" s="655">
        <v>70</v>
      </c>
      <c r="H287" s="655">
        <v>75372</v>
      </c>
      <c r="I287" s="655">
        <v>708508</v>
      </c>
      <c r="J287" s="655">
        <v>424022</v>
      </c>
      <c r="K287" s="655">
        <v>44741</v>
      </c>
      <c r="L287" s="655">
        <v>49359</v>
      </c>
      <c r="M287" s="655">
        <v>0</v>
      </c>
      <c r="N287" s="655">
        <v>250720</v>
      </c>
      <c r="O287" s="655">
        <v>0</v>
      </c>
      <c r="P287" s="655">
        <v>41195</v>
      </c>
      <c r="Q287" s="655">
        <v>45239</v>
      </c>
      <c r="R287" s="655">
        <v>0</v>
      </c>
      <c r="S287" s="655">
        <v>23203</v>
      </c>
      <c r="T287" s="655">
        <v>2699</v>
      </c>
      <c r="U287" s="655">
        <v>26089</v>
      </c>
      <c r="V287" s="655">
        <v>0</v>
      </c>
      <c r="W287" s="655">
        <v>58099</v>
      </c>
      <c r="X287" s="655">
        <v>0</v>
      </c>
      <c r="Y287" s="655">
        <v>0</v>
      </c>
      <c r="Z287" s="655">
        <v>0</v>
      </c>
      <c r="AA287" s="655">
        <v>0</v>
      </c>
      <c r="AB287" s="655">
        <v>0</v>
      </c>
      <c r="AC287" s="655">
        <v>0</v>
      </c>
      <c r="AD287" s="655">
        <v>47022</v>
      </c>
      <c r="AE287" s="655">
        <v>6765397</v>
      </c>
      <c r="AF287" s="655">
        <v>87015</v>
      </c>
      <c r="AG287" s="655">
        <v>265391</v>
      </c>
      <c r="AH287" s="655">
        <v>0</v>
      </c>
      <c r="AI287" s="655">
        <v>1123528</v>
      </c>
      <c r="AJ287" s="655">
        <v>2631635</v>
      </c>
      <c r="AK287" s="655">
        <v>10872966</v>
      </c>
      <c r="AL287" s="655">
        <v>8330438</v>
      </c>
      <c r="AM287" s="655">
        <v>2542528</v>
      </c>
    </row>
    <row r="288" spans="1:39" x14ac:dyDescent="0.2">
      <c r="A288" s="649">
        <v>2013</v>
      </c>
      <c r="B288" s="650">
        <v>13</v>
      </c>
      <c r="C288" s="656" t="s">
        <v>359</v>
      </c>
      <c r="D288" s="651">
        <v>6453</v>
      </c>
      <c r="E288" s="648" t="s">
        <v>1301</v>
      </c>
      <c r="F288" s="655">
        <v>3589798</v>
      </c>
      <c r="G288" s="655">
        <v>0</v>
      </c>
      <c r="H288" s="655">
        <v>30353</v>
      </c>
      <c r="I288" s="655">
        <v>257803</v>
      </c>
      <c r="J288" s="655">
        <v>313666</v>
      </c>
      <c r="K288" s="655">
        <v>32626</v>
      </c>
      <c r="L288" s="655">
        <v>33942</v>
      </c>
      <c r="M288" s="655">
        <v>0</v>
      </c>
      <c r="N288" s="655">
        <v>169176</v>
      </c>
      <c r="O288" s="655">
        <v>0</v>
      </c>
      <c r="P288" s="655">
        <v>31578</v>
      </c>
      <c r="Q288" s="655">
        <v>34928</v>
      </c>
      <c r="R288" s="655">
        <v>0</v>
      </c>
      <c r="S288" s="655">
        <v>17375</v>
      </c>
      <c r="T288" s="655">
        <v>1834</v>
      </c>
      <c r="U288" s="655">
        <v>48756</v>
      </c>
      <c r="V288" s="655">
        <v>0</v>
      </c>
      <c r="W288" s="655">
        <v>64125</v>
      </c>
      <c r="X288" s="655">
        <v>0</v>
      </c>
      <c r="Y288" s="655">
        <v>0</v>
      </c>
      <c r="Z288" s="655">
        <v>0</v>
      </c>
      <c r="AA288" s="655">
        <v>0</v>
      </c>
      <c r="AB288" s="655">
        <v>0</v>
      </c>
      <c r="AC288" s="655">
        <v>0</v>
      </c>
      <c r="AD288" s="655">
        <v>27720</v>
      </c>
      <c r="AE288" s="655">
        <v>4598240</v>
      </c>
      <c r="AF288" s="655">
        <v>0</v>
      </c>
      <c r="AG288" s="655">
        <v>281512</v>
      </c>
      <c r="AH288" s="655">
        <v>0</v>
      </c>
      <c r="AI288" s="655">
        <v>1619595</v>
      </c>
      <c r="AJ288" s="655">
        <v>1390769</v>
      </c>
      <c r="AK288" s="655">
        <v>7890116</v>
      </c>
      <c r="AL288" s="655">
        <v>6404817</v>
      </c>
      <c r="AM288" s="655">
        <v>1485299</v>
      </c>
    </row>
    <row r="289" spans="1:39" x14ac:dyDescent="0.2">
      <c r="A289" s="649">
        <v>2013</v>
      </c>
      <c r="B289" s="650">
        <v>13</v>
      </c>
      <c r="C289" s="656" t="s">
        <v>360</v>
      </c>
      <c r="D289" s="651">
        <v>6460</v>
      </c>
      <c r="E289" s="648" t="s">
        <v>1302</v>
      </c>
      <c r="F289" s="655">
        <v>4085548</v>
      </c>
      <c r="G289" s="655">
        <v>8538</v>
      </c>
      <c r="H289" s="655">
        <v>18105</v>
      </c>
      <c r="I289" s="655">
        <v>529215</v>
      </c>
      <c r="J289" s="655">
        <v>353173</v>
      </c>
      <c r="K289" s="655">
        <v>39494</v>
      </c>
      <c r="L289" s="655">
        <v>37998</v>
      </c>
      <c r="M289" s="655">
        <v>0</v>
      </c>
      <c r="N289" s="655">
        <v>201832</v>
      </c>
      <c r="O289" s="655">
        <v>456</v>
      </c>
      <c r="P289" s="655">
        <v>33886</v>
      </c>
      <c r="Q289" s="655">
        <v>37481</v>
      </c>
      <c r="R289" s="655">
        <v>0</v>
      </c>
      <c r="S289" s="655">
        <v>20729</v>
      </c>
      <c r="T289" s="655">
        <v>2188</v>
      </c>
      <c r="U289" s="655">
        <v>202467</v>
      </c>
      <c r="V289" s="655">
        <v>0</v>
      </c>
      <c r="W289" s="655">
        <v>53097</v>
      </c>
      <c r="X289" s="655">
        <v>93856</v>
      </c>
      <c r="Y289" s="655">
        <v>0</v>
      </c>
      <c r="Z289" s="655">
        <v>0</v>
      </c>
      <c r="AA289" s="655">
        <v>0</v>
      </c>
      <c r="AB289" s="655">
        <v>0</v>
      </c>
      <c r="AC289" s="655">
        <v>0</v>
      </c>
      <c r="AD289" s="655">
        <v>40707</v>
      </c>
      <c r="AE289" s="655">
        <v>5677356</v>
      </c>
      <c r="AF289" s="655">
        <v>123021</v>
      </c>
      <c r="AG289" s="655">
        <v>310414</v>
      </c>
      <c r="AH289" s="655">
        <v>0</v>
      </c>
      <c r="AI289" s="655">
        <v>995811</v>
      </c>
      <c r="AJ289" s="655">
        <v>358998</v>
      </c>
      <c r="AK289" s="655">
        <v>7465600</v>
      </c>
      <c r="AL289" s="655">
        <v>7844576</v>
      </c>
      <c r="AM289" s="655">
        <v>-378976</v>
      </c>
    </row>
    <row r="290" spans="1:39" x14ac:dyDescent="0.2">
      <c r="A290" s="649">
        <v>2013</v>
      </c>
      <c r="B290" s="650">
        <v>15</v>
      </c>
      <c r="C290" s="656" t="s">
        <v>361</v>
      </c>
      <c r="D290" s="651">
        <v>6462</v>
      </c>
      <c r="E290" s="648" t="s">
        <v>1303</v>
      </c>
      <c r="F290" s="655">
        <v>1608268</v>
      </c>
      <c r="G290" s="655">
        <v>94661</v>
      </c>
      <c r="H290" s="655">
        <v>141984</v>
      </c>
      <c r="I290" s="655">
        <v>217896</v>
      </c>
      <c r="J290" s="655">
        <v>171501</v>
      </c>
      <c r="K290" s="655">
        <v>15239</v>
      </c>
      <c r="L290" s="655">
        <v>19979</v>
      </c>
      <c r="M290" s="655">
        <v>0</v>
      </c>
      <c r="N290" s="655">
        <v>79492</v>
      </c>
      <c r="O290" s="655">
        <v>14565</v>
      </c>
      <c r="P290" s="655">
        <v>13203</v>
      </c>
      <c r="Q290" s="655">
        <v>14496</v>
      </c>
      <c r="R290" s="655">
        <v>0</v>
      </c>
      <c r="S290" s="655">
        <v>8290</v>
      </c>
      <c r="T290" s="655">
        <v>891</v>
      </c>
      <c r="U290" s="655">
        <v>80413</v>
      </c>
      <c r="V290" s="655">
        <v>0</v>
      </c>
      <c r="W290" s="655">
        <v>35652</v>
      </c>
      <c r="X290" s="655">
        <v>0</v>
      </c>
      <c r="Y290" s="655">
        <v>4204</v>
      </c>
      <c r="Z290" s="655">
        <v>0</v>
      </c>
      <c r="AA290" s="655">
        <v>0</v>
      </c>
      <c r="AB290" s="655">
        <v>0</v>
      </c>
      <c r="AC290" s="655">
        <v>0</v>
      </c>
      <c r="AD290" s="655">
        <v>21091</v>
      </c>
      <c r="AE290" s="655">
        <v>2491235</v>
      </c>
      <c r="AF290" s="655">
        <v>51009</v>
      </c>
      <c r="AG290" s="655">
        <v>136609</v>
      </c>
      <c r="AH290" s="655">
        <v>0</v>
      </c>
      <c r="AI290" s="655">
        <v>262127</v>
      </c>
      <c r="AJ290" s="655">
        <v>1922283</v>
      </c>
      <c r="AK290" s="655">
        <v>4863263</v>
      </c>
      <c r="AL290" s="655">
        <v>3240931</v>
      </c>
      <c r="AM290" s="655">
        <v>1622332</v>
      </c>
    </row>
    <row r="291" spans="1:39" x14ac:dyDescent="0.2">
      <c r="A291" s="649">
        <v>2013</v>
      </c>
      <c r="B291" s="650">
        <v>7</v>
      </c>
      <c r="C291" s="656" t="s">
        <v>362</v>
      </c>
      <c r="D291" s="651">
        <v>6471</v>
      </c>
      <c r="E291" s="648" t="s">
        <v>1304</v>
      </c>
      <c r="F291" s="655">
        <v>2778400</v>
      </c>
      <c r="G291" s="655">
        <v>38755</v>
      </c>
      <c r="H291" s="655">
        <v>13656</v>
      </c>
      <c r="I291" s="655">
        <v>410962</v>
      </c>
      <c r="J291" s="655">
        <v>262996</v>
      </c>
      <c r="K291" s="655">
        <v>26760</v>
      </c>
      <c r="L291" s="655">
        <v>27436</v>
      </c>
      <c r="M291" s="655">
        <v>0</v>
      </c>
      <c r="N291" s="655">
        <v>141082</v>
      </c>
      <c r="O291" s="655">
        <v>1556</v>
      </c>
      <c r="P291" s="655">
        <v>22827</v>
      </c>
      <c r="Q291" s="655">
        <v>25521</v>
      </c>
      <c r="R291" s="655">
        <v>0</v>
      </c>
      <c r="S291" s="655">
        <v>18575</v>
      </c>
      <c r="T291" s="655">
        <v>2132</v>
      </c>
      <c r="U291" s="655">
        <v>24475</v>
      </c>
      <c r="V291" s="655">
        <v>0</v>
      </c>
      <c r="W291" s="655">
        <v>47064</v>
      </c>
      <c r="X291" s="655">
        <v>0</v>
      </c>
      <c r="Y291" s="655">
        <v>74556</v>
      </c>
      <c r="Z291" s="655">
        <v>0</v>
      </c>
      <c r="AA291" s="655">
        <v>0</v>
      </c>
      <c r="AB291" s="655">
        <v>0</v>
      </c>
      <c r="AC291" s="655">
        <v>0</v>
      </c>
      <c r="AD291" s="655">
        <v>27729</v>
      </c>
      <c r="AE291" s="655">
        <v>3739912</v>
      </c>
      <c r="AF291" s="655">
        <v>57010</v>
      </c>
      <c r="AG291" s="655">
        <v>203427</v>
      </c>
      <c r="AH291" s="655">
        <v>0</v>
      </c>
      <c r="AI291" s="655">
        <v>606672</v>
      </c>
      <c r="AJ291" s="655">
        <v>1839071</v>
      </c>
      <c r="AK291" s="655">
        <v>6446092</v>
      </c>
      <c r="AL291" s="655">
        <v>4839401</v>
      </c>
      <c r="AM291" s="655">
        <v>1606691</v>
      </c>
    </row>
    <row r="292" spans="1:39" x14ac:dyDescent="0.2">
      <c r="A292" s="649">
        <v>2013</v>
      </c>
      <c r="B292" s="650">
        <v>1</v>
      </c>
      <c r="C292" s="656" t="s">
        <v>363</v>
      </c>
      <c r="D292" s="651">
        <v>6509</v>
      </c>
      <c r="E292" s="648" t="s">
        <v>1305</v>
      </c>
      <c r="F292" s="655">
        <v>2394418</v>
      </c>
      <c r="G292" s="655">
        <v>117609</v>
      </c>
      <c r="H292" s="655">
        <v>70075</v>
      </c>
      <c r="I292" s="655">
        <v>328138</v>
      </c>
      <c r="J292" s="655">
        <v>227729</v>
      </c>
      <c r="K292" s="655">
        <v>26142</v>
      </c>
      <c r="L292" s="655">
        <v>17509</v>
      </c>
      <c r="M292" s="655">
        <v>0</v>
      </c>
      <c r="N292" s="655">
        <v>122736</v>
      </c>
      <c r="O292" s="655">
        <v>24018</v>
      </c>
      <c r="P292" s="655">
        <v>21480</v>
      </c>
      <c r="Q292" s="655">
        <v>23990</v>
      </c>
      <c r="R292" s="655">
        <v>0</v>
      </c>
      <c r="S292" s="655">
        <v>12510</v>
      </c>
      <c r="T292" s="655">
        <v>1328</v>
      </c>
      <c r="U292" s="655">
        <v>91999</v>
      </c>
      <c r="V292" s="655">
        <v>0</v>
      </c>
      <c r="W292" s="655">
        <v>76479</v>
      </c>
      <c r="X292" s="655">
        <v>0</v>
      </c>
      <c r="Y292" s="655">
        <v>0</v>
      </c>
      <c r="Z292" s="655">
        <v>0</v>
      </c>
      <c r="AA292" s="655">
        <v>0</v>
      </c>
      <c r="AB292" s="655">
        <v>0</v>
      </c>
      <c r="AC292" s="655">
        <v>0</v>
      </c>
      <c r="AD292" s="655">
        <v>36092</v>
      </c>
      <c r="AE292" s="655">
        <v>3520068</v>
      </c>
      <c r="AF292" s="655">
        <v>72012</v>
      </c>
      <c r="AG292" s="655">
        <v>210156</v>
      </c>
      <c r="AH292" s="655">
        <v>0</v>
      </c>
      <c r="AI292" s="655">
        <v>769116</v>
      </c>
      <c r="AJ292" s="655">
        <v>1091484</v>
      </c>
      <c r="AK292" s="655">
        <v>5662836</v>
      </c>
      <c r="AL292" s="655">
        <v>4801499</v>
      </c>
      <c r="AM292" s="655">
        <v>861337</v>
      </c>
    </row>
    <row r="293" spans="1:39" x14ac:dyDescent="0.2">
      <c r="A293" s="649">
        <v>2013</v>
      </c>
      <c r="B293" s="650">
        <v>11</v>
      </c>
      <c r="C293" s="656" t="s">
        <v>364</v>
      </c>
      <c r="D293" s="651">
        <v>6512</v>
      </c>
      <c r="E293" s="648" t="s">
        <v>1306</v>
      </c>
      <c r="F293" s="655">
        <v>2374412</v>
      </c>
      <c r="G293" s="655">
        <v>72256</v>
      </c>
      <c r="H293" s="655">
        <v>31338</v>
      </c>
      <c r="I293" s="655">
        <v>311445</v>
      </c>
      <c r="J293" s="655">
        <v>229771</v>
      </c>
      <c r="K293" s="655">
        <v>23710</v>
      </c>
      <c r="L293" s="655">
        <v>27936</v>
      </c>
      <c r="M293" s="655">
        <v>0</v>
      </c>
      <c r="N293" s="655">
        <v>113542</v>
      </c>
      <c r="O293" s="655">
        <v>4757</v>
      </c>
      <c r="P293" s="655">
        <v>19739</v>
      </c>
      <c r="Q293" s="655">
        <v>21657</v>
      </c>
      <c r="R293" s="655">
        <v>0</v>
      </c>
      <c r="S293" s="655">
        <v>9395</v>
      </c>
      <c r="T293" s="655">
        <v>1210</v>
      </c>
      <c r="U293" s="655">
        <v>86000</v>
      </c>
      <c r="V293" s="655">
        <v>0</v>
      </c>
      <c r="W293" s="655">
        <v>64713</v>
      </c>
      <c r="X293" s="655">
        <v>49239</v>
      </c>
      <c r="Y293" s="655">
        <v>0</v>
      </c>
      <c r="Z293" s="655">
        <v>0</v>
      </c>
      <c r="AA293" s="655">
        <v>0</v>
      </c>
      <c r="AB293" s="655">
        <v>0</v>
      </c>
      <c r="AC293" s="655">
        <v>-4094</v>
      </c>
      <c r="AD293" s="655">
        <v>25599</v>
      </c>
      <c r="AE293" s="655">
        <v>3411427</v>
      </c>
      <c r="AF293" s="655">
        <v>81014</v>
      </c>
      <c r="AG293" s="655">
        <v>86967</v>
      </c>
      <c r="AH293" s="655">
        <v>0</v>
      </c>
      <c r="AI293" s="655">
        <v>659468</v>
      </c>
      <c r="AJ293" s="655">
        <v>1921593</v>
      </c>
      <c r="AK293" s="655">
        <v>6160469</v>
      </c>
      <c r="AL293" s="655">
        <v>4544776</v>
      </c>
      <c r="AM293" s="655">
        <v>1615693</v>
      </c>
    </row>
    <row r="294" spans="1:39" x14ac:dyDescent="0.2">
      <c r="A294" s="649">
        <v>2013</v>
      </c>
      <c r="B294" s="650">
        <v>5</v>
      </c>
      <c r="C294" s="656" t="s">
        <v>365</v>
      </c>
      <c r="D294" s="651">
        <v>6516</v>
      </c>
      <c r="E294" s="648" t="s">
        <v>1307</v>
      </c>
      <c r="F294" s="655">
        <v>1043744</v>
      </c>
      <c r="G294" s="655">
        <v>88193</v>
      </c>
      <c r="H294" s="655">
        <v>71185</v>
      </c>
      <c r="I294" s="655">
        <v>115553</v>
      </c>
      <c r="J294" s="655">
        <v>108018</v>
      </c>
      <c r="K294" s="655">
        <v>10382</v>
      </c>
      <c r="L294" s="655">
        <v>10107</v>
      </c>
      <c r="M294" s="655">
        <v>0</v>
      </c>
      <c r="N294" s="655">
        <v>51397</v>
      </c>
      <c r="O294" s="655">
        <v>6378</v>
      </c>
      <c r="P294" s="655">
        <v>9249</v>
      </c>
      <c r="Q294" s="655">
        <v>10401</v>
      </c>
      <c r="R294" s="655">
        <v>1027</v>
      </c>
      <c r="S294" s="655">
        <v>5677</v>
      </c>
      <c r="T294" s="655">
        <v>678</v>
      </c>
      <c r="U294" s="655">
        <v>0</v>
      </c>
      <c r="V294" s="655">
        <v>0</v>
      </c>
      <c r="W294" s="655">
        <v>70596</v>
      </c>
      <c r="X294" s="655">
        <v>69771</v>
      </c>
      <c r="Y294" s="655">
        <v>0</v>
      </c>
      <c r="Z294" s="655">
        <v>0</v>
      </c>
      <c r="AA294" s="655">
        <v>0</v>
      </c>
      <c r="AB294" s="655">
        <v>0</v>
      </c>
      <c r="AC294" s="655">
        <v>0</v>
      </c>
      <c r="AD294" s="655">
        <v>14102</v>
      </c>
      <c r="AE294" s="655">
        <v>1658254</v>
      </c>
      <c r="AF294" s="655">
        <v>27005</v>
      </c>
      <c r="AG294" s="655">
        <v>100222</v>
      </c>
      <c r="AH294" s="655">
        <v>282984</v>
      </c>
      <c r="AI294" s="655">
        <v>128533</v>
      </c>
      <c r="AJ294" s="655">
        <v>999251</v>
      </c>
      <c r="AK294" s="655">
        <v>3196249</v>
      </c>
      <c r="AL294" s="655">
        <v>1877149</v>
      </c>
      <c r="AM294" s="655">
        <v>1319100</v>
      </c>
    </row>
    <row r="295" spans="1:39" x14ac:dyDescent="0.2">
      <c r="A295" s="649">
        <v>2013</v>
      </c>
      <c r="B295" s="650">
        <v>13</v>
      </c>
      <c r="C295" s="656" t="s">
        <v>366</v>
      </c>
      <c r="D295" s="651">
        <v>6534</v>
      </c>
      <c r="E295" s="648" t="s">
        <v>1312</v>
      </c>
      <c r="F295" s="655">
        <v>4410735</v>
      </c>
      <c r="G295" s="655">
        <v>0</v>
      </c>
      <c r="H295" s="655">
        <v>56835</v>
      </c>
      <c r="I295" s="655">
        <v>429792</v>
      </c>
      <c r="J295" s="655">
        <v>359915</v>
      </c>
      <c r="K295" s="655">
        <v>36618</v>
      </c>
      <c r="L295" s="655">
        <v>40506</v>
      </c>
      <c r="M295" s="655">
        <v>0</v>
      </c>
      <c r="N295" s="655">
        <v>212835</v>
      </c>
      <c r="O295" s="655">
        <v>1412</v>
      </c>
      <c r="P295" s="655">
        <v>37716</v>
      </c>
      <c r="Q295" s="655">
        <v>41718</v>
      </c>
      <c r="R295" s="655">
        <v>0</v>
      </c>
      <c r="S295" s="655">
        <v>21859</v>
      </c>
      <c r="T295" s="655">
        <v>2307</v>
      </c>
      <c r="U295" s="655">
        <v>101845</v>
      </c>
      <c r="V295" s="655">
        <v>0</v>
      </c>
      <c r="W295" s="655">
        <v>88245</v>
      </c>
      <c r="X295" s="655">
        <v>0</v>
      </c>
      <c r="Y295" s="655">
        <v>0</v>
      </c>
      <c r="Z295" s="655">
        <v>0</v>
      </c>
      <c r="AA295" s="655">
        <v>0</v>
      </c>
      <c r="AB295" s="655">
        <v>0</v>
      </c>
      <c r="AC295" s="655">
        <v>0</v>
      </c>
      <c r="AD295" s="655">
        <v>37642</v>
      </c>
      <c r="AE295" s="655">
        <v>5804696</v>
      </c>
      <c r="AF295" s="655">
        <v>87015</v>
      </c>
      <c r="AG295" s="655">
        <v>336407</v>
      </c>
      <c r="AH295" s="655">
        <v>0</v>
      </c>
      <c r="AI295" s="655">
        <v>948173</v>
      </c>
      <c r="AJ295" s="655">
        <v>1589305</v>
      </c>
      <c r="AK295" s="655">
        <v>8765596</v>
      </c>
      <c r="AL295" s="655">
        <v>7715727</v>
      </c>
      <c r="AM295" s="655">
        <v>1049869</v>
      </c>
    </row>
    <row r="296" spans="1:39" x14ac:dyDescent="0.2">
      <c r="A296" s="649">
        <v>2013</v>
      </c>
      <c r="B296" s="650">
        <v>11</v>
      </c>
      <c r="C296" s="656" t="s">
        <v>367</v>
      </c>
      <c r="D296" s="651">
        <v>6561</v>
      </c>
      <c r="E296" s="648" t="s">
        <v>1313</v>
      </c>
      <c r="F296" s="655">
        <v>1847708</v>
      </c>
      <c r="G296" s="655">
        <v>230744</v>
      </c>
      <c r="H296" s="655">
        <v>28163</v>
      </c>
      <c r="I296" s="655">
        <v>183091</v>
      </c>
      <c r="J296" s="655">
        <v>150522</v>
      </c>
      <c r="K296" s="655">
        <v>12208</v>
      </c>
      <c r="L296" s="655">
        <v>20659</v>
      </c>
      <c r="M296" s="655">
        <v>0</v>
      </c>
      <c r="N296" s="655">
        <v>86565</v>
      </c>
      <c r="O296" s="655">
        <v>14357</v>
      </c>
      <c r="P296" s="655">
        <v>15233</v>
      </c>
      <c r="Q296" s="655">
        <v>16713</v>
      </c>
      <c r="R296" s="655">
        <v>0</v>
      </c>
      <c r="S296" s="655">
        <v>7752</v>
      </c>
      <c r="T296" s="655">
        <v>999</v>
      </c>
      <c r="U296" s="655">
        <v>0</v>
      </c>
      <c r="V296" s="655">
        <v>0</v>
      </c>
      <c r="W296" s="655">
        <v>117859</v>
      </c>
      <c r="X296" s="655">
        <v>24247</v>
      </c>
      <c r="Y296" s="655">
        <v>0</v>
      </c>
      <c r="Z296" s="655">
        <v>0</v>
      </c>
      <c r="AA296" s="655">
        <v>0</v>
      </c>
      <c r="AB296" s="655">
        <v>0</v>
      </c>
      <c r="AC296" s="655">
        <v>0</v>
      </c>
      <c r="AD296" s="655">
        <v>24061</v>
      </c>
      <c r="AE296" s="655">
        <v>2732759</v>
      </c>
      <c r="AF296" s="655">
        <v>123021</v>
      </c>
      <c r="AG296" s="655">
        <v>186416</v>
      </c>
      <c r="AH296" s="655">
        <v>0</v>
      </c>
      <c r="AI296" s="655">
        <v>714142</v>
      </c>
      <c r="AJ296" s="655">
        <v>697420</v>
      </c>
      <c r="AK296" s="655">
        <v>4453758</v>
      </c>
      <c r="AL296" s="655">
        <v>3901226</v>
      </c>
      <c r="AM296" s="655">
        <v>552532</v>
      </c>
    </row>
    <row r="297" spans="1:39" x14ac:dyDescent="0.2">
      <c r="A297" s="649">
        <v>2013</v>
      </c>
      <c r="B297" s="650">
        <v>11</v>
      </c>
      <c r="C297" s="656" t="s">
        <v>368</v>
      </c>
      <c r="D297" s="651">
        <v>6579</v>
      </c>
      <c r="E297" s="648" t="s">
        <v>1314</v>
      </c>
      <c r="F297" s="655">
        <v>19874712</v>
      </c>
      <c r="G297" s="655">
        <v>88648</v>
      </c>
      <c r="H297" s="655">
        <v>589916</v>
      </c>
      <c r="I297" s="655">
        <v>1858870</v>
      </c>
      <c r="J297" s="655">
        <v>1738714</v>
      </c>
      <c r="K297" s="655">
        <v>206033</v>
      </c>
      <c r="L297" s="655">
        <v>195104</v>
      </c>
      <c r="M297" s="655">
        <v>0</v>
      </c>
      <c r="N297" s="655">
        <v>926421</v>
      </c>
      <c r="O297" s="655">
        <v>0</v>
      </c>
      <c r="P297" s="655">
        <v>183283</v>
      </c>
      <c r="Q297" s="655">
        <v>201095</v>
      </c>
      <c r="R297" s="655">
        <v>0</v>
      </c>
      <c r="S297" s="655">
        <v>74461</v>
      </c>
      <c r="T297" s="655">
        <v>9561</v>
      </c>
      <c r="U297" s="655">
        <v>691961</v>
      </c>
      <c r="V297" s="655">
        <v>558589</v>
      </c>
      <c r="W297" s="655">
        <v>570935</v>
      </c>
      <c r="X297" s="655">
        <v>831935</v>
      </c>
      <c r="Y297" s="655">
        <v>0</v>
      </c>
      <c r="Z297" s="655">
        <v>0</v>
      </c>
      <c r="AA297" s="655">
        <v>0</v>
      </c>
      <c r="AB297" s="655">
        <v>0</v>
      </c>
      <c r="AC297" s="655">
        <v>-13060</v>
      </c>
      <c r="AD297" s="655">
        <v>169027</v>
      </c>
      <c r="AE297" s="655">
        <v>28418151</v>
      </c>
      <c r="AF297" s="655">
        <v>429072</v>
      </c>
      <c r="AG297" s="655">
        <v>1543367</v>
      </c>
      <c r="AH297" s="655">
        <v>0</v>
      </c>
      <c r="AI297" s="655">
        <v>7346069</v>
      </c>
      <c r="AJ297" s="655">
        <v>5055018</v>
      </c>
      <c r="AK297" s="655">
        <v>42791677</v>
      </c>
      <c r="AL297" s="655">
        <v>37200854</v>
      </c>
      <c r="AM297" s="655">
        <v>5590823</v>
      </c>
    </row>
    <row r="298" spans="1:39" x14ac:dyDescent="0.2">
      <c r="A298" s="649">
        <v>2013</v>
      </c>
      <c r="B298" s="650">
        <v>1</v>
      </c>
      <c r="C298" s="656" t="s">
        <v>369</v>
      </c>
      <c r="D298" s="651">
        <v>6591</v>
      </c>
      <c r="E298" s="648" t="s">
        <v>1333</v>
      </c>
      <c r="F298" s="655">
        <v>2684294</v>
      </c>
      <c r="G298" s="655">
        <v>11607</v>
      </c>
      <c r="H298" s="655">
        <v>17970</v>
      </c>
      <c r="I298" s="655">
        <v>331320</v>
      </c>
      <c r="J298" s="655">
        <v>236827</v>
      </c>
      <c r="K298" s="655">
        <v>25626</v>
      </c>
      <c r="L298" s="655">
        <v>26709</v>
      </c>
      <c r="M298" s="655">
        <v>0</v>
      </c>
      <c r="N298" s="655">
        <v>139197</v>
      </c>
      <c r="O298" s="655">
        <v>12820</v>
      </c>
      <c r="P298" s="655">
        <v>22023</v>
      </c>
      <c r="Q298" s="655">
        <v>24597</v>
      </c>
      <c r="R298" s="655">
        <v>0</v>
      </c>
      <c r="S298" s="655">
        <v>13656</v>
      </c>
      <c r="T298" s="655">
        <v>1452</v>
      </c>
      <c r="U298" s="655">
        <v>88536</v>
      </c>
      <c r="V298" s="655">
        <v>0</v>
      </c>
      <c r="W298" s="655">
        <v>11766</v>
      </c>
      <c r="X298" s="655">
        <v>22895</v>
      </c>
      <c r="Y298" s="655">
        <v>0</v>
      </c>
      <c r="Z298" s="655">
        <v>0</v>
      </c>
      <c r="AA298" s="655">
        <v>0</v>
      </c>
      <c r="AB298" s="655">
        <v>0</v>
      </c>
      <c r="AC298" s="655">
        <v>-14174</v>
      </c>
      <c r="AD298" s="655">
        <v>34257</v>
      </c>
      <c r="AE298" s="655">
        <v>3622864</v>
      </c>
      <c r="AF298" s="655">
        <v>75013</v>
      </c>
      <c r="AG298" s="655">
        <v>190789</v>
      </c>
      <c r="AH298" s="655">
        <v>0</v>
      </c>
      <c r="AI298" s="655">
        <v>559554</v>
      </c>
      <c r="AJ298" s="655">
        <v>540396</v>
      </c>
      <c r="AK298" s="655">
        <v>4988616</v>
      </c>
      <c r="AL298" s="655">
        <v>4458168</v>
      </c>
      <c r="AM298" s="655">
        <v>530448</v>
      </c>
    </row>
    <row r="299" spans="1:39" x14ac:dyDescent="0.2">
      <c r="A299" s="649">
        <v>2013</v>
      </c>
      <c r="B299" s="650">
        <v>15</v>
      </c>
      <c r="C299" s="656" t="s">
        <v>370</v>
      </c>
      <c r="D299" s="651">
        <v>6592</v>
      </c>
      <c r="E299" s="648" t="s">
        <v>2013</v>
      </c>
      <c r="F299" s="655">
        <v>3951717</v>
      </c>
      <c r="G299" s="655">
        <v>283150</v>
      </c>
      <c r="H299" s="655">
        <v>50729</v>
      </c>
      <c r="I299" s="655">
        <v>563648</v>
      </c>
      <c r="J299" s="655">
        <v>364723</v>
      </c>
      <c r="K299" s="655">
        <v>35601</v>
      </c>
      <c r="L299" s="655">
        <v>43533</v>
      </c>
      <c r="M299" s="655">
        <v>0</v>
      </c>
      <c r="N299" s="655">
        <v>196518</v>
      </c>
      <c r="O299" s="655">
        <v>20241</v>
      </c>
      <c r="P299" s="655">
        <v>32295</v>
      </c>
      <c r="Q299" s="655">
        <v>35460</v>
      </c>
      <c r="R299" s="655">
        <v>0</v>
      </c>
      <c r="S299" s="655">
        <v>21029</v>
      </c>
      <c r="T299" s="655">
        <v>2261</v>
      </c>
      <c r="U299" s="655">
        <v>148189</v>
      </c>
      <c r="V299" s="655">
        <v>0</v>
      </c>
      <c r="W299" s="655">
        <v>174137</v>
      </c>
      <c r="X299" s="655">
        <v>920</v>
      </c>
      <c r="Y299" s="655">
        <v>0</v>
      </c>
      <c r="Z299" s="655">
        <v>0</v>
      </c>
      <c r="AA299" s="655">
        <v>0</v>
      </c>
      <c r="AB299" s="655">
        <v>0</v>
      </c>
      <c r="AC299" s="655">
        <v>0</v>
      </c>
      <c r="AD299" s="655">
        <v>46874</v>
      </c>
      <c r="AE299" s="655">
        <v>5877277</v>
      </c>
      <c r="AF299" s="655">
        <v>90015</v>
      </c>
      <c r="AG299" s="655">
        <v>323078</v>
      </c>
      <c r="AH299" s="655">
        <v>0</v>
      </c>
      <c r="AI299" s="655">
        <v>1017675</v>
      </c>
      <c r="AJ299" s="655">
        <v>1457139</v>
      </c>
      <c r="AK299" s="655">
        <v>8765184</v>
      </c>
      <c r="AL299" s="655">
        <v>7295574</v>
      </c>
      <c r="AM299" s="655">
        <v>1469610</v>
      </c>
    </row>
    <row r="300" spans="1:39" x14ac:dyDescent="0.2">
      <c r="A300" s="649">
        <v>2013</v>
      </c>
      <c r="B300" s="650">
        <v>11</v>
      </c>
      <c r="C300" s="656" t="s">
        <v>371</v>
      </c>
      <c r="D300" s="651">
        <v>6615</v>
      </c>
      <c r="E300" s="648" t="s">
        <v>1334</v>
      </c>
      <c r="F300" s="655">
        <v>3512385</v>
      </c>
      <c r="G300" s="655">
        <v>0</v>
      </c>
      <c r="H300" s="655">
        <v>92631</v>
      </c>
      <c r="I300" s="655">
        <v>253542</v>
      </c>
      <c r="J300" s="655">
        <v>313294</v>
      </c>
      <c r="K300" s="655">
        <v>31957</v>
      </c>
      <c r="L300" s="655">
        <v>33438</v>
      </c>
      <c r="M300" s="655">
        <v>0</v>
      </c>
      <c r="N300" s="655">
        <v>160527</v>
      </c>
      <c r="O300" s="655">
        <v>1207</v>
      </c>
      <c r="P300" s="655">
        <v>30025</v>
      </c>
      <c r="Q300" s="655">
        <v>32943</v>
      </c>
      <c r="R300" s="655">
        <v>0</v>
      </c>
      <c r="S300" s="655">
        <v>12902</v>
      </c>
      <c r="T300" s="655">
        <v>1657</v>
      </c>
      <c r="U300" s="655">
        <v>41250</v>
      </c>
      <c r="V300" s="655">
        <v>0</v>
      </c>
      <c r="W300" s="655">
        <v>29982</v>
      </c>
      <c r="X300" s="655">
        <v>136840</v>
      </c>
      <c r="Y300" s="655">
        <v>0</v>
      </c>
      <c r="Z300" s="655">
        <v>0</v>
      </c>
      <c r="AA300" s="655">
        <v>0</v>
      </c>
      <c r="AB300" s="655">
        <v>0</v>
      </c>
      <c r="AC300" s="655">
        <v>0</v>
      </c>
      <c r="AD300" s="655">
        <v>27215</v>
      </c>
      <c r="AE300" s="655">
        <v>4657365</v>
      </c>
      <c r="AF300" s="655">
        <v>0</v>
      </c>
      <c r="AG300" s="655">
        <v>268557</v>
      </c>
      <c r="AH300" s="655">
        <v>0</v>
      </c>
      <c r="AI300" s="655">
        <v>916638</v>
      </c>
      <c r="AJ300" s="655">
        <v>1493752</v>
      </c>
      <c r="AK300" s="655">
        <v>7336312</v>
      </c>
      <c r="AL300" s="655">
        <v>5554215</v>
      </c>
      <c r="AM300" s="655">
        <v>1782097</v>
      </c>
    </row>
    <row r="301" spans="1:39" x14ac:dyDescent="0.2">
      <c r="A301" s="649">
        <v>2013</v>
      </c>
      <c r="B301" s="650">
        <v>13</v>
      </c>
      <c r="C301" s="656" t="s">
        <v>372</v>
      </c>
      <c r="D301" s="651">
        <v>6651</v>
      </c>
      <c r="E301" s="648" t="s">
        <v>1335</v>
      </c>
      <c r="F301" s="655">
        <v>2172962</v>
      </c>
      <c r="G301" s="655">
        <v>0</v>
      </c>
      <c r="H301" s="655">
        <v>104681</v>
      </c>
      <c r="I301" s="655">
        <v>324114</v>
      </c>
      <c r="J301" s="655">
        <v>192297</v>
      </c>
      <c r="K301" s="655">
        <v>20542</v>
      </c>
      <c r="L301" s="655">
        <v>23522</v>
      </c>
      <c r="M301" s="655">
        <v>0</v>
      </c>
      <c r="N301" s="655">
        <v>109795</v>
      </c>
      <c r="O301" s="655">
        <v>3041</v>
      </c>
      <c r="P301" s="655">
        <v>17876</v>
      </c>
      <c r="Q301" s="655">
        <v>19772</v>
      </c>
      <c r="R301" s="655">
        <v>0</v>
      </c>
      <c r="S301" s="655">
        <v>11277</v>
      </c>
      <c r="T301" s="655">
        <v>1190</v>
      </c>
      <c r="U301" s="655">
        <v>70654</v>
      </c>
      <c r="V301" s="655">
        <v>0</v>
      </c>
      <c r="W301" s="655">
        <v>52359</v>
      </c>
      <c r="X301" s="655">
        <v>0</v>
      </c>
      <c r="Y301" s="655">
        <v>259</v>
      </c>
      <c r="Z301" s="655">
        <v>0</v>
      </c>
      <c r="AA301" s="655">
        <v>0</v>
      </c>
      <c r="AB301" s="655">
        <v>0</v>
      </c>
      <c r="AC301" s="655">
        <v>0</v>
      </c>
      <c r="AD301" s="655">
        <v>25199</v>
      </c>
      <c r="AE301" s="655">
        <v>3098624</v>
      </c>
      <c r="AF301" s="655">
        <v>54009</v>
      </c>
      <c r="AG301" s="655">
        <v>168274</v>
      </c>
      <c r="AH301" s="655">
        <v>0</v>
      </c>
      <c r="AI301" s="655">
        <v>445873</v>
      </c>
      <c r="AJ301" s="655">
        <v>383004</v>
      </c>
      <c r="AK301" s="655">
        <v>4149784</v>
      </c>
      <c r="AL301" s="655">
        <v>3788314</v>
      </c>
      <c r="AM301" s="655">
        <v>361470</v>
      </c>
    </row>
    <row r="302" spans="1:39" x14ac:dyDescent="0.2">
      <c r="A302" s="649">
        <v>2013</v>
      </c>
      <c r="B302" s="650">
        <v>10</v>
      </c>
      <c r="C302" s="656" t="s">
        <v>373</v>
      </c>
      <c r="D302" s="651">
        <v>6660</v>
      </c>
      <c r="E302" s="648" t="s">
        <v>652</v>
      </c>
      <c r="F302" s="655">
        <v>10124287</v>
      </c>
      <c r="G302" s="655">
        <v>163397</v>
      </c>
      <c r="H302" s="655">
        <v>161667</v>
      </c>
      <c r="I302" s="655">
        <v>1356706</v>
      </c>
      <c r="J302" s="655">
        <v>915564</v>
      </c>
      <c r="K302" s="655">
        <v>102897</v>
      </c>
      <c r="L302" s="655">
        <v>97634</v>
      </c>
      <c r="M302" s="655">
        <v>0</v>
      </c>
      <c r="N302" s="655">
        <v>502975</v>
      </c>
      <c r="O302" s="655">
        <v>33933</v>
      </c>
      <c r="P302" s="655">
        <v>83912</v>
      </c>
      <c r="Q302" s="655">
        <v>92149</v>
      </c>
      <c r="R302" s="655">
        <v>0</v>
      </c>
      <c r="S302" s="655">
        <v>47690</v>
      </c>
      <c r="T302" s="655">
        <v>5550</v>
      </c>
      <c r="U302" s="655">
        <v>300000</v>
      </c>
      <c r="V302" s="655">
        <v>0</v>
      </c>
      <c r="W302" s="655">
        <v>153546</v>
      </c>
      <c r="X302" s="655">
        <v>238876</v>
      </c>
      <c r="Y302" s="655">
        <v>0</v>
      </c>
      <c r="Z302" s="655">
        <v>0</v>
      </c>
      <c r="AA302" s="655">
        <v>0</v>
      </c>
      <c r="AB302" s="655">
        <v>0</v>
      </c>
      <c r="AC302" s="655">
        <v>0</v>
      </c>
      <c r="AD302" s="655">
        <v>108018</v>
      </c>
      <c r="AE302" s="655">
        <v>14272765</v>
      </c>
      <c r="AF302" s="655">
        <v>171029</v>
      </c>
      <c r="AG302" s="655">
        <v>739067</v>
      </c>
      <c r="AH302" s="655">
        <v>0</v>
      </c>
      <c r="AI302" s="655">
        <v>1445058</v>
      </c>
      <c r="AJ302" s="655">
        <v>3657933</v>
      </c>
      <c r="AK302" s="655">
        <v>20285852</v>
      </c>
      <c r="AL302" s="655">
        <v>16122061</v>
      </c>
      <c r="AM302" s="655">
        <v>4163791</v>
      </c>
    </row>
    <row r="303" spans="1:39" x14ac:dyDescent="0.2">
      <c r="A303" s="649">
        <v>2013</v>
      </c>
      <c r="B303" s="650">
        <v>15</v>
      </c>
      <c r="C303" s="656" t="s">
        <v>374</v>
      </c>
      <c r="D303" s="651">
        <v>6700</v>
      </c>
      <c r="E303" s="648" t="s">
        <v>1336</v>
      </c>
      <c r="F303" s="655">
        <v>3152538</v>
      </c>
      <c r="G303" s="655">
        <v>7798</v>
      </c>
      <c r="H303" s="655">
        <v>245435</v>
      </c>
      <c r="I303" s="655">
        <v>447370</v>
      </c>
      <c r="J303" s="655">
        <v>303709</v>
      </c>
      <c r="K303" s="655">
        <v>32287</v>
      </c>
      <c r="L303" s="655">
        <v>32169</v>
      </c>
      <c r="M303" s="655">
        <v>0</v>
      </c>
      <c r="N303" s="655">
        <v>153529</v>
      </c>
      <c r="O303" s="655">
        <v>4288</v>
      </c>
      <c r="P303" s="655">
        <v>25423</v>
      </c>
      <c r="Q303" s="655">
        <v>27915</v>
      </c>
      <c r="R303" s="655">
        <v>0</v>
      </c>
      <c r="S303" s="655">
        <v>15358</v>
      </c>
      <c r="T303" s="655">
        <v>1652</v>
      </c>
      <c r="U303" s="655">
        <v>0</v>
      </c>
      <c r="V303" s="655">
        <v>0</v>
      </c>
      <c r="W303" s="655">
        <v>66478</v>
      </c>
      <c r="X303" s="655">
        <v>0</v>
      </c>
      <c r="Y303" s="655">
        <v>0</v>
      </c>
      <c r="Z303" s="655">
        <v>0</v>
      </c>
      <c r="AA303" s="655">
        <v>0</v>
      </c>
      <c r="AB303" s="655">
        <v>0</v>
      </c>
      <c r="AC303" s="655">
        <v>-6007</v>
      </c>
      <c r="AD303" s="655">
        <v>32400</v>
      </c>
      <c r="AE303" s="655">
        <v>4477542</v>
      </c>
      <c r="AF303" s="655">
        <v>93016</v>
      </c>
      <c r="AG303" s="655">
        <v>229061</v>
      </c>
      <c r="AH303" s="655">
        <v>0</v>
      </c>
      <c r="AI303" s="655">
        <v>749706</v>
      </c>
      <c r="AJ303" s="655">
        <v>211981</v>
      </c>
      <c r="AK303" s="655">
        <v>5761306</v>
      </c>
      <c r="AL303" s="655">
        <v>5498910</v>
      </c>
      <c r="AM303" s="655">
        <v>262396</v>
      </c>
    </row>
    <row r="304" spans="1:39" x14ac:dyDescent="0.2">
      <c r="A304" s="649">
        <v>2013</v>
      </c>
      <c r="B304" s="650">
        <v>5</v>
      </c>
      <c r="C304" s="656" t="s">
        <v>375</v>
      </c>
      <c r="D304" s="651">
        <v>6741</v>
      </c>
      <c r="E304" s="648" t="s">
        <v>1485</v>
      </c>
      <c r="F304" s="655">
        <v>5505216</v>
      </c>
      <c r="G304" s="655">
        <v>0</v>
      </c>
      <c r="H304" s="655">
        <v>230042</v>
      </c>
      <c r="I304" s="655">
        <v>419296</v>
      </c>
      <c r="J304" s="655">
        <v>509036</v>
      </c>
      <c r="K304" s="655">
        <v>53377</v>
      </c>
      <c r="L304" s="655">
        <v>57890</v>
      </c>
      <c r="M304" s="655">
        <v>0</v>
      </c>
      <c r="N304" s="655">
        <v>269736</v>
      </c>
      <c r="O304" s="655">
        <v>7227</v>
      </c>
      <c r="P304" s="655">
        <v>47927</v>
      </c>
      <c r="Q304" s="655">
        <v>53896</v>
      </c>
      <c r="R304" s="655">
        <v>5394</v>
      </c>
      <c r="S304" s="655">
        <v>28805</v>
      </c>
      <c r="T304" s="655">
        <v>3438</v>
      </c>
      <c r="U304" s="655">
        <v>253938</v>
      </c>
      <c r="V304" s="655">
        <v>0</v>
      </c>
      <c r="W304" s="655">
        <v>64844</v>
      </c>
      <c r="X304" s="655">
        <v>64097</v>
      </c>
      <c r="Y304" s="655">
        <v>0</v>
      </c>
      <c r="Z304" s="655">
        <v>0</v>
      </c>
      <c r="AA304" s="655">
        <v>0</v>
      </c>
      <c r="AB304" s="655">
        <v>0</v>
      </c>
      <c r="AC304" s="655">
        <v>0</v>
      </c>
      <c r="AD304" s="655">
        <v>63244</v>
      </c>
      <c r="AE304" s="655">
        <v>7510915</v>
      </c>
      <c r="AF304" s="655">
        <v>171029</v>
      </c>
      <c r="AG304" s="655">
        <v>348502</v>
      </c>
      <c r="AH304" s="655">
        <v>0</v>
      </c>
      <c r="AI304" s="655">
        <v>1337198</v>
      </c>
      <c r="AJ304" s="655">
        <v>2527124</v>
      </c>
      <c r="AK304" s="655">
        <v>11894768</v>
      </c>
      <c r="AL304" s="655">
        <v>9803521</v>
      </c>
      <c r="AM304" s="655">
        <v>2091247</v>
      </c>
    </row>
    <row r="305" spans="1:39" x14ac:dyDescent="0.2">
      <c r="A305" s="649">
        <v>2013</v>
      </c>
      <c r="B305" s="650">
        <v>15</v>
      </c>
      <c r="C305" s="656" t="s">
        <v>376</v>
      </c>
      <c r="D305" s="651">
        <v>6759</v>
      </c>
      <c r="E305" s="648" t="s">
        <v>1337</v>
      </c>
      <c r="F305" s="655">
        <v>4358966</v>
      </c>
      <c r="G305" s="655">
        <v>203112</v>
      </c>
      <c r="H305" s="655">
        <v>121787</v>
      </c>
      <c r="I305" s="655">
        <v>745590</v>
      </c>
      <c r="J305" s="655">
        <v>414453</v>
      </c>
      <c r="K305" s="655">
        <v>42362</v>
      </c>
      <c r="L305" s="655">
        <v>51723</v>
      </c>
      <c r="M305" s="655">
        <v>0</v>
      </c>
      <c r="N305" s="655">
        <v>221350</v>
      </c>
      <c r="O305" s="655">
        <v>6499</v>
      </c>
      <c r="P305" s="655">
        <v>35534</v>
      </c>
      <c r="Q305" s="655">
        <v>39016</v>
      </c>
      <c r="R305" s="655">
        <v>0</v>
      </c>
      <c r="S305" s="655">
        <v>22580</v>
      </c>
      <c r="T305" s="655">
        <v>2428</v>
      </c>
      <c r="U305" s="655">
        <v>6123</v>
      </c>
      <c r="V305" s="655">
        <v>0</v>
      </c>
      <c r="W305" s="655">
        <v>87638</v>
      </c>
      <c r="X305" s="655">
        <v>32422</v>
      </c>
      <c r="Y305" s="655">
        <v>0</v>
      </c>
      <c r="Z305" s="655">
        <v>0</v>
      </c>
      <c r="AA305" s="655">
        <v>0</v>
      </c>
      <c r="AB305" s="655">
        <v>0</v>
      </c>
      <c r="AC305" s="655">
        <v>0</v>
      </c>
      <c r="AD305" s="655">
        <v>42721</v>
      </c>
      <c r="AE305" s="655">
        <v>6348862</v>
      </c>
      <c r="AF305" s="655">
        <v>66011</v>
      </c>
      <c r="AG305" s="655">
        <v>324045</v>
      </c>
      <c r="AH305" s="655">
        <v>0</v>
      </c>
      <c r="AI305" s="655">
        <v>748825</v>
      </c>
      <c r="AJ305" s="655">
        <v>669602</v>
      </c>
      <c r="AK305" s="655">
        <v>8157345</v>
      </c>
      <c r="AL305" s="655">
        <v>7710498</v>
      </c>
      <c r="AM305" s="655">
        <v>446847</v>
      </c>
    </row>
    <row r="306" spans="1:39" x14ac:dyDescent="0.2">
      <c r="A306" s="649">
        <v>2013</v>
      </c>
      <c r="B306" s="650">
        <v>7</v>
      </c>
      <c r="C306" s="656" t="s">
        <v>377</v>
      </c>
      <c r="D306" s="651">
        <v>6762</v>
      </c>
      <c r="E306" s="648" t="s">
        <v>1338</v>
      </c>
      <c r="F306" s="655">
        <v>4217178</v>
      </c>
      <c r="G306" s="655">
        <v>92594</v>
      </c>
      <c r="H306" s="655">
        <v>163100</v>
      </c>
      <c r="I306" s="655">
        <v>516293</v>
      </c>
      <c r="J306" s="655">
        <v>400456</v>
      </c>
      <c r="K306" s="655">
        <v>40825</v>
      </c>
      <c r="L306" s="655">
        <v>42880</v>
      </c>
      <c r="M306" s="655">
        <v>0</v>
      </c>
      <c r="N306" s="655">
        <v>209143</v>
      </c>
      <c r="O306" s="655">
        <v>1395</v>
      </c>
      <c r="P306" s="655">
        <v>35921</v>
      </c>
      <c r="Q306" s="655">
        <v>40159</v>
      </c>
      <c r="R306" s="655">
        <v>0</v>
      </c>
      <c r="S306" s="655">
        <v>27505</v>
      </c>
      <c r="T306" s="655">
        <v>3157</v>
      </c>
      <c r="U306" s="655">
        <v>37512</v>
      </c>
      <c r="V306" s="655">
        <v>0</v>
      </c>
      <c r="W306" s="655">
        <v>132066</v>
      </c>
      <c r="X306" s="655">
        <v>0</v>
      </c>
      <c r="Y306" s="655">
        <v>0</v>
      </c>
      <c r="Z306" s="655">
        <v>0</v>
      </c>
      <c r="AA306" s="655">
        <v>0</v>
      </c>
      <c r="AB306" s="655">
        <v>0</v>
      </c>
      <c r="AC306" s="655">
        <v>0</v>
      </c>
      <c r="AD306" s="655">
        <v>40961</v>
      </c>
      <c r="AE306" s="655">
        <v>5919223</v>
      </c>
      <c r="AF306" s="655">
        <v>153026</v>
      </c>
      <c r="AG306" s="655">
        <v>307287</v>
      </c>
      <c r="AH306" s="655">
        <v>0</v>
      </c>
      <c r="AI306" s="655">
        <v>622992</v>
      </c>
      <c r="AJ306" s="655">
        <v>1395535</v>
      </c>
      <c r="AK306" s="655">
        <v>8398063</v>
      </c>
      <c r="AL306" s="655">
        <v>7490605</v>
      </c>
      <c r="AM306" s="655">
        <v>907458</v>
      </c>
    </row>
    <row r="307" spans="1:39" x14ac:dyDescent="0.2">
      <c r="A307" s="649">
        <v>2013</v>
      </c>
      <c r="B307" s="650">
        <v>10</v>
      </c>
      <c r="C307" s="656" t="s">
        <v>378</v>
      </c>
      <c r="D307" s="651">
        <v>6768</v>
      </c>
      <c r="E307" s="648" t="s">
        <v>1339</v>
      </c>
      <c r="F307" s="655">
        <v>10439340</v>
      </c>
      <c r="G307" s="655">
        <v>0</v>
      </c>
      <c r="H307" s="655">
        <v>387887</v>
      </c>
      <c r="I307" s="655">
        <v>1735189</v>
      </c>
      <c r="J307" s="655">
        <v>903653</v>
      </c>
      <c r="K307" s="655">
        <v>99836</v>
      </c>
      <c r="L307" s="655">
        <v>111178</v>
      </c>
      <c r="M307" s="655">
        <v>0</v>
      </c>
      <c r="N307" s="655">
        <v>533358</v>
      </c>
      <c r="O307" s="655">
        <v>0</v>
      </c>
      <c r="P307" s="655">
        <v>90295</v>
      </c>
      <c r="Q307" s="655">
        <v>99159</v>
      </c>
      <c r="R307" s="655">
        <v>0</v>
      </c>
      <c r="S307" s="655">
        <v>49359</v>
      </c>
      <c r="T307" s="655">
        <v>5741</v>
      </c>
      <c r="U307" s="655">
        <v>96858</v>
      </c>
      <c r="V307" s="655">
        <v>0</v>
      </c>
      <c r="W307" s="655">
        <v>207378</v>
      </c>
      <c r="X307" s="655">
        <v>265145</v>
      </c>
      <c r="Y307" s="655">
        <v>0</v>
      </c>
      <c r="Z307" s="655">
        <v>0</v>
      </c>
      <c r="AA307" s="655">
        <v>0</v>
      </c>
      <c r="AB307" s="655">
        <v>0</v>
      </c>
      <c r="AC307" s="655">
        <v>56241</v>
      </c>
      <c r="AD307" s="655">
        <v>98546</v>
      </c>
      <c r="AE307" s="655">
        <v>14982071</v>
      </c>
      <c r="AF307" s="655">
        <v>243099</v>
      </c>
      <c r="AG307" s="655">
        <v>708622</v>
      </c>
      <c r="AH307" s="655">
        <v>0</v>
      </c>
      <c r="AI307" s="655">
        <v>2289857</v>
      </c>
      <c r="AJ307" s="655">
        <v>4786731</v>
      </c>
      <c r="AK307" s="655">
        <v>23010380</v>
      </c>
      <c r="AL307" s="655">
        <v>20625662</v>
      </c>
      <c r="AM307" s="655">
        <v>2384718</v>
      </c>
    </row>
    <row r="308" spans="1:39" x14ac:dyDescent="0.2">
      <c r="A308" s="649">
        <v>2013</v>
      </c>
      <c r="B308" s="650">
        <v>7</v>
      </c>
      <c r="C308" s="656" t="s">
        <v>379</v>
      </c>
      <c r="D308" s="651">
        <v>6795</v>
      </c>
      <c r="E308" s="648" t="s">
        <v>1340</v>
      </c>
      <c r="F308" s="655">
        <v>64320518</v>
      </c>
      <c r="G308" s="655">
        <v>0</v>
      </c>
      <c r="H308" s="655">
        <v>1142944</v>
      </c>
      <c r="I308" s="655">
        <v>15058969</v>
      </c>
      <c r="J308" s="655">
        <v>5437501</v>
      </c>
      <c r="K308" s="655">
        <v>589292</v>
      </c>
      <c r="L308" s="655">
        <v>767002</v>
      </c>
      <c r="M308" s="655">
        <v>0</v>
      </c>
      <c r="N308" s="655">
        <v>3534180</v>
      </c>
      <c r="O308" s="655">
        <v>0</v>
      </c>
      <c r="P308" s="655">
        <v>598207</v>
      </c>
      <c r="Q308" s="655">
        <v>668791</v>
      </c>
      <c r="R308" s="655">
        <v>0</v>
      </c>
      <c r="S308" s="655">
        <v>456488</v>
      </c>
      <c r="T308" s="655">
        <v>52382</v>
      </c>
      <c r="U308" s="655">
        <v>3216026</v>
      </c>
      <c r="V308" s="655">
        <v>722877</v>
      </c>
      <c r="W308" s="655">
        <v>831978</v>
      </c>
      <c r="X308" s="655">
        <v>1511384</v>
      </c>
      <c r="Y308" s="655">
        <v>0</v>
      </c>
      <c r="Z308" s="655">
        <v>0</v>
      </c>
      <c r="AA308" s="655">
        <v>0</v>
      </c>
      <c r="AB308" s="655">
        <v>0</v>
      </c>
      <c r="AC308" s="655">
        <v>0</v>
      </c>
      <c r="AD308" s="655">
        <v>661968</v>
      </c>
      <c r="AE308" s="655">
        <v>98246571</v>
      </c>
      <c r="AF308" s="655">
        <v>507085</v>
      </c>
      <c r="AG308" s="655">
        <v>4549390</v>
      </c>
      <c r="AH308" s="655">
        <v>0</v>
      </c>
      <c r="AI308" s="655">
        <v>15869224</v>
      </c>
      <c r="AJ308" s="655">
        <v>12485921</v>
      </c>
      <c r="AK308" s="655">
        <v>131658191</v>
      </c>
      <c r="AL308" s="655">
        <v>123352577</v>
      </c>
      <c r="AM308" s="655">
        <v>8305614</v>
      </c>
    </row>
    <row r="309" spans="1:39" x14ac:dyDescent="0.2">
      <c r="A309" s="649">
        <v>2013</v>
      </c>
      <c r="B309" s="650">
        <v>11</v>
      </c>
      <c r="C309" s="656" t="s">
        <v>380</v>
      </c>
      <c r="D309" s="651">
        <v>6822</v>
      </c>
      <c r="E309" s="648" t="s">
        <v>1341</v>
      </c>
      <c r="F309" s="655">
        <v>42673711</v>
      </c>
      <c r="G309" s="655">
        <v>0</v>
      </c>
      <c r="H309" s="655">
        <v>424949</v>
      </c>
      <c r="I309" s="655">
        <v>3230578</v>
      </c>
      <c r="J309" s="655">
        <v>3192315</v>
      </c>
      <c r="K309" s="655">
        <v>325546</v>
      </c>
      <c r="L309" s="655">
        <v>426524</v>
      </c>
      <c r="M309" s="655">
        <v>0</v>
      </c>
      <c r="N309" s="655">
        <v>1956727</v>
      </c>
      <c r="O309" s="655">
        <v>0</v>
      </c>
      <c r="P309" s="655">
        <v>387334</v>
      </c>
      <c r="Q309" s="655">
        <v>424976</v>
      </c>
      <c r="R309" s="655">
        <v>0</v>
      </c>
      <c r="S309" s="655">
        <v>157272</v>
      </c>
      <c r="T309" s="655">
        <v>20195</v>
      </c>
      <c r="U309" s="655">
        <v>906375</v>
      </c>
      <c r="V309" s="655">
        <v>0</v>
      </c>
      <c r="W309" s="655">
        <v>3678973</v>
      </c>
      <c r="X309" s="655">
        <v>1907458</v>
      </c>
      <c r="Y309" s="655">
        <v>0</v>
      </c>
      <c r="Z309" s="655">
        <v>0</v>
      </c>
      <c r="AA309" s="655">
        <v>0</v>
      </c>
      <c r="AB309" s="655">
        <v>0</v>
      </c>
      <c r="AC309" s="655">
        <v>-18237</v>
      </c>
      <c r="AD309" s="655">
        <v>142187</v>
      </c>
      <c r="AE309" s="655">
        <v>59552509</v>
      </c>
      <c r="AF309" s="655">
        <v>0</v>
      </c>
      <c r="AG309" s="655">
        <v>3322148</v>
      </c>
      <c r="AH309" s="655">
        <v>0</v>
      </c>
      <c r="AI309" s="655">
        <v>4492040</v>
      </c>
      <c r="AJ309" s="655">
        <v>28933271</v>
      </c>
      <c r="AK309" s="655">
        <v>96299968</v>
      </c>
      <c r="AL309" s="655">
        <v>65575318</v>
      </c>
      <c r="AM309" s="655">
        <v>30724650</v>
      </c>
    </row>
    <row r="310" spans="1:39" x14ac:dyDescent="0.2">
      <c r="A310" s="649">
        <v>2013</v>
      </c>
      <c r="B310" s="650">
        <v>7</v>
      </c>
      <c r="C310" s="656" t="s">
        <v>381</v>
      </c>
      <c r="D310" s="651">
        <v>6840</v>
      </c>
      <c r="E310" s="648" t="s">
        <v>1342</v>
      </c>
      <c r="F310" s="655">
        <v>11304684</v>
      </c>
      <c r="G310" s="655">
        <v>0</v>
      </c>
      <c r="H310" s="655">
        <v>67997</v>
      </c>
      <c r="I310" s="655">
        <v>1538296</v>
      </c>
      <c r="J310" s="655">
        <v>1052423</v>
      </c>
      <c r="K310" s="655">
        <v>116588</v>
      </c>
      <c r="L310" s="655">
        <v>95716</v>
      </c>
      <c r="M310" s="655">
        <v>0</v>
      </c>
      <c r="N310" s="655">
        <v>571803</v>
      </c>
      <c r="O310" s="655">
        <v>3456</v>
      </c>
      <c r="P310" s="655">
        <v>99067</v>
      </c>
      <c r="Q310" s="655">
        <v>110756</v>
      </c>
      <c r="R310" s="655">
        <v>0</v>
      </c>
      <c r="S310" s="655">
        <v>73856</v>
      </c>
      <c r="T310" s="655">
        <v>8475</v>
      </c>
      <c r="U310" s="655">
        <v>178317</v>
      </c>
      <c r="V310" s="655">
        <v>0</v>
      </c>
      <c r="W310" s="655">
        <v>510685</v>
      </c>
      <c r="X310" s="655">
        <v>371075</v>
      </c>
      <c r="Y310" s="655">
        <v>0</v>
      </c>
      <c r="Z310" s="655">
        <v>0</v>
      </c>
      <c r="AA310" s="655">
        <v>0</v>
      </c>
      <c r="AB310" s="655">
        <v>0</v>
      </c>
      <c r="AC310" s="655">
        <v>0</v>
      </c>
      <c r="AD310" s="655">
        <v>108163</v>
      </c>
      <c r="AE310" s="655">
        <v>15995031</v>
      </c>
      <c r="AF310" s="655">
        <v>231039</v>
      </c>
      <c r="AG310" s="655">
        <v>860851</v>
      </c>
      <c r="AH310" s="655">
        <v>0</v>
      </c>
      <c r="AI310" s="655">
        <v>4775219</v>
      </c>
      <c r="AJ310" s="655">
        <v>3916550</v>
      </c>
      <c r="AK310" s="655">
        <v>25778690</v>
      </c>
      <c r="AL310" s="655">
        <v>22530581</v>
      </c>
      <c r="AM310" s="655">
        <v>3248109</v>
      </c>
    </row>
    <row r="311" spans="1:39" x14ac:dyDescent="0.2">
      <c r="A311" s="649">
        <v>2013</v>
      </c>
      <c r="B311" s="650">
        <v>15</v>
      </c>
      <c r="C311" s="656" t="s">
        <v>382</v>
      </c>
      <c r="D311" s="651">
        <v>6854</v>
      </c>
      <c r="E311" s="648" t="s">
        <v>1343</v>
      </c>
      <c r="F311" s="655">
        <v>3330067</v>
      </c>
      <c r="G311" s="655">
        <v>198863</v>
      </c>
      <c r="H311" s="655">
        <v>28415</v>
      </c>
      <c r="I311" s="655">
        <v>482101</v>
      </c>
      <c r="J311" s="655">
        <v>360669</v>
      </c>
      <c r="K311" s="655">
        <v>40093</v>
      </c>
      <c r="L311" s="655">
        <v>39838</v>
      </c>
      <c r="M311" s="655">
        <v>0</v>
      </c>
      <c r="N311" s="655">
        <v>165308</v>
      </c>
      <c r="O311" s="655">
        <v>21944</v>
      </c>
      <c r="P311" s="655">
        <v>27141</v>
      </c>
      <c r="Q311" s="655">
        <v>29801</v>
      </c>
      <c r="R311" s="655">
        <v>0</v>
      </c>
      <c r="S311" s="655">
        <v>17424</v>
      </c>
      <c r="T311" s="655">
        <v>1873</v>
      </c>
      <c r="U311" s="655">
        <v>166503</v>
      </c>
      <c r="V311" s="655">
        <v>0</v>
      </c>
      <c r="W311" s="655">
        <v>75134</v>
      </c>
      <c r="X311" s="655">
        <v>0</v>
      </c>
      <c r="Y311" s="655">
        <v>0</v>
      </c>
      <c r="Z311" s="655">
        <v>0</v>
      </c>
      <c r="AA311" s="655">
        <v>0</v>
      </c>
      <c r="AB311" s="655">
        <v>0</v>
      </c>
      <c r="AC311" s="655">
        <v>0</v>
      </c>
      <c r="AD311" s="655">
        <v>42800</v>
      </c>
      <c r="AE311" s="655">
        <v>4942374</v>
      </c>
      <c r="AF311" s="655">
        <v>87015</v>
      </c>
      <c r="AG311" s="655">
        <v>274480</v>
      </c>
      <c r="AH311" s="655">
        <v>0</v>
      </c>
      <c r="AI311" s="655">
        <v>670924</v>
      </c>
      <c r="AJ311" s="655">
        <v>2703848</v>
      </c>
      <c r="AK311" s="655">
        <v>8678641</v>
      </c>
      <c r="AL311" s="655">
        <v>5874758</v>
      </c>
      <c r="AM311" s="655">
        <v>2803883</v>
      </c>
    </row>
    <row r="312" spans="1:39" x14ac:dyDescent="0.2">
      <c r="A312" s="649">
        <v>2013</v>
      </c>
      <c r="B312" s="650">
        <v>5</v>
      </c>
      <c r="C312" s="656" t="s">
        <v>383</v>
      </c>
      <c r="D312" s="651">
        <v>6867</v>
      </c>
      <c r="E312" s="648" t="s">
        <v>1344</v>
      </c>
      <c r="F312" s="655">
        <v>9368161</v>
      </c>
      <c r="G312" s="655">
        <v>41915</v>
      </c>
      <c r="H312" s="655">
        <v>300944</v>
      </c>
      <c r="I312" s="655">
        <v>1228225</v>
      </c>
      <c r="J312" s="655">
        <v>819297</v>
      </c>
      <c r="K312" s="655">
        <v>90450</v>
      </c>
      <c r="L312" s="655">
        <v>102845</v>
      </c>
      <c r="M312" s="655">
        <v>0</v>
      </c>
      <c r="N312" s="655">
        <v>483485</v>
      </c>
      <c r="O312" s="655">
        <v>392</v>
      </c>
      <c r="P312" s="655">
        <v>81065</v>
      </c>
      <c r="Q312" s="655">
        <v>91161</v>
      </c>
      <c r="R312" s="655">
        <v>9671</v>
      </c>
      <c r="S312" s="655">
        <v>51713</v>
      </c>
      <c r="T312" s="655">
        <v>6178</v>
      </c>
      <c r="U312" s="655">
        <v>253287</v>
      </c>
      <c r="V312" s="655">
        <v>0</v>
      </c>
      <c r="W312" s="655">
        <v>78254</v>
      </c>
      <c r="X312" s="655">
        <v>518223</v>
      </c>
      <c r="Y312" s="655">
        <v>0</v>
      </c>
      <c r="Z312" s="655">
        <v>0</v>
      </c>
      <c r="AA312" s="655">
        <v>0</v>
      </c>
      <c r="AB312" s="655">
        <v>0</v>
      </c>
      <c r="AC312" s="655">
        <v>0</v>
      </c>
      <c r="AD312" s="655">
        <v>96984</v>
      </c>
      <c r="AE312" s="655">
        <v>13428282</v>
      </c>
      <c r="AF312" s="655">
        <v>318053</v>
      </c>
      <c r="AG312" s="655">
        <v>676961</v>
      </c>
      <c r="AH312" s="655">
        <v>0</v>
      </c>
      <c r="AI312" s="655">
        <v>3063018</v>
      </c>
      <c r="AJ312" s="655">
        <v>4194563</v>
      </c>
      <c r="AK312" s="655">
        <v>21680877</v>
      </c>
      <c r="AL312" s="655">
        <v>17559794</v>
      </c>
      <c r="AM312" s="655">
        <v>4121083</v>
      </c>
    </row>
    <row r="313" spans="1:39" x14ac:dyDescent="0.2">
      <c r="A313" s="649">
        <v>2013</v>
      </c>
      <c r="B313" s="650">
        <v>5</v>
      </c>
      <c r="C313" s="656" t="s">
        <v>384</v>
      </c>
      <c r="D313" s="651">
        <v>6921</v>
      </c>
      <c r="E313" s="648" t="s">
        <v>653</v>
      </c>
      <c r="F313" s="655">
        <v>1967225</v>
      </c>
      <c r="G313" s="655">
        <v>2116</v>
      </c>
      <c r="H313" s="655">
        <v>95353</v>
      </c>
      <c r="I313" s="655">
        <v>311487</v>
      </c>
      <c r="J313" s="655">
        <v>193606</v>
      </c>
      <c r="K313" s="655">
        <v>20436</v>
      </c>
      <c r="L313" s="655">
        <v>17534</v>
      </c>
      <c r="M313" s="655">
        <v>0</v>
      </c>
      <c r="N313" s="655">
        <v>103079</v>
      </c>
      <c r="O313" s="655">
        <v>3566</v>
      </c>
      <c r="P313" s="655">
        <v>17163</v>
      </c>
      <c r="Q313" s="655">
        <v>19300</v>
      </c>
      <c r="R313" s="655">
        <v>2062</v>
      </c>
      <c r="S313" s="655">
        <v>11008</v>
      </c>
      <c r="T313" s="655">
        <v>1314</v>
      </c>
      <c r="U313" s="655">
        <v>47312</v>
      </c>
      <c r="V313" s="655">
        <v>0</v>
      </c>
      <c r="W313" s="655">
        <v>17649</v>
      </c>
      <c r="X313" s="655">
        <v>149271</v>
      </c>
      <c r="Y313" s="655">
        <v>0</v>
      </c>
      <c r="Z313" s="655">
        <v>0</v>
      </c>
      <c r="AA313" s="655">
        <v>0</v>
      </c>
      <c r="AB313" s="655">
        <v>0</v>
      </c>
      <c r="AC313" s="655">
        <v>0</v>
      </c>
      <c r="AD313" s="655">
        <v>23919</v>
      </c>
      <c r="AE313" s="655">
        <v>2955562</v>
      </c>
      <c r="AF313" s="655">
        <v>42007</v>
      </c>
      <c r="AG313" s="655">
        <v>171037</v>
      </c>
      <c r="AH313" s="655">
        <v>0</v>
      </c>
      <c r="AI313" s="655">
        <v>572481</v>
      </c>
      <c r="AJ313" s="655">
        <v>438270</v>
      </c>
      <c r="AK313" s="655">
        <v>4179357</v>
      </c>
      <c r="AL313" s="655">
        <v>3676749</v>
      </c>
      <c r="AM313" s="655">
        <v>502608</v>
      </c>
    </row>
    <row r="314" spans="1:39" x14ac:dyDescent="0.2">
      <c r="A314" s="649">
        <v>2013</v>
      </c>
      <c r="B314" s="650">
        <v>10</v>
      </c>
      <c r="C314" s="656" t="s">
        <v>385</v>
      </c>
      <c r="D314" s="651">
        <v>6930</v>
      </c>
      <c r="E314" s="648" t="s">
        <v>1345</v>
      </c>
      <c r="F314" s="655">
        <v>4777533</v>
      </c>
      <c r="G314" s="655">
        <v>78854</v>
      </c>
      <c r="H314" s="655">
        <v>31474</v>
      </c>
      <c r="I314" s="655">
        <v>566438</v>
      </c>
      <c r="J314" s="655">
        <v>408238</v>
      </c>
      <c r="K314" s="655">
        <v>42872</v>
      </c>
      <c r="L314" s="655">
        <v>43311</v>
      </c>
      <c r="M314" s="655">
        <v>0</v>
      </c>
      <c r="N314" s="655">
        <v>232874</v>
      </c>
      <c r="O314" s="655">
        <v>1696</v>
      </c>
      <c r="P314" s="655">
        <v>40115</v>
      </c>
      <c r="Q314" s="655">
        <v>44053</v>
      </c>
      <c r="R314" s="655">
        <v>0</v>
      </c>
      <c r="S314" s="655">
        <v>21661</v>
      </c>
      <c r="T314" s="655">
        <v>2521</v>
      </c>
      <c r="U314" s="655">
        <v>136859</v>
      </c>
      <c r="V314" s="655">
        <v>0</v>
      </c>
      <c r="W314" s="655">
        <v>136949</v>
      </c>
      <c r="X314" s="655">
        <v>147370</v>
      </c>
      <c r="Y314" s="655">
        <v>0</v>
      </c>
      <c r="Z314" s="655">
        <v>0</v>
      </c>
      <c r="AA314" s="655">
        <v>0</v>
      </c>
      <c r="AB314" s="655">
        <v>0</v>
      </c>
      <c r="AC314" s="655">
        <v>0</v>
      </c>
      <c r="AD314" s="655">
        <v>42823</v>
      </c>
      <c r="AE314" s="655">
        <v>6669995</v>
      </c>
      <c r="AF314" s="655">
        <v>96016</v>
      </c>
      <c r="AG314" s="655">
        <v>389531</v>
      </c>
      <c r="AH314" s="655">
        <v>0</v>
      </c>
      <c r="AI314" s="655">
        <v>712194</v>
      </c>
      <c r="AJ314" s="655">
        <v>1689343</v>
      </c>
      <c r="AK314" s="655">
        <v>9557079</v>
      </c>
      <c r="AL314" s="655">
        <v>8169872</v>
      </c>
      <c r="AM314" s="655">
        <v>1387207</v>
      </c>
    </row>
    <row r="315" spans="1:39" x14ac:dyDescent="0.2">
      <c r="A315" s="649">
        <v>2013</v>
      </c>
      <c r="B315" s="650">
        <v>15</v>
      </c>
      <c r="C315" s="656" t="s">
        <v>386</v>
      </c>
      <c r="D315" s="651">
        <v>6937</v>
      </c>
      <c r="E315" s="648" t="s">
        <v>1346</v>
      </c>
      <c r="F315" s="655">
        <v>2750858</v>
      </c>
      <c r="G315" s="655">
        <v>0</v>
      </c>
      <c r="H315" s="655">
        <v>24466</v>
      </c>
      <c r="I315" s="655">
        <v>422350</v>
      </c>
      <c r="J315" s="655">
        <v>296305</v>
      </c>
      <c r="K315" s="655">
        <v>38643</v>
      </c>
      <c r="L315" s="655">
        <v>49425</v>
      </c>
      <c r="M315" s="655">
        <v>0</v>
      </c>
      <c r="N315" s="655">
        <v>138128</v>
      </c>
      <c r="O315" s="655">
        <v>0</v>
      </c>
      <c r="P315" s="655">
        <v>23558</v>
      </c>
      <c r="Q315" s="655">
        <v>25867</v>
      </c>
      <c r="R315" s="655">
        <v>0</v>
      </c>
      <c r="S315" s="655">
        <v>13806</v>
      </c>
      <c r="T315" s="655">
        <v>1486</v>
      </c>
      <c r="U315" s="655">
        <v>137543</v>
      </c>
      <c r="V315" s="655">
        <v>0</v>
      </c>
      <c r="W315" s="655">
        <v>153026</v>
      </c>
      <c r="X315" s="655">
        <v>47072</v>
      </c>
      <c r="Y315" s="655">
        <v>0</v>
      </c>
      <c r="Z315" s="655">
        <v>0</v>
      </c>
      <c r="AA315" s="655">
        <v>0</v>
      </c>
      <c r="AB315" s="655">
        <v>0</v>
      </c>
      <c r="AC315" s="655">
        <v>0</v>
      </c>
      <c r="AD315" s="655">
        <v>26855</v>
      </c>
      <c r="AE315" s="655">
        <v>4095678</v>
      </c>
      <c r="AF315" s="655">
        <v>174029</v>
      </c>
      <c r="AG315" s="655">
        <v>181364</v>
      </c>
      <c r="AH315" s="655">
        <v>0</v>
      </c>
      <c r="AI315" s="655">
        <v>3007973</v>
      </c>
      <c r="AJ315" s="655">
        <v>1627665</v>
      </c>
      <c r="AK315" s="655">
        <v>9086709</v>
      </c>
      <c r="AL315" s="655">
        <v>7287089</v>
      </c>
      <c r="AM315" s="655">
        <v>1799620</v>
      </c>
    </row>
    <row r="316" spans="1:39" x14ac:dyDescent="0.2">
      <c r="A316" s="649">
        <v>2013</v>
      </c>
      <c r="B316" s="650">
        <v>1</v>
      </c>
      <c r="C316" s="656" t="s">
        <v>387</v>
      </c>
      <c r="D316" s="651">
        <v>6943</v>
      </c>
      <c r="E316" s="648" t="s">
        <v>1347</v>
      </c>
      <c r="F316" s="655">
        <v>1718086</v>
      </c>
      <c r="G316" s="655">
        <v>27029</v>
      </c>
      <c r="H316" s="655">
        <v>36492</v>
      </c>
      <c r="I316" s="655">
        <v>174149</v>
      </c>
      <c r="J316" s="655">
        <v>160998</v>
      </c>
      <c r="K316" s="655">
        <v>16600</v>
      </c>
      <c r="L316" s="655">
        <v>14896</v>
      </c>
      <c r="M316" s="655">
        <v>0</v>
      </c>
      <c r="N316" s="655">
        <v>87678</v>
      </c>
      <c r="O316" s="655">
        <v>10582</v>
      </c>
      <c r="P316" s="655">
        <v>14172</v>
      </c>
      <c r="Q316" s="655">
        <v>15828</v>
      </c>
      <c r="R316" s="655">
        <v>0</v>
      </c>
      <c r="S316" s="655">
        <v>8727</v>
      </c>
      <c r="T316" s="655">
        <v>926</v>
      </c>
      <c r="U316" s="655">
        <v>85904</v>
      </c>
      <c r="V316" s="655">
        <v>0</v>
      </c>
      <c r="W316" s="655">
        <v>59410</v>
      </c>
      <c r="X316" s="655">
        <v>90958</v>
      </c>
      <c r="Y316" s="655">
        <v>0</v>
      </c>
      <c r="Z316" s="655">
        <v>0</v>
      </c>
      <c r="AA316" s="655">
        <v>0</v>
      </c>
      <c r="AB316" s="655">
        <v>0</v>
      </c>
      <c r="AC316" s="655">
        <v>0</v>
      </c>
      <c r="AD316" s="655">
        <v>20595</v>
      </c>
      <c r="AE316" s="655">
        <v>2501840</v>
      </c>
      <c r="AF316" s="655">
        <v>0</v>
      </c>
      <c r="AG316" s="655">
        <v>144862</v>
      </c>
      <c r="AH316" s="655">
        <v>0</v>
      </c>
      <c r="AI316" s="655">
        <v>292791</v>
      </c>
      <c r="AJ316" s="655">
        <v>1158592</v>
      </c>
      <c r="AK316" s="655">
        <v>4098085</v>
      </c>
      <c r="AL316" s="655">
        <v>3217339</v>
      </c>
      <c r="AM316" s="655">
        <v>880746</v>
      </c>
    </row>
    <row r="317" spans="1:39" x14ac:dyDescent="0.2">
      <c r="A317" s="649">
        <v>2013</v>
      </c>
      <c r="B317" s="650">
        <v>1</v>
      </c>
      <c r="C317" s="656" t="s">
        <v>388</v>
      </c>
      <c r="D317" s="651">
        <v>6950</v>
      </c>
      <c r="E317" s="648" t="s">
        <v>1348</v>
      </c>
      <c r="F317" s="655">
        <v>9521744</v>
      </c>
      <c r="G317" s="655">
        <v>91690</v>
      </c>
      <c r="H317" s="655">
        <v>200107</v>
      </c>
      <c r="I317" s="655">
        <v>1223795</v>
      </c>
      <c r="J317" s="655">
        <v>820576</v>
      </c>
      <c r="K317" s="655">
        <v>90761</v>
      </c>
      <c r="L317" s="655">
        <v>87906</v>
      </c>
      <c r="M317" s="655">
        <v>0</v>
      </c>
      <c r="N317" s="655">
        <v>497652</v>
      </c>
      <c r="O317" s="655">
        <v>4</v>
      </c>
      <c r="P317" s="655">
        <v>85230</v>
      </c>
      <c r="Q317" s="655">
        <v>95189</v>
      </c>
      <c r="R317" s="655">
        <v>0</v>
      </c>
      <c r="S317" s="655">
        <v>48824</v>
      </c>
      <c r="T317" s="655">
        <v>5190</v>
      </c>
      <c r="U317" s="655">
        <v>275555</v>
      </c>
      <c r="V317" s="655">
        <v>0</v>
      </c>
      <c r="W317" s="655">
        <v>85892</v>
      </c>
      <c r="X317" s="655">
        <v>0</v>
      </c>
      <c r="Y317" s="655">
        <v>0</v>
      </c>
      <c r="Z317" s="655">
        <v>0</v>
      </c>
      <c r="AA317" s="655">
        <v>0</v>
      </c>
      <c r="AB317" s="655">
        <v>0</v>
      </c>
      <c r="AC317" s="655">
        <v>0</v>
      </c>
      <c r="AD317" s="655">
        <v>110433</v>
      </c>
      <c r="AE317" s="655">
        <v>13019682</v>
      </c>
      <c r="AF317" s="655">
        <v>0</v>
      </c>
      <c r="AG317" s="655">
        <v>429144</v>
      </c>
      <c r="AH317" s="655">
        <v>0</v>
      </c>
      <c r="AI317" s="655">
        <v>1281375</v>
      </c>
      <c r="AJ317" s="655">
        <v>2332691</v>
      </c>
      <c r="AK317" s="655">
        <v>17062892</v>
      </c>
      <c r="AL317" s="655">
        <v>15008597</v>
      </c>
      <c r="AM317" s="655">
        <v>2054295</v>
      </c>
    </row>
    <row r="318" spans="1:39" x14ac:dyDescent="0.2">
      <c r="A318" s="649">
        <v>2013</v>
      </c>
      <c r="B318" s="650">
        <v>11</v>
      </c>
      <c r="C318" s="656" t="s">
        <v>389</v>
      </c>
      <c r="D318" s="651">
        <v>6957</v>
      </c>
      <c r="E318" s="648" t="s">
        <v>1349</v>
      </c>
      <c r="F318" s="655">
        <v>54311450</v>
      </c>
      <c r="G318" s="655">
        <v>0</v>
      </c>
      <c r="H318" s="655">
        <v>1281862</v>
      </c>
      <c r="I318" s="655">
        <v>5687148</v>
      </c>
      <c r="J318" s="655">
        <v>4439764</v>
      </c>
      <c r="K318" s="655">
        <v>506279</v>
      </c>
      <c r="L318" s="655">
        <v>488088</v>
      </c>
      <c r="M318" s="655">
        <v>0</v>
      </c>
      <c r="N318" s="655">
        <v>2557514</v>
      </c>
      <c r="O318" s="655">
        <v>0</v>
      </c>
      <c r="P318" s="655">
        <v>525066</v>
      </c>
      <c r="Q318" s="655">
        <v>576093</v>
      </c>
      <c r="R318" s="655">
        <v>0</v>
      </c>
      <c r="S318" s="655">
        <v>205561</v>
      </c>
      <c r="T318" s="655">
        <v>26395</v>
      </c>
      <c r="U318" s="655">
        <v>2715573</v>
      </c>
      <c r="V318" s="655">
        <v>461430</v>
      </c>
      <c r="W318" s="655">
        <v>1051875</v>
      </c>
      <c r="X318" s="655">
        <v>2168195</v>
      </c>
      <c r="Y318" s="655">
        <v>0</v>
      </c>
      <c r="Z318" s="655">
        <v>0</v>
      </c>
      <c r="AA318" s="655">
        <v>0</v>
      </c>
      <c r="AB318" s="655">
        <v>0</v>
      </c>
      <c r="AC318" s="655">
        <v>0</v>
      </c>
      <c r="AD318" s="655">
        <v>477673</v>
      </c>
      <c r="AE318" s="655">
        <v>76524620</v>
      </c>
      <c r="AF318" s="655">
        <v>759127</v>
      </c>
      <c r="AG318" s="655">
        <v>4561076</v>
      </c>
      <c r="AH318" s="655">
        <v>0</v>
      </c>
      <c r="AI318" s="655">
        <v>10303019</v>
      </c>
      <c r="AJ318" s="655">
        <v>19924648</v>
      </c>
      <c r="AK318" s="655">
        <v>112072490</v>
      </c>
      <c r="AL318" s="655">
        <v>94997978</v>
      </c>
      <c r="AM318" s="655">
        <v>17074512</v>
      </c>
    </row>
    <row r="319" spans="1:39" x14ac:dyDescent="0.2">
      <c r="A319" s="649">
        <v>2013</v>
      </c>
      <c r="B319" s="650">
        <v>1</v>
      </c>
      <c r="C319" s="656" t="s">
        <v>390</v>
      </c>
      <c r="D319" s="651">
        <v>6961</v>
      </c>
      <c r="E319" s="648" t="s">
        <v>1350</v>
      </c>
      <c r="F319" s="655">
        <v>17677464</v>
      </c>
      <c r="G319" s="655">
        <v>0</v>
      </c>
      <c r="H319" s="655">
        <v>236880</v>
      </c>
      <c r="I319" s="655">
        <v>2567562</v>
      </c>
      <c r="J319" s="655">
        <v>1495929</v>
      </c>
      <c r="K319" s="655">
        <v>165799</v>
      </c>
      <c r="L319" s="655">
        <v>169652</v>
      </c>
      <c r="M319" s="655">
        <v>0</v>
      </c>
      <c r="N319" s="655">
        <v>929546</v>
      </c>
      <c r="O319" s="655">
        <v>0</v>
      </c>
      <c r="P319" s="655">
        <v>217074</v>
      </c>
      <c r="Q319" s="655">
        <v>242439</v>
      </c>
      <c r="R319" s="655">
        <v>0</v>
      </c>
      <c r="S319" s="655">
        <v>91196</v>
      </c>
      <c r="T319" s="655">
        <v>9695</v>
      </c>
      <c r="U319" s="655">
        <v>655504</v>
      </c>
      <c r="V319" s="655">
        <v>44764</v>
      </c>
      <c r="W319" s="655">
        <v>361785</v>
      </c>
      <c r="X319" s="655">
        <v>0</v>
      </c>
      <c r="Y319" s="655">
        <v>0</v>
      </c>
      <c r="Z319" s="655">
        <v>0</v>
      </c>
      <c r="AA319" s="655">
        <v>0</v>
      </c>
      <c r="AB319" s="655">
        <v>0</v>
      </c>
      <c r="AC319" s="655">
        <v>0</v>
      </c>
      <c r="AD319" s="655">
        <v>171621</v>
      </c>
      <c r="AE319" s="655">
        <v>24693668</v>
      </c>
      <c r="AF319" s="655">
        <v>768128</v>
      </c>
      <c r="AG319" s="655">
        <v>1418263</v>
      </c>
      <c r="AH319" s="655">
        <v>0</v>
      </c>
      <c r="AI319" s="655">
        <v>3571630</v>
      </c>
      <c r="AJ319" s="655">
        <v>5869509</v>
      </c>
      <c r="AK319" s="655">
        <v>36321198</v>
      </c>
      <c r="AL319" s="655">
        <v>31340639</v>
      </c>
      <c r="AM319" s="655">
        <v>4980559</v>
      </c>
    </row>
    <row r="320" spans="1:39" x14ac:dyDescent="0.2">
      <c r="A320" s="649">
        <v>2013</v>
      </c>
      <c r="B320" s="650">
        <v>13</v>
      </c>
      <c r="C320" s="656" t="s">
        <v>391</v>
      </c>
      <c r="D320" s="651">
        <v>6969</v>
      </c>
      <c r="E320" s="648" t="s">
        <v>1393</v>
      </c>
      <c r="F320" s="655">
        <v>2682534</v>
      </c>
      <c r="G320" s="655">
        <v>141306</v>
      </c>
      <c r="H320" s="655">
        <v>74151</v>
      </c>
      <c r="I320" s="655">
        <v>591182</v>
      </c>
      <c r="J320" s="655">
        <v>241962</v>
      </c>
      <c r="K320" s="655">
        <v>26273</v>
      </c>
      <c r="L320" s="655">
        <v>21187</v>
      </c>
      <c r="M320" s="655">
        <v>0</v>
      </c>
      <c r="N320" s="655">
        <v>139978</v>
      </c>
      <c r="O320" s="655">
        <v>7982</v>
      </c>
      <c r="P320" s="655">
        <v>21363</v>
      </c>
      <c r="Q320" s="655">
        <v>23629</v>
      </c>
      <c r="R320" s="655">
        <v>0</v>
      </c>
      <c r="S320" s="655">
        <v>14616</v>
      </c>
      <c r="T320" s="655">
        <v>1540</v>
      </c>
      <c r="U320" s="655">
        <v>86116</v>
      </c>
      <c r="V320" s="655">
        <v>0</v>
      </c>
      <c r="W320" s="655">
        <v>38828</v>
      </c>
      <c r="X320" s="655">
        <v>39806</v>
      </c>
      <c r="Y320" s="655">
        <v>0</v>
      </c>
      <c r="Z320" s="655">
        <v>0</v>
      </c>
      <c r="AA320" s="655">
        <v>0</v>
      </c>
      <c r="AB320" s="655">
        <v>0</v>
      </c>
      <c r="AC320" s="655">
        <v>0</v>
      </c>
      <c r="AD320" s="655">
        <v>31011</v>
      </c>
      <c r="AE320" s="655">
        <v>4121442</v>
      </c>
      <c r="AF320" s="655">
        <v>54009</v>
      </c>
      <c r="AG320" s="655">
        <v>237344</v>
      </c>
      <c r="AH320" s="655">
        <v>0</v>
      </c>
      <c r="AI320" s="655">
        <v>432142</v>
      </c>
      <c r="AJ320" s="655">
        <v>284275</v>
      </c>
      <c r="AK320" s="655">
        <v>5129212</v>
      </c>
      <c r="AL320" s="655">
        <v>5112843</v>
      </c>
      <c r="AM320" s="655">
        <v>16369</v>
      </c>
    </row>
    <row r="321" spans="1:39" x14ac:dyDescent="0.2">
      <c r="A321" s="649">
        <v>2013</v>
      </c>
      <c r="B321" s="650">
        <v>9</v>
      </c>
      <c r="C321" s="656" t="s">
        <v>392</v>
      </c>
      <c r="D321" s="651">
        <v>6975</v>
      </c>
      <c r="E321" s="648" t="s">
        <v>1394</v>
      </c>
      <c r="F321" s="655">
        <v>7442440</v>
      </c>
      <c r="G321" s="655">
        <v>0</v>
      </c>
      <c r="H321" s="655">
        <v>266906</v>
      </c>
      <c r="I321" s="655">
        <v>819076</v>
      </c>
      <c r="J321" s="655">
        <v>649815</v>
      </c>
      <c r="K321" s="655">
        <v>67194</v>
      </c>
      <c r="L321" s="655">
        <v>90448</v>
      </c>
      <c r="M321" s="655">
        <v>0</v>
      </c>
      <c r="N321" s="655">
        <v>364575</v>
      </c>
      <c r="O321" s="655">
        <v>0</v>
      </c>
      <c r="P321" s="655">
        <v>61101</v>
      </c>
      <c r="Q321" s="655">
        <v>66597</v>
      </c>
      <c r="R321" s="655">
        <v>0</v>
      </c>
      <c r="S321" s="655">
        <v>32462</v>
      </c>
      <c r="T321" s="655">
        <v>3813</v>
      </c>
      <c r="U321" s="655">
        <v>197700</v>
      </c>
      <c r="V321" s="655">
        <v>0</v>
      </c>
      <c r="W321" s="655">
        <v>152195</v>
      </c>
      <c r="X321" s="655">
        <v>358412</v>
      </c>
      <c r="Y321" s="655">
        <v>0</v>
      </c>
      <c r="Z321" s="655">
        <v>0</v>
      </c>
      <c r="AA321" s="655">
        <v>0</v>
      </c>
      <c r="AB321" s="655">
        <v>0</v>
      </c>
      <c r="AC321" s="655">
        <v>0</v>
      </c>
      <c r="AD321" s="655">
        <v>63041</v>
      </c>
      <c r="AE321" s="655">
        <v>10509693</v>
      </c>
      <c r="AF321" s="655">
        <v>210035</v>
      </c>
      <c r="AG321" s="655">
        <v>426608</v>
      </c>
      <c r="AH321" s="655">
        <v>0</v>
      </c>
      <c r="AI321" s="655">
        <v>1015646</v>
      </c>
      <c r="AJ321" s="655">
        <v>2859194</v>
      </c>
      <c r="AK321" s="655">
        <v>15021176</v>
      </c>
      <c r="AL321" s="655">
        <v>12167795</v>
      </c>
      <c r="AM321" s="655">
        <v>2853381</v>
      </c>
    </row>
    <row r="322" spans="1:39" x14ac:dyDescent="0.2">
      <c r="A322" s="649">
        <v>2013</v>
      </c>
      <c r="B322" s="650">
        <v>12</v>
      </c>
      <c r="C322" s="656" t="s">
        <v>393</v>
      </c>
      <c r="D322" s="651">
        <v>6983</v>
      </c>
      <c r="E322" s="648" t="s">
        <v>1395</v>
      </c>
      <c r="F322" s="655">
        <v>4893816</v>
      </c>
      <c r="G322" s="655">
        <v>0</v>
      </c>
      <c r="H322" s="655">
        <v>22222</v>
      </c>
      <c r="I322" s="655">
        <v>456736</v>
      </c>
      <c r="J322" s="655">
        <v>394164</v>
      </c>
      <c r="K322" s="655">
        <v>44282</v>
      </c>
      <c r="L322" s="655">
        <v>44746</v>
      </c>
      <c r="M322" s="655">
        <v>0</v>
      </c>
      <c r="N322" s="655">
        <v>241127</v>
      </c>
      <c r="O322" s="655">
        <v>0</v>
      </c>
      <c r="P322" s="655">
        <v>45241</v>
      </c>
      <c r="Q322" s="655">
        <v>50856</v>
      </c>
      <c r="R322" s="655">
        <v>0</v>
      </c>
      <c r="S322" s="655">
        <v>24180</v>
      </c>
      <c r="T322" s="655">
        <v>2898</v>
      </c>
      <c r="U322" s="655">
        <v>22477</v>
      </c>
      <c r="V322" s="655">
        <v>0</v>
      </c>
      <c r="W322" s="655">
        <v>266325</v>
      </c>
      <c r="X322" s="655">
        <v>107107</v>
      </c>
      <c r="Y322" s="655">
        <v>0</v>
      </c>
      <c r="Z322" s="655">
        <v>0</v>
      </c>
      <c r="AA322" s="655">
        <v>0</v>
      </c>
      <c r="AB322" s="655">
        <v>0</v>
      </c>
      <c r="AC322" s="655">
        <v>0</v>
      </c>
      <c r="AD322" s="655">
        <v>47633</v>
      </c>
      <c r="AE322" s="655">
        <v>6568544</v>
      </c>
      <c r="AF322" s="655">
        <v>162027</v>
      </c>
      <c r="AG322" s="655">
        <v>387297</v>
      </c>
      <c r="AH322" s="655">
        <v>0</v>
      </c>
      <c r="AI322" s="655">
        <v>534911</v>
      </c>
      <c r="AJ322" s="655">
        <v>5342555</v>
      </c>
      <c r="AK322" s="655">
        <v>12995334</v>
      </c>
      <c r="AL322" s="655">
        <v>7221371</v>
      </c>
      <c r="AM322" s="655">
        <v>5773963</v>
      </c>
    </row>
    <row r="323" spans="1:39" x14ac:dyDescent="0.2">
      <c r="A323" s="649">
        <v>2013</v>
      </c>
      <c r="B323" s="650">
        <v>7</v>
      </c>
      <c r="C323" s="656" t="s">
        <v>394</v>
      </c>
      <c r="D323" s="651">
        <v>6985</v>
      </c>
      <c r="E323" s="648" t="s">
        <v>1396</v>
      </c>
      <c r="F323" s="655">
        <v>5272020</v>
      </c>
      <c r="G323" s="655">
        <v>0</v>
      </c>
      <c r="H323" s="655">
        <v>41251</v>
      </c>
      <c r="I323" s="655">
        <v>565894</v>
      </c>
      <c r="J323" s="655">
        <v>454448</v>
      </c>
      <c r="K323" s="655">
        <v>43506</v>
      </c>
      <c r="L323" s="655">
        <v>54502</v>
      </c>
      <c r="M323" s="655">
        <v>0</v>
      </c>
      <c r="N323" s="655">
        <v>259616</v>
      </c>
      <c r="O323" s="655">
        <v>730</v>
      </c>
      <c r="P323" s="655">
        <v>43925</v>
      </c>
      <c r="Q323" s="655">
        <v>49108</v>
      </c>
      <c r="R323" s="655">
        <v>0</v>
      </c>
      <c r="S323" s="655">
        <v>33533</v>
      </c>
      <c r="T323" s="655">
        <v>3848</v>
      </c>
      <c r="U323" s="655">
        <v>45929</v>
      </c>
      <c r="V323" s="655">
        <v>0</v>
      </c>
      <c r="W323" s="655">
        <v>47064</v>
      </c>
      <c r="X323" s="655">
        <v>3990</v>
      </c>
      <c r="Y323" s="655">
        <v>0</v>
      </c>
      <c r="Z323" s="655">
        <v>0</v>
      </c>
      <c r="AA323" s="655">
        <v>0</v>
      </c>
      <c r="AB323" s="655">
        <v>0</v>
      </c>
      <c r="AC323" s="655">
        <v>0</v>
      </c>
      <c r="AD323" s="655">
        <v>47629</v>
      </c>
      <c r="AE323" s="655">
        <v>6871735</v>
      </c>
      <c r="AF323" s="655">
        <v>0</v>
      </c>
      <c r="AG323" s="655">
        <v>342196</v>
      </c>
      <c r="AH323" s="655">
        <v>0</v>
      </c>
      <c r="AI323" s="655">
        <v>1078891</v>
      </c>
      <c r="AJ323" s="655">
        <v>4017624</v>
      </c>
      <c r="AK323" s="655">
        <v>12310446</v>
      </c>
      <c r="AL323" s="655">
        <v>8239543</v>
      </c>
      <c r="AM323" s="655">
        <v>4070903</v>
      </c>
    </row>
    <row r="324" spans="1:39" x14ac:dyDescent="0.2">
      <c r="A324" s="649">
        <v>2013</v>
      </c>
      <c r="B324" s="650">
        <v>12</v>
      </c>
      <c r="C324" s="656" t="s">
        <v>395</v>
      </c>
      <c r="D324" s="651">
        <v>6987</v>
      </c>
      <c r="E324" s="648" t="s">
        <v>1397</v>
      </c>
      <c r="F324" s="655">
        <v>4302559</v>
      </c>
      <c r="G324" s="655">
        <v>0</v>
      </c>
      <c r="H324" s="655">
        <v>31030</v>
      </c>
      <c r="I324" s="655">
        <v>747404</v>
      </c>
      <c r="J324" s="655">
        <v>385942</v>
      </c>
      <c r="K324" s="655">
        <v>40470</v>
      </c>
      <c r="L324" s="655">
        <v>43219</v>
      </c>
      <c r="M324" s="655">
        <v>0</v>
      </c>
      <c r="N324" s="655">
        <v>227240</v>
      </c>
      <c r="O324" s="655">
        <v>0</v>
      </c>
      <c r="P324" s="655">
        <v>35363</v>
      </c>
      <c r="Q324" s="655">
        <v>39752</v>
      </c>
      <c r="R324" s="655">
        <v>0</v>
      </c>
      <c r="S324" s="655">
        <v>22788</v>
      </c>
      <c r="T324" s="655">
        <v>2731</v>
      </c>
      <c r="U324" s="655">
        <v>149325</v>
      </c>
      <c r="V324" s="655">
        <v>0</v>
      </c>
      <c r="W324" s="655">
        <v>54269</v>
      </c>
      <c r="X324" s="655">
        <v>0</v>
      </c>
      <c r="Y324" s="655">
        <v>69341</v>
      </c>
      <c r="Z324" s="655">
        <v>0</v>
      </c>
      <c r="AA324" s="655">
        <v>0</v>
      </c>
      <c r="AB324" s="655">
        <v>0</v>
      </c>
      <c r="AC324" s="655">
        <v>-5892</v>
      </c>
      <c r="AD324" s="655">
        <v>41131</v>
      </c>
      <c r="AE324" s="655">
        <v>5965728</v>
      </c>
      <c r="AF324" s="655">
        <v>66011</v>
      </c>
      <c r="AG324" s="655">
        <v>322907</v>
      </c>
      <c r="AH324" s="655">
        <v>0</v>
      </c>
      <c r="AI324" s="655">
        <v>643192</v>
      </c>
      <c r="AJ324" s="655">
        <v>633025</v>
      </c>
      <c r="AK324" s="655">
        <v>7630863</v>
      </c>
      <c r="AL324" s="655">
        <v>7571306</v>
      </c>
      <c r="AM324" s="655">
        <v>59557</v>
      </c>
    </row>
    <row r="325" spans="1:39" x14ac:dyDescent="0.2">
      <c r="A325" s="649">
        <v>2013</v>
      </c>
      <c r="B325" s="650">
        <v>12</v>
      </c>
      <c r="C325" s="656" t="s">
        <v>396</v>
      </c>
      <c r="D325" s="651">
        <v>6990</v>
      </c>
      <c r="E325" s="648" t="s">
        <v>1398</v>
      </c>
      <c r="F325" s="655">
        <v>4036080</v>
      </c>
      <c r="G325" s="655">
        <v>20161</v>
      </c>
      <c r="H325" s="655">
        <v>310573</v>
      </c>
      <c r="I325" s="655">
        <v>714326</v>
      </c>
      <c r="J325" s="655">
        <v>368138</v>
      </c>
      <c r="K325" s="655">
        <v>42364</v>
      </c>
      <c r="L325" s="655">
        <v>43403</v>
      </c>
      <c r="M325" s="655">
        <v>0</v>
      </c>
      <c r="N325" s="655">
        <v>213264</v>
      </c>
      <c r="O325" s="655">
        <v>2546</v>
      </c>
      <c r="P325" s="655">
        <v>37635</v>
      </c>
      <c r="Q325" s="655">
        <v>42306</v>
      </c>
      <c r="R325" s="655">
        <v>0</v>
      </c>
      <c r="S325" s="655">
        <v>21386</v>
      </c>
      <c r="T325" s="655">
        <v>2563</v>
      </c>
      <c r="U325" s="655">
        <v>201804</v>
      </c>
      <c r="V325" s="655">
        <v>0</v>
      </c>
      <c r="W325" s="655">
        <v>434089</v>
      </c>
      <c r="X325" s="655">
        <v>38476</v>
      </c>
      <c r="Y325" s="655">
        <v>0</v>
      </c>
      <c r="Z325" s="655">
        <v>0</v>
      </c>
      <c r="AA325" s="655">
        <v>0</v>
      </c>
      <c r="AB325" s="655">
        <v>0</v>
      </c>
      <c r="AC325" s="655">
        <v>0</v>
      </c>
      <c r="AD325" s="655">
        <v>45372</v>
      </c>
      <c r="AE325" s="655">
        <v>6483742</v>
      </c>
      <c r="AF325" s="655">
        <v>150025</v>
      </c>
      <c r="AG325" s="655">
        <v>286127</v>
      </c>
      <c r="AH325" s="655">
        <v>0</v>
      </c>
      <c r="AI325" s="655">
        <v>835968</v>
      </c>
      <c r="AJ325" s="655">
        <v>1561820</v>
      </c>
      <c r="AK325" s="655">
        <v>9317682</v>
      </c>
      <c r="AL325" s="655">
        <v>7459530</v>
      </c>
      <c r="AM325" s="655">
        <v>1858152</v>
      </c>
    </row>
    <row r="326" spans="1:39" x14ac:dyDescent="0.2">
      <c r="A326" s="649">
        <v>2013</v>
      </c>
      <c r="B326" s="650">
        <v>12</v>
      </c>
      <c r="C326" s="656" t="s">
        <v>397</v>
      </c>
      <c r="D326" s="651">
        <v>6992</v>
      </c>
      <c r="E326" s="648" t="s">
        <v>1399</v>
      </c>
      <c r="F326" s="655">
        <v>3281526</v>
      </c>
      <c r="G326" s="655">
        <v>98725</v>
      </c>
      <c r="H326" s="655">
        <v>22269</v>
      </c>
      <c r="I326" s="655">
        <v>554639</v>
      </c>
      <c r="J326" s="655">
        <v>307149</v>
      </c>
      <c r="K326" s="655">
        <v>35517</v>
      </c>
      <c r="L326" s="655">
        <v>34442</v>
      </c>
      <c r="M326" s="655">
        <v>0</v>
      </c>
      <c r="N326" s="655">
        <v>172049</v>
      </c>
      <c r="O326" s="655">
        <v>5942</v>
      </c>
      <c r="P326" s="655">
        <v>27115</v>
      </c>
      <c r="Q326" s="655">
        <v>30480</v>
      </c>
      <c r="R326" s="655">
        <v>0</v>
      </c>
      <c r="S326" s="655">
        <v>17841</v>
      </c>
      <c r="T326" s="655">
        <v>2140</v>
      </c>
      <c r="U326" s="655">
        <v>164076</v>
      </c>
      <c r="V326" s="655">
        <v>0</v>
      </c>
      <c r="W326" s="655">
        <v>70596</v>
      </c>
      <c r="X326" s="655">
        <v>241752</v>
      </c>
      <c r="Y326" s="655">
        <v>0</v>
      </c>
      <c r="Z326" s="655">
        <v>0</v>
      </c>
      <c r="AA326" s="655">
        <v>0</v>
      </c>
      <c r="AB326" s="655">
        <v>0</v>
      </c>
      <c r="AC326" s="655">
        <v>0</v>
      </c>
      <c r="AD326" s="655">
        <v>39047</v>
      </c>
      <c r="AE326" s="655">
        <v>5027211</v>
      </c>
      <c r="AF326" s="655">
        <v>144024</v>
      </c>
      <c r="AG326" s="655">
        <v>291209</v>
      </c>
      <c r="AH326" s="655">
        <v>0</v>
      </c>
      <c r="AI326" s="655">
        <v>786924</v>
      </c>
      <c r="AJ326" s="655">
        <v>469120</v>
      </c>
      <c r="AK326" s="655">
        <v>6718488</v>
      </c>
      <c r="AL326" s="655">
        <v>6342604</v>
      </c>
      <c r="AM326" s="655">
        <v>375884</v>
      </c>
    </row>
    <row r="327" spans="1:39" x14ac:dyDescent="0.2">
      <c r="A327" s="649">
        <v>2013</v>
      </c>
      <c r="B327" s="650">
        <v>12</v>
      </c>
      <c r="C327" s="656" t="s">
        <v>398</v>
      </c>
      <c r="D327" s="651">
        <v>7002</v>
      </c>
      <c r="E327" s="648" t="s">
        <v>1400</v>
      </c>
      <c r="F327" s="655">
        <v>1098783</v>
      </c>
      <c r="G327" s="655">
        <v>6991</v>
      </c>
      <c r="H327" s="655">
        <v>11348</v>
      </c>
      <c r="I327" s="655">
        <v>193232</v>
      </c>
      <c r="J327" s="655">
        <v>119651</v>
      </c>
      <c r="K327" s="655">
        <v>13481</v>
      </c>
      <c r="L327" s="655">
        <v>14862</v>
      </c>
      <c r="M327" s="655">
        <v>0</v>
      </c>
      <c r="N327" s="655">
        <v>58226</v>
      </c>
      <c r="O327" s="655">
        <v>1371</v>
      </c>
      <c r="P327" s="655">
        <v>9038</v>
      </c>
      <c r="Q327" s="655">
        <v>10160</v>
      </c>
      <c r="R327" s="655">
        <v>0</v>
      </c>
      <c r="S327" s="655">
        <v>5839</v>
      </c>
      <c r="T327" s="655">
        <v>700</v>
      </c>
      <c r="U327" s="655">
        <v>54939</v>
      </c>
      <c r="V327" s="655">
        <v>0</v>
      </c>
      <c r="W327" s="655">
        <v>78013</v>
      </c>
      <c r="X327" s="655">
        <v>9966</v>
      </c>
      <c r="Y327" s="655">
        <v>0</v>
      </c>
      <c r="Z327" s="655">
        <v>0</v>
      </c>
      <c r="AA327" s="655">
        <v>0</v>
      </c>
      <c r="AB327" s="655">
        <v>0</v>
      </c>
      <c r="AC327" s="655">
        <v>0</v>
      </c>
      <c r="AD327" s="655">
        <v>13446</v>
      </c>
      <c r="AE327" s="655">
        <v>1673154</v>
      </c>
      <c r="AF327" s="655">
        <v>39007</v>
      </c>
      <c r="AG327" s="655">
        <v>93957</v>
      </c>
      <c r="AH327" s="655">
        <v>0</v>
      </c>
      <c r="AI327" s="655">
        <v>709666</v>
      </c>
      <c r="AJ327" s="655">
        <v>579263</v>
      </c>
      <c r="AK327" s="655">
        <v>3095047</v>
      </c>
      <c r="AL327" s="655">
        <v>2583050</v>
      </c>
      <c r="AM327" s="655">
        <v>511997</v>
      </c>
    </row>
    <row r="328" spans="1:39" x14ac:dyDescent="0.2">
      <c r="A328" s="649">
        <v>2013</v>
      </c>
      <c r="B328" s="650">
        <v>10</v>
      </c>
      <c r="C328" s="656" t="s">
        <v>399</v>
      </c>
      <c r="D328" s="651">
        <v>7029</v>
      </c>
      <c r="E328" s="648" t="s">
        <v>1401</v>
      </c>
      <c r="F328" s="655">
        <v>6667438</v>
      </c>
      <c r="G328" s="655">
        <v>57345</v>
      </c>
      <c r="H328" s="655">
        <v>142374</v>
      </c>
      <c r="I328" s="655">
        <v>666022</v>
      </c>
      <c r="J328" s="655">
        <v>574472</v>
      </c>
      <c r="K328" s="655">
        <v>62530</v>
      </c>
      <c r="L328" s="655">
        <v>52524</v>
      </c>
      <c r="M328" s="655">
        <v>0</v>
      </c>
      <c r="N328" s="655">
        <v>320420</v>
      </c>
      <c r="O328" s="655">
        <v>5469</v>
      </c>
      <c r="P328" s="655">
        <v>59460</v>
      </c>
      <c r="Q328" s="655">
        <v>65297</v>
      </c>
      <c r="R328" s="655">
        <v>0</v>
      </c>
      <c r="S328" s="655">
        <v>29706</v>
      </c>
      <c r="T328" s="655">
        <v>3457</v>
      </c>
      <c r="U328" s="655">
        <v>295050</v>
      </c>
      <c r="V328" s="655">
        <v>0</v>
      </c>
      <c r="W328" s="655">
        <v>210113</v>
      </c>
      <c r="X328" s="655">
        <v>378975</v>
      </c>
      <c r="Y328" s="655">
        <v>0</v>
      </c>
      <c r="Z328" s="655">
        <v>0</v>
      </c>
      <c r="AA328" s="655">
        <v>0</v>
      </c>
      <c r="AB328" s="655">
        <v>0</v>
      </c>
      <c r="AC328" s="655">
        <v>0</v>
      </c>
      <c r="AD328" s="655">
        <v>62504</v>
      </c>
      <c r="AE328" s="655">
        <v>9528148</v>
      </c>
      <c r="AF328" s="655">
        <v>180030</v>
      </c>
      <c r="AG328" s="655">
        <v>491245</v>
      </c>
      <c r="AH328" s="655">
        <v>0</v>
      </c>
      <c r="AI328" s="655">
        <v>1155317</v>
      </c>
      <c r="AJ328" s="655">
        <v>1771155</v>
      </c>
      <c r="AK328" s="655">
        <v>13125895</v>
      </c>
      <c r="AL328" s="655">
        <v>11591995</v>
      </c>
      <c r="AM328" s="655">
        <v>1533900</v>
      </c>
    </row>
    <row r="329" spans="1:39" x14ac:dyDescent="0.2">
      <c r="A329" s="649">
        <v>2013</v>
      </c>
      <c r="B329" s="650">
        <v>9</v>
      </c>
      <c r="C329" s="656" t="s">
        <v>400</v>
      </c>
      <c r="D329" s="651">
        <v>7038</v>
      </c>
      <c r="E329" s="648" t="s">
        <v>1402</v>
      </c>
      <c r="F329" s="655">
        <v>4744391</v>
      </c>
      <c r="G329" s="655">
        <v>0</v>
      </c>
      <c r="H329" s="655">
        <v>29369</v>
      </c>
      <c r="I329" s="655">
        <v>567395</v>
      </c>
      <c r="J329" s="655">
        <v>420955</v>
      </c>
      <c r="K329" s="655">
        <v>46914</v>
      </c>
      <c r="L329" s="655">
        <v>47175</v>
      </c>
      <c r="M329" s="655">
        <v>0</v>
      </c>
      <c r="N329" s="655">
        <v>234405</v>
      </c>
      <c r="O329" s="655">
        <v>10824</v>
      </c>
      <c r="P329" s="655">
        <v>38745</v>
      </c>
      <c r="Q329" s="655">
        <v>42229</v>
      </c>
      <c r="R329" s="655">
        <v>0</v>
      </c>
      <c r="S329" s="655">
        <v>20872</v>
      </c>
      <c r="T329" s="655">
        <v>2452</v>
      </c>
      <c r="U329" s="655">
        <v>237220</v>
      </c>
      <c r="V329" s="655">
        <v>0</v>
      </c>
      <c r="W329" s="655">
        <v>40593</v>
      </c>
      <c r="X329" s="655">
        <v>131942</v>
      </c>
      <c r="Y329" s="655">
        <v>0</v>
      </c>
      <c r="Z329" s="655">
        <v>0</v>
      </c>
      <c r="AA329" s="655">
        <v>0</v>
      </c>
      <c r="AB329" s="655">
        <v>0</v>
      </c>
      <c r="AC329" s="655">
        <v>0</v>
      </c>
      <c r="AD329" s="655">
        <v>49554</v>
      </c>
      <c r="AE329" s="655">
        <v>6565927</v>
      </c>
      <c r="AF329" s="655">
        <v>105018</v>
      </c>
      <c r="AG329" s="655">
        <v>344632</v>
      </c>
      <c r="AH329" s="655">
        <v>0</v>
      </c>
      <c r="AI329" s="655">
        <v>799863</v>
      </c>
      <c r="AJ329" s="655">
        <v>1435315</v>
      </c>
      <c r="AK329" s="655">
        <v>9250755</v>
      </c>
      <c r="AL329" s="655">
        <v>8108445</v>
      </c>
      <c r="AM329" s="655">
        <v>1142310</v>
      </c>
    </row>
    <row r="330" spans="1:39" x14ac:dyDescent="0.2">
      <c r="A330" s="649">
        <v>2013</v>
      </c>
      <c r="B330" s="650">
        <v>15</v>
      </c>
      <c r="C330" s="656" t="s">
        <v>401</v>
      </c>
      <c r="D330" s="651">
        <v>7047</v>
      </c>
      <c r="E330" s="648" t="s">
        <v>1403</v>
      </c>
      <c r="F330" s="655">
        <v>2183825</v>
      </c>
      <c r="G330" s="655">
        <v>102306</v>
      </c>
      <c r="H330" s="655">
        <v>117767</v>
      </c>
      <c r="I330" s="655">
        <v>195465</v>
      </c>
      <c r="J330" s="655">
        <v>204863</v>
      </c>
      <c r="K330" s="655">
        <v>22068</v>
      </c>
      <c r="L330" s="655">
        <v>25207</v>
      </c>
      <c r="M330" s="655">
        <v>0</v>
      </c>
      <c r="N330" s="655">
        <v>103054</v>
      </c>
      <c r="O330" s="655">
        <v>4466</v>
      </c>
      <c r="P330" s="655">
        <v>17767</v>
      </c>
      <c r="Q330" s="655">
        <v>19508</v>
      </c>
      <c r="R330" s="655">
        <v>0</v>
      </c>
      <c r="S330" s="655">
        <v>10662</v>
      </c>
      <c r="T330" s="655">
        <v>1146</v>
      </c>
      <c r="U330" s="655">
        <v>93153</v>
      </c>
      <c r="V330" s="655">
        <v>0</v>
      </c>
      <c r="W330" s="655">
        <v>77800</v>
      </c>
      <c r="X330" s="655">
        <v>64894</v>
      </c>
      <c r="Y330" s="655">
        <v>0</v>
      </c>
      <c r="Z330" s="655">
        <v>0</v>
      </c>
      <c r="AA330" s="655">
        <v>0</v>
      </c>
      <c r="AB330" s="655">
        <v>0</v>
      </c>
      <c r="AC330" s="655">
        <v>0</v>
      </c>
      <c r="AD330" s="655">
        <v>22288</v>
      </c>
      <c r="AE330" s="655">
        <v>3221663</v>
      </c>
      <c r="AF330" s="655">
        <v>51009</v>
      </c>
      <c r="AG330" s="655">
        <v>173380</v>
      </c>
      <c r="AH330" s="655">
        <v>0</v>
      </c>
      <c r="AI330" s="655">
        <v>884137</v>
      </c>
      <c r="AJ330" s="655">
        <v>1556426</v>
      </c>
      <c r="AK330" s="655">
        <v>5886615</v>
      </c>
      <c r="AL330" s="655">
        <v>4172731</v>
      </c>
      <c r="AM330" s="655">
        <v>1713884</v>
      </c>
    </row>
    <row r="331" spans="1:39" x14ac:dyDescent="0.2">
      <c r="A331" s="649">
        <v>2013</v>
      </c>
      <c r="B331" s="650">
        <v>11</v>
      </c>
      <c r="C331" s="656" t="s">
        <v>402</v>
      </c>
      <c r="D331" s="651">
        <v>7056</v>
      </c>
      <c r="E331" s="648" t="s">
        <v>1404</v>
      </c>
      <c r="F331" s="655">
        <v>10255709</v>
      </c>
      <c r="G331" s="655">
        <v>0</v>
      </c>
      <c r="H331" s="655">
        <v>309382</v>
      </c>
      <c r="I331" s="655">
        <v>1277673</v>
      </c>
      <c r="J331" s="655">
        <v>853218</v>
      </c>
      <c r="K331" s="655">
        <v>91705</v>
      </c>
      <c r="L331" s="655">
        <v>111461</v>
      </c>
      <c r="M331" s="655">
        <v>0</v>
      </c>
      <c r="N331" s="655">
        <v>491625</v>
      </c>
      <c r="O331" s="655">
        <v>0</v>
      </c>
      <c r="P331" s="655">
        <v>84588</v>
      </c>
      <c r="Q331" s="655">
        <v>92809</v>
      </c>
      <c r="R331" s="655">
        <v>0</v>
      </c>
      <c r="S331" s="655">
        <v>39514</v>
      </c>
      <c r="T331" s="655">
        <v>5074</v>
      </c>
      <c r="U331" s="655">
        <v>411702</v>
      </c>
      <c r="V331" s="655">
        <v>0</v>
      </c>
      <c r="W331" s="655">
        <v>126758</v>
      </c>
      <c r="X331" s="655">
        <v>384926</v>
      </c>
      <c r="Y331" s="655">
        <v>0</v>
      </c>
      <c r="Z331" s="655">
        <v>0</v>
      </c>
      <c r="AA331" s="655">
        <v>0</v>
      </c>
      <c r="AB331" s="655">
        <v>0</v>
      </c>
      <c r="AC331" s="655">
        <v>0</v>
      </c>
      <c r="AD331" s="655">
        <v>85974</v>
      </c>
      <c r="AE331" s="655">
        <v>14450170</v>
      </c>
      <c r="AF331" s="655">
        <v>290990</v>
      </c>
      <c r="AG331" s="655">
        <v>352796</v>
      </c>
      <c r="AH331" s="655">
        <v>0</v>
      </c>
      <c r="AI331" s="655">
        <v>1529448</v>
      </c>
      <c r="AJ331" s="655">
        <v>1235574</v>
      </c>
      <c r="AK331" s="655">
        <v>17858978</v>
      </c>
      <c r="AL331" s="655">
        <v>16331011</v>
      </c>
      <c r="AM331" s="655">
        <v>1527967</v>
      </c>
    </row>
    <row r="332" spans="1:39" x14ac:dyDescent="0.2">
      <c r="A332" s="649">
        <v>2013</v>
      </c>
      <c r="B332" s="650">
        <v>13</v>
      </c>
      <c r="C332" s="656" t="s">
        <v>403</v>
      </c>
      <c r="D332" s="651">
        <v>7092</v>
      </c>
      <c r="E332" s="648" t="s">
        <v>1405</v>
      </c>
      <c r="F332" s="655">
        <v>2654842</v>
      </c>
      <c r="G332" s="655">
        <v>10456</v>
      </c>
      <c r="H332" s="655">
        <v>90231</v>
      </c>
      <c r="I332" s="655">
        <v>323514</v>
      </c>
      <c r="J332" s="655">
        <v>251779</v>
      </c>
      <c r="K332" s="655">
        <v>28154</v>
      </c>
      <c r="L332" s="655">
        <v>29088</v>
      </c>
      <c r="M332" s="655">
        <v>0</v>
      </c>
      <c r="N332" s="655">
        <v>130956</v>
      </c>
      <c r="O332" s="655">
        <v>0</v>
      </c>
      <c r="P332" s="655">
        <v>21805</v>
      </c>
      <c r="Q332" s="655">
        <v>24118</v>
      </c>
      <c r="R332" s="655">
        <v>0</v>
      </c>
      <c r="S332" s="655">
        <v>13450</v>
      </c>
      <c r="T332" s="655">
        <v>1419</v>
      </c>
      <c r="U332" s="655">
        <v>0</v>
      </c>
      <c r="V332" s="655">
        <v>0</v>
      </c>
      <c r="W332" s="655">
        <v>41769</v>
      </c>
      <c r="X332" s="655">
        <v>0</v>
      </c>
      <c r="Y332" s="655">
        <v>0</v>
      </c>
      <c r="Z332" s="655">
        <v>0</v>
      </c>
      <c r="AA332" s="655">
        <v>0</v>
      </c>
      <c r="AB332" s="655">
        <v>0</v>
      </c>
      <c r="AC332" s="655">
        <v>0</v>
      </c>
      <c r="AD332" s="655">
        <v>31015</v>
      </c>
      <c r="AE332" s="655">
        <v>3590566</v>
      </c>
      <c r="AF332" s="655">
        <v>87015</v>
      </c>
      <c r="AG332" s="655">
        <v>203709</v>
      </c>
      <c r="AH332" s="655">
        <v>0</v>
      </c>
      <c r="AI332" s="655">
        <v>540401</v>
      </c>
      <c r="AJ332" s="655">
        <v>1219795</v>
      </c>
      <c r="AK332" s="655">
        <v>5641486</v>
      </c>
      <c r="AL332" s="655">
        <v>4622772</v>
      </c>
      <c r="AM332" s="655">
        <v>1018714</v>
      </c>
    </row>
    <row r="333" spans="1:39" x14ac:dyDescent="0.2">
      <c r="A333" s="649">
        <v>2013</v>
      </c>
      <c r="B333" s="650">
        <v>12</v>
      </c>
      <c r="C333" s="656" t="s">
        <v>404</v>
      </c>
      <c r="D333" s="651">
        <v>7098</v>
      </c>
      <c r="E333" s="648" t="s">
        <v>1406</v>
      </c>
      <c r="F333" s="655">
        <v>3590398</v>
      </c>
      <c r="G333" s="655">
        <v>0</v>
      </c>
      <c r="H333" s="655">
        <v>52239</v>
      </c>
      <c r="I333" s="655">
        <v>405728</v>
      </c>
      <c r="J333" s="655">
        <v>311385</v>
      </c>
      <c r="K333" s="655">
        <v>33738</v>
      </c>
      <c r="L333" s="655">
        <v>35042</v>
      </c>
      <c r="M333" s="655">
        <v>0</v>
      </c>
      <c r="N333" s="655">
        <v>180089</v>
      </c>
      <c r="O333" s="655">
        <v>0</v>
      </c>
      <c r="P333" s="655">
        <v>29585</v>
      </c>
      <c r="Q333" s="655">
        <v>33256</v>
      </c>
      <c r="R333" s="655">
        <v>0</v>
      </c>
      <c r="S333" s="655">
        <v>18059</v>
      </c>
      <c r="T333" s="655">
        <v>2164</v>
      </c>
      <c r="U333" s="655">
        <v>52898</v>
      </c>
      <c r="V333" s="655">
        <v>0</v>
      </c>
      <c r="W333" s="655">
        <v>60007</v>
      </c>
      <c r="X333" s="655">
        <v>63544</v>
      </c>
      <c r="Y333" s="655">
        <v>0</v>
      </c>
      <c r="Z333" s="655">
        <v>0</v>
      </c>
      <c r="AA333" s="655">
        <v>0</v>
      </c>
      <c r="AB333" s="655">
        <v>0</v>
      </c>
      <c r="AC333" s="655">
        <v>0</v>
      </c>
      <c r="AD333" s="655">
        <v>33604</v>
      </c>
      <c r="AE333" s="655">
        <v>4834528</v>
      </c>
      <c r="AF333" s="655">
        <v>81014</v>
      </c>
      <c r="AG333" s="655">
        <v>252800</v>
      </c>
      <c r="AH333" s="655">
        <v>0</v>
      </c>
      <c r="AI333" s="655">
        <v>627622</v>
      </c>
      <c r="AJ333" s="655">
        <v>1029527</v>
      </c>
      <c r="AK333" s="655">
        <v>6825491</v>
      </c>
      <c r="AL333" s="655">
        <v>5916506</v>
      </c>
      <c r="AM333" s="655">
        <v>908985</v>
      </c>
    </row>
    <row r="334" spans="1:39" x14ac:dyDescent="0.2">
      <c r="A334" s="649">
        <v>2013</v>
      </c>
      <c r="B334" s="650">
        <v>11</v>
      </c>
      <c r="C334" s="656" t="s">
        <v>405</v>
      </c>
      <c r="D334" s="651">
        <v>7110</v>
      </c>
      <c r="E334" s="648" t="s">
        <v>1407</v>
      </c>
      <c r="F334" s="655">
        <v>5159552</v>
      </c>
      <c r="G334" s="655">
        <v>0</v>
      </c>
      <c r="H334" s="655">
        <v>27278</v>
      </c>
      <c r="I334" s="655">
        <v>578165</v>
      </c>
      <c r="J334" s="655">
        <v>434705</v>
      </c>
      <c r="K334" s="655">
        <v>45050</v>
      </c>
      <c r="L334" s="655">
        <v>47387</v>
      </c>
      <c r="M334" s="655">
        <v>0</v>
      </c>
      <c r="N334" s="655">
        <v>240884</v>
      </c>
      <c r="O334" s="655">
        <v>0</v>
      </c>
      <c r="P334" s="655">
        <v>44425</v>
      </c>
      <c r="Q334" s="655">
        <v>48742</v>
      </c>
      <c r="R334" s="655">
        <v>0</v>
      </c>
      <c r="S334" s="655">
        <v>19361</v>
      </c>
      <c r="T334" s="655">
        <v>2486</v>
      </c>
      <c r="U334" s="655">
        <v>107617</v>
      </c>
      <c r="V334" s="655">
        <v>0</v>
      </c>
      <c r="W334" s="655">
        <v>95594</v>
      </c>
      <c r="X334" s="655">
        <v>569712</v>
      </c>
      <c r="Y334" s="655">
        <v>0</v>
      </c>
      <c r="Z334" s="655">
        <v>0</v>
      </c>
      <c r="AA334" s="655">
        <v>0</v>
      </c>
      <c r="AB334" s="655">
        <v>0</v>
      </c>
      <c r="AC334" s="655">
        <v>0</v>
      </c>
      <c r="AD334" s="655">
        <v>36731</v>
      </c>
      <c r="AE334" s="655">
        <v>7384227</v>
      </c>
      <c r="AF334" s="655">
        <v>198033</v>
      </c>
      <c r="AG334" s="655">
        <v>375099</v>
      </c>
      <c r="AH334" s="655">
        <v>0</v>
      </c>
      <c r="AI334" s="655">
        <v>4599444</v>
      </c>
      <c r="AJ334" s="655">
        <v>2364181</v>
      </c>
      <c r="AK334" s="655">
        <v>14920984</v>
      </c>
      <c r="AL334" s="655">
        <v>12334301</v>
      </c>
      <c r="AM334" s="655">
        <v>2586683</v>
      </c>
    </row>
    <row r="335" spans="1:39" x14ac:dyDescent="0.2">
      <c r="A335" s="648">
        <v>2014</v>
      </c>
      <c r="B335" s="648">
        <v>7</v>
      </c>
      <c r="C335" s="657" t="s">
        <v>77</v>
      </c>
      <c r="D335" s="648">
        <v>9</v>
      </c>
      <c r="E335" s="648" t="s">
        <v>998</v>
      </c>
      <c r="F335" s="655">
        <v>3843281</v>
      </c>
      <c r="G335" s="655">
        <v>99463</v>
      </c>
      <c r="H335" s="655">
        <v>124533</v>
      </c>
      <c r="I335" s="655">
        <v>527890</v>
      </c>
      <c r="J335" s="655">
        <v>348108</v>
      </c>
      <c r="K335" s="655">
        <v>37338</v>
      </c>
      <c r="L335" s="655">
        <v>31704</v>
      </c>
      <c r="M335" s="655">
        <v>0</v>
      </c>
      <c r="N335" s="655">
        <v>191129</v>
      </c>
      <c r="O335" s="655">
        <v>17454</v>
      </c>
      <c r="P335" s="655">
        <v>31846</v>
      </c>
      <c r="Q335" s="655">
        <v>35594</v>
      </c>
      <c r="R335" s="655">
        <v>0</v>
      </c>
      <c r="S335" s="655">
        <v>25568</v>
      </c>
      <c r="T335" s="655">
        <v>2934</v>
      </c>
      <c r="U335" s="655">
        <v>131437</v>
      </c>
      <c r="V335" s="655">
        <v>0</v>
      </c>
      <c r="W335" s="655">
        <v>78013</v>
      </c>
      <c r="X335" s="655">
        <v>52789</v>
      </c>
      <c r="Y335" s="655">
        <v>0</v>
      </c>
      <c r="Z335" s="655">
        <v>0</v>
      </c>
      <c r="AA335" s="655">
        <v>0</v>
      </c>
      <c r="AB335" s="655">
        <v>0</v>
      </c>
      <c r="AC335" s="655">
        <v>0</v>
      </c>
      <c r="AD335" s="655">
        <v>41289</v>
      </c>
      <c r="AE335" s="655">
        <v>5537792</v>
      </c>
      <c r="AF335" s="655">
        <v>82634</v>
      </c>
      <c r="AG335" s="655">
        <v>337223</v>
      </c>
      <c r="AH335" s="655">
        <v>0</v>
      </c>
      <c r="AI335" s="655">
        <v>668677</v>
      </c>
      <c r="AJ335" s="655">
        <v>1607040</v>
      </c>
      <c r="AK335" s="655">
        <v>8233366</v>
      </c>
      <c r="AL335" s="655">
        <v>6926392</v>
      </c>
      <c r="AM335" s="655">
        <v>1306974</v>
      </c>
    </row>
    <row r="336" spans="1:39" x14ac:dyDescent="0.2">
      <c r="A336" s="648">
        <v>2014</v>
      </c>
      <c r="B336" s="648">
        <v>11</v>
      </c>
      <c r="C336" s="657" t="s">
        <v>75</v>
      </c>
      <c r="D336" s="648">
        <v>18</v>
      </c>
      <c r="E336" s="648" t="s">
        <v>1007</v>
      </c>
      <c r="F336" s="655">
        <v>2187033</v>
      </c>
      <c r="G336" s="655">
        <v>0</v>
      </c>
      <c r="H336" s="655">
        <v>35551</v>
      </c>
      <c r="I336" s="655">
        <v>305805</v>
      </c>
      <c r="J336" s="655">
        <v>207277</v>
      </c>
      <c r="K336" s="655">
        <v>20405</v>
      </c>
      <c r="L336" s="655">
        <v>22574</v>
      </c>
      <c r="M336" s="655">
        <v>0</v>
      </c>
      <c r="N336" s="655">
        <v>106323</v>
      </c>
      <c r="O336" s="655">
        <v>0</v>
      </c>
      <c r="P336" s="655">
        <v>17836</v>
      </c>
      <c r="Q336" s="655">
        <v>19571</v>
      </c>
      <c r="R336" s="655">
        <v>0</v>
      </c>
      <c r="S336" s="655">
        <v>8593</v>
      </c>
      <c r="T336" s="655">
        <v>1100</v>
      </c>
      <c r="U336" s="655">
        <v>41814</v>
      </c>
      <c r="V336" s="655">
        <v>0</v>
      </c>
      <c r="W336" s="655">
        <v>59410</v>
      </c>
      <c r="X336" s="655">
        <v>0</v>
      </c>
      <c r="Y336" s="655">
        <v>0</v>
      </c>
      <c r="Z336" s="655">
        <v>0</v>
      </c>
      <c r="AA336" s="655">
        <v>0</v>
      </c>
      <c r="AB336" s="655">
        <v>0</v>
      </c>
      <c r="AC336" s="655">
        <v>-1080</v>
      </c>
      <c r="AD336" s="655">
        <v>16927</v>
      </c>
      <c r="AE336" s="655">
        <v>3015285</v>
      </c>
      <c r="AF336" s="655">
        <v>67331</v>
      </c>
      <c r="AG336" s="655">
        <v>178768</v>
      </c>
      <c r="AH336" s="655">
        <v>0</v>
      </c>
      <c r="AI336" s="655">
        <v>401458</v>
      </c>
      <c r="AJ336" s="655">
        <v>573161</v>
      </c>
      <c r="AK336" s="655">
        <v>4236003</v>
      </c>
      <c r="AL336" s="655">
        <v>3516983</v>
      </c>
      <c r="AM336" s="655">
        <v>719020</v>
      </c>
    </row>
    <row r="337" spans="1:39" x14ac:dyDescent="0.2">
      <c r="A337" s="648">
        <v>2014</v>
      </c>
      <c r="B337" s="648">
        <v>11</v>
      </c>
      <c r="C337" s="657" t="s">
        <v>76</v>
      </c>
      <c r="D337" s="648">
        <v>27</v>
      </c>
      <c r="E337" s="648" t="s">
        <v>2005</v>
      </c>
      <c r="F337" s="655">
        <v>8964018</v>
      </c>
      <c r="G337" s="655">
        <v>0</v>
      </c>
      <c r="H337" s="655">
        <v>96205</v>
      </c>
      <c r="I337" s="655">
        <v>1001474</v>
      </c>
      <c r="J337" s="655">
        <v>786472</v>
      </c>
      <c r="K337" s="655">
        <v>84706</v>
      </c>
      <c r="L337" s="655">
        <v>87670</v>
      </c>
      <c r="M337" s="655">
        <v>0</v>
      </c>
      <c r="N337" s="655">
        <v>423659</v>
      </c>
      <c r="O337" s="655">
        <v>0</v>
      </c>
      <c r="P337" s="655">
        <v>73891</v>
      </c>
      <c r="Q337" s="655">
        <v>81079</v>
      </c>
      <c r="R337" s="655">
        <v>0</v>
      </c>
      <c r="S337" s="655">
        <v>34241</v>
      </c>
      <c r="T337" s="655">
        <v>4382</v>
      </c>
      <c r="U337" s="655">
        <v>334530</v>
      </c>
      <c r="V337" s="655">
        <v>626</v>
      </c>
      <c r="W337" s="655">
        <v>183012</v>
      </c>
      <c r="X337" s="655">
        <v>656287</v>
      </c>
      <c r="Y337" s="655">
        <v>0</v>
      </c>
      <c r="Z337" s="655">
        <v>0</v>
      </c>
      <c r="AA337" s="655">
        <v>0</v>
      </c>
      <c r="AB337" s="655">
        <v>0</v>
      </c>
      <c r="AC337" s="655">
        <v>-5780</v>
      </c>
      <c r="AD337" s="655">
        <v>62785</v>
      </c>
      <c r="AE337" s="655">
        <v>12743687</v>
      </c>
      <c r="AF337" s="655">
        <v>0</v>
      </c>
      <c r="AG337" s="655">
        <v>641465</v>
      </c>
      <c r="AH337" s="655">
        <v>0</v>
      </c>
      <c r="AI337" s="655">
        <v>2171124</v>
      </c>
      <c r="AJ337" s="655">
        <v>6893185</v>
      </c>
      <c r="AK337" s="655">
        <v>22449461</v>
      </c>
      <c r="AL337" s="655">
        <v>14927955</v>
      </c>
      <c r="AM337" s="655">
        <v>7521506</v>
      </c>
    </row>
    <row r="338" spans="1:39" x14ac:dyDescent="0.2">
      <c r="A338" s="648">
        <v>2014</v>
      </c>
      <c r="B338" s="648">
        <v>12</v>
      </c>
      <c r="C338" s="657" t="s">
        <v>79</v>
      </c>
      <c r="D338" s="648">
        <v>63</v>
      </c>
      <c r="E338" s="648" t="s">
        <v>1008</v>
      </c>
      <c r="F338" s="655">
        <v>3158830</v>
      </c>
      <c r="G338" s="655">
        <v>0</v>
      </c>
      <c r="H338" s="655">
        <v>244430</v>
      </c>
      <c r="I338" s="655">
        <v>342484</v>
      </c>
      <c r="J338" s="655">
        <v>291337</v>
      </c>
      <c r="K338" s="655">
        <v>33395</v>
      </c>
      <c r="L338" s="655">
        <v>31839</v>
      </c>
      <c r="M338" s="655">
        <v>0</v>
      </c>
      <c r="N338" s="655">
        <v>156408</v>
      </c>
      <c r="O338" s="655">
        <v>136</v>
      </c>
      <c r="P338" s="655">
        <v>26495</v>
      </c>
      <c r="Q338" s="655">
        <v>29772</v>
      </c>
      <c r="R338" s="655">
        <v>0</v>
      </c>
      <c r="S338" s="655">
        <v>15691</v>
      </c>
      <c r="T338" s="655">
        <v>1878</v>
      </c>
      <c r="U338" s="655">
        <v>136286</v>
      </c>
      <c r="V338" s="655">
        <v>0</v>
      </c>
      <c r="W338" s="655">
        <v>61412</v>
      </c>
      <c r="X338" s="655">
        <v>79337</v>
      </c>
      <c r="Y338" s="655">
        <v>0</v>
      </c>
      <c r="Z338" s="655">
        <v>0</v>
      </c>
      <c r="AA338" s="655">
        <v>0</v>
      </c>
      <c r="AB338" s="655">
        <v>0</v>
      </c>
      <c r="AC338" s="655">
        <v>0</v>
      </c>
      <c r="AD338" s="655">
        <v>26925</v>
      </c>
      <c r="AE338" s="655">
        <v>4582805</v>
      </c>
      <c r="AF338" s="655">
        <v>76513</v>
      </c>
      <c r="AG338" s="655">
        <v>238776</v>
      </c>
      <c r="AH338" s="655">
        <v>0</v>
      </c>
      <c r="AI338" s="655">
        <v>1074977</v>
      </c>
      <c r="AJ338" s="655">
        <v>923149</v>
      </c>
      <c r="AK338" s="655">
        <v>6896220</v>
      </c>
      <c r="AL338" s="655">
        <v>5643266</v>
      </c>
      <c r="AM338" s="655">
        <v>1252954</v>
      </c>
    </row>
    <row r="339" spans="1:39" x14ac:dyDescent="0.2">
      <c r="A339" s="648">
        <v>2014</v>
      </c>
      <c r="B339" s="648">
        <v>5</v>
      </c>
      <c r="C339" s="657" t="s">
        <v>80</v>
      </c>
      <c r="D339" s="648">
        <v>72</v>
      </c>
      <c r="E339" s="648" t="s">
        <v>1009</v>
      </c>
      <c r="F339" s="655">
        <v>1321026</v>
      </c>
      <c r="G339" s="655">
        <v>0</v>
      </c>
      <c r="H339" s="655">
        <v>78995</v>
      </c>
      <c r="I339" s="655">
        <v>142832</v>
      </c>
      <c r="J339" s="655">
        <v>95247</v>
      </c>
      <c r="K339" s="655">
        <v>7755</v>
      </c>
      <c r="L339" s="655">
        <v>7983</v>
      </c>
      <c r="M339" s="655">
        <v>0</v>
      </c>
      <c r="N339" s="655">
        <v>65871</v>
      </c>
      <c r="O339" s="655">
        <v>8401</v>
      </c>
      <c r="P339" s="655">
        <v>10996</v>
      </c>
      <c r="Q339" s="655">
        <v>12361</v>
      </c>
      <c r="R339" s="655">
        <v>1013</v>
      </c>
      <c r="S339" s="655">
        <v>7029</v>
      </c>
      <c r="T339" s="655">
        <v>838</v>
      </c>
      <c r="U339" s="655">
        <v>64773</v>
      </c>
      <c r="V339" s="655">
        <v>0</v>
      </c>
      <c r="W339" s="655">
        <v>54009</v>
      </c>
      <c r="X339" s="655">
        <v>43884</v>
      </c>
      <c r="Y339" s="655">
        <v>0</v>
      </c>
      <c r="Z339" s="655">
        <v>0</v>
      </c>
      <c r="AA339" s="655">
        <v>0</v>
      </c>
      <c r="AB339" s="655">
        <v>0</v>
      </c>
      <c r="AC339" s="655">
        <v>6021</v>
      </c>
      <c r="AD339" s="655">
        <v>14109</v>
      </c>
      <c r="AE339" s="655">
        <v>1914925</v>
      </c>
      <c r="AF339" s="655">
        <v>30605</v>
      </c>
      <c r="AG339" s="655">
        <v>116422</v>
      </c>
      <c r="AH339" s="655">
        <v>0</v>
      </c>
      <c r="AI339" s="655">
        <v>201340</v>
      </c>
      <c r="AJ339" s="655">
        <v>592308</v>
      </c>
      <c r="AK339" s="655">
        <v>2855600</v>
      </c>
      <c r="AL339" s="655">
        <v>2239728</v>
      </c>
      <c r="AM339" s="655">
        <v>615872</v>
      </c>
    </row>
    <row r="340" spans="1:39" x14ac:dyDescent="0.2">
      <c r="A340" s="648">
        <v>2014</v>
      </c>
      <c r="B340" s="648">
        <v>15</v>
      </c>
      <c r="C340" s="657" t="s">
        <v>81</v>
      </c>
      <c r="D340" s="648">
        <v>81</v>
      </c>
      <c r="E340" s="648" t="s">
        <v>1010</v>
      </c>
      <c r="F340" s="655">
        <v>7239919</v>
      </c>
      <c r="G340" s="655">
        <v>1776</v>
      </c>
      <c r="H340" s="655">
        <v>111200</v>
      </c>
      <c r="I340" s="655">
        <v>753250</v>
      </c>
      <c r="J340" s="655">
        <v>607510</v>
      </c>
      <c r="K340" s="655">
        <v>70495</v>
      </c>
      <c r="L340" s="655">
        <v>67443</v>
      </c>
      <c r="M340" s="655">
        <v>0</v>
      </c>
      <c r="N340" s="655">
        <v>347999</v>
      </c>
      <c r="O340" s="655">
        <v>0</v>
      </c>
      <c r="P340" s="655">
        <v>59321</v>
      </c>
      <c r="Q340" s="655">
        <v>65139</v>
      </c>
      <c r="R340" s="655">
        <v>0</v>
      </c>
      <c r="S340" s="655">
        <v>34801</v>
      </c>
      <c r="T340" s="655">
        <v>3748</v>
      </c>
      <c r="U340" s="655">
        <v>308250</v>
      </c>
      <c r="V340" s="655">
        <v>0</v>
      </c>
      <c r="W340" s="655">
        <v>80413</v>
      </c>
      <c r="X340" s="655">
        <v>45429</v>
      </c>
      <c r="Y340" s="655">
        <v>0</v>
      </c>
      <c r="Z340" s="655">
        <v>0</v>
      </c>
      <c r="AA340" s="655">
        <v>0</v>
      </c>
      <c r="AB340" s="655">
        <v>0</v>
      </c>
      <c r="AC340" s="655">
        <v>0</v>
      </c>
      <c r="AD340" s="655">
        <v>57955</v>
      </c>
      <c r="AE340" s="655">
        <v>9738738</v>
      </c>
      <c r="AF340" s="655">
        <v>168328</v>
      </c>
      <c r="AG340" s="655">
        <v>465062</v>
      </c>
      <c r="AH340" s="655">
        <v>0</v>
      </c>
      <c r="AI340" s="655">
        <v>1076510</v>
      </c>
      <c r="AJ340" s="655">
        <v>1547130</v>
      </c>
      <c r="AK340" s="655">
        <v>12995768</v>
      </c>
      <c r="AL340" s="655">
        <v>12169398</v>
      </c>
      <c r="AM340" s="655">
        <v>826370</v>
      </c>
    </row>
    <row r="341" spans="1:39" x14ac:dyDescent="0.2">
      <c r="A341" s="648">
        <v>2014</v>
      </c>
      <c r="B341" s="648">
        <v>10</v>
      </c>
      <c r="C341" s="657" t="s">
        <v>82</v>
      </c>
      <c r="D341" s="648">
        <v>99</v>
      </c>
      <c r="E341" s="648" t="s">
        <v>1011</v>
      </c>
      <c r="F341" s="655">
        <v>3417966</v>
      </c>
      <c r="G341" s="655">
        <v>0</v>
      </c>
      <c r="H341" s="655">
        <v>21760</v>
      </c>
      <c r="I341" s="655">
        <v>350611</v>
      </c>
      <c r="J341" s="655">
        <v>298655</v>
      </c>
      <c r="K341" s="655">
        <v>34531</v>
      </c>
      <c r="L341" s="655">
        <v>27965</v>
      </c>
      <c r="M341" s="655">
        <v>0</v>
      </c>
      <c r="N341" s="655">
        <v>165107</v>
      </c>
      <c r="O341" s="655">
        <v>0</v>
      </c>
      <c r="P341" s="655">
        <v>29497</v>
      </c>
      <c r="Q341" s="655">
        <v>32395</v>
      </c>
      <c r="R341" s="655">
        <v>0</v>
      </c>
      <c r="S341" s="655">
        <v>15312</v>
      </c>
      <c r="T341" s="655">
        <v>1779</v>
      </c>
      <c r="U341" s="655">
        <v>0</v>
      </c>
      <c r="V341" s="655">
        <v>0</v>
      </c>
      <c r="W341" s="655">
        <v>72012</v>
      </c>
      <c r="X341" s="655">
        <v>188024</v>
      </c>
      <c r="Y341" s="655">
        <v>0</v>
      </c>
      <c r="Z341" s="655">
        <v>0</v>
      </c>
      <c r="AA341" s="655">
        <v>0</v>
      </c>
      <c r="AB341" s="655">
        <v>0</v>
      </c>
      <c r="AC341" s="655">
        <v>-6001</v>
      </c>
      <c r="AD341" s="655">
        <v>28260</v>
      </c>
      <c r="AE341" s="655">
        <v>4621353</v>
      </c>
      <c r="AF341" s="655">
        <v>0</v>
      </c>
      <c r="AG341" s="655">
        <v>254400</v>
      </c>
      <c r="AH341" s="655">
        <v>0</v>
      </c>
      <c r="AI341" s="655">
        <v>1313472</v>
      </c>
      <c r="AJ341" s="655">
        <v>1199197</v>
      </c>
      <c r="AK341" s="655">
        <v>7388422</v>
      </c>
      <c r="AL341" s="655">
        <v>6004154</v>
      </c>
      <c r="AM341" s="655">
        <v>1384268</v>
      </c>
    </row>
    <row r="342" spans="1:39" x14ac:dyDescent="0.2">
      <c r="A342" s="648">
        <v>2014</v>
      </c>
      <c r="B342" s="648">
        <v>7</v>
      </c>
      <c r="C342" s="657" t="s">
        <v>83</v>
      </c>
      <c r="D342" s="648">
        <v>108</v>
      </c>
      <c r="E342" s="648" t="s">
        <v>1012</v>
      </c>
      <c r="F342" s="655">
        <v>1619005</v>
      </c>
      <c r="G342" s="655">
        <v>0</v>
      </c>
      <c r="H342" s="655">
        <v>27428</v>
      </c>
      <c r="I342" s="655">
        <v>191036</v>
      </c>
      <c r="J342" s="655">
        <v>151114</v>
      </c>
      <c r="K342" s="655">
        <v>14098</v>
      </c>
      <c r="L342" s="655">
        <v>18750</v>
      </c>
      <c r="M342" s="655">
        <v>0</v>
      </c>
      <c r="N342" s="655">
        <v>80566</v>
      </c>
      <c r="O342" s="655">
        <v>0</v>
      </c>
      <c r="P342" s="655">
        <v>13353</v>
      </c>
      <c r="Q342" s="655">
        <v>14925</v>
      </c>
      <c r="R342" s="655">
        <v>0</v>
      </c>
      <c r="S342" s="655">
        <v>10365</v>
      </c>
      <c r="T342" s="655">
        <v>1189</v>
      </c>
      <c r="U342" s="655">
        <v>79363</v>
      </c>
      <c r="V342" s="655">
        <v>0</v>
      </c>
      <c r="W342" s="655">
        <v>49808</v>
      </c>
      <c r="X342" s="655">
        <v>0</v>
      </c>
      <c r="Y342" s="655">
        <v>24438</v>
      </c>
      <c r="Z342" s="655">
        <v>0</v>
      </c>
      <c r="AA342" s="655">
        <v>0</v>
      </c>
      <c r="AB342" s="655">
        <v>0</v>
      </c>
      <c r="AC342" s="655">
        <v>0</v>
      </c>
      <c r="AD342" s="655">
        <v>14957</v>
      </c>
      <c r="AE342" s="655">
        <v>2231605</v>
      </c>
      <c r="AF342" s="655">
        <v>61210</v>
      </c>
      <c r="AG342" s="655">
        <v>135025</v>
      </c>
      <c r="AH342" s="655">
        <v>0</v>
      </c>
      <c r="AI342" s="655">
        <v>853257</v>
      </c>
      <c r="AJ342" s="655">
        <v>1351626</v>
      </c>
      <c r="AK342" s="655">
        <v>4632723</v>
      </c>
      <c r="AL342" s="655">
        <v>3170419</v>
      </c>
      <c r="AM342" s="655">
        <v>1462304</v>
      </c>
    </row>
    <row r="343" spans="1:39" x14ac:dyDescent="0.2">
      <c r="A343" s="648">
        <v>2014</v>
      </c>
      <c r="B343" s="648">
        <v>5</v>
      </c>
      <c r="C343" s="657" t="s">
        <v>84</v>
      </c>
      <c r="D343" s="648">
        <v>126</v>
      </c>
      <c r="E343" s="648" t="s">
        <v>1013</v>
      </c>
      <c r="F343" s="655">
        <v>8271603</v>
      </c>
      <c r="G343" s="655">
        <v>74486</v>
      </c>
      <c r="H343" s="655">
        <v>676820</v>
      </c>
      <c r="I343" s="655">
        <v>1248814</v>
      </c>
      <c r="J343" s="655">
        <v>722185</v>
      </c>
      <c r="K343" s="655">
        <v>87840</v>
      </c>
      <c r="L343" s="655">
        <v>74979</v>
      </c>
      <c r="M343" s="655">
        <v>0</v>
      </c>
      <c r="N343" s="655">
        <v>431734</v>
      </c>
      <c r="O343" s="655">
        <v>19908</v>
      </c>
      <c r="P343" s="655">
        <v>86707</v>
      </c>
      <c r="Q343" s="655">
        <v>97467</v>
      </c>
      <c r="R343" s="655">
        <v>7069</v>
      </c>
      <c r="S343" s="655">
        <v>46293</v>
      </c>
      <c r="T343" s="655">
        <v>5525</v>
      </c>
      <c r="U343" s="655">
        <v>333048</v>
      </c>
      <c r="V343" s="655">
        <v>0</v>
      </c>
      <c r="W343" s="655">
        <v>60010</v>
      </c>
      <c r="X343" s="655">
        <v>727912</v>
      </c>
      <c r="Y343" s="655">
        <v>0</v>
      </c>
      <c r="Z343" s="655">
        <v>0</v>
      </c>
      <c r="AA343" s="655">
        <v>0</v>
      </c>
      <c r="AB343" s="655">
        <v>0</v>
      </c>
      <c r="AC343" s="655">
        <v>0</v>
      </c>
      <c r="AD343" s="655">
        <v>83021</v>
      </c>
      <c r="AE343" s="655">
        <v>12889379</v>
      </c>
      <c r="AF343" s="655">
        <v>345837</v>
      </c>
      <c r="AG343" s="655">
        <v>702113</v>
      </c>
      <c r="AH343" s="655">
        <v>0</v>
      </c>
      <c r="AI343" s="655">
        <v>2588296</v>
      </c>
      <c r="AJ343" s="655">
        <v>2253987</v>
      </c>
      <c r="AK343" s="655">
        <v>18779612</v>
      </c>
      <c r="AL343" s="655">
        <v>16170050</v>
      </c>
      <c r="AM343" s="655">
        <v>2609562</v>
      </c>
    </row>
    <row r="344" spans="1:39" x14ac:dyDescent="0.2">
      <c r="A344" s="648">
        <v>2014</v>
      </c>
      <c r="B344" s="648">
        <v>1</v>
      </c>
      <c r="C344" s="657" t="s">
        <v>85</v>
      </c>
      <c r="D344" s="648">
        <v>135</v>
      </c>
      <c r="E344" s="648" t="s">
        <v>1014</v>
      </c>
      <c r="F344" s="655">
        <v>7492604</v>
      </c>
      <c r="G344" s="655">
        <v>0</v>
      </c>
      <c r="H344" s="655">
        <v>253932</v>
      </c>
      <c r="I344" s="655">
        <v>963140</v>
      </c>
      <c r="J344" s="655">
        <v>626453</v>
      </c>
      <c r="K344" s="655">
        <v>65806</v>
      </c>
      <c r="L344" s="655">
        <v>72389</v>
      </c>
      <c r="M344" s="655">
        <v>0</v>
      </c>
      <c r="N344" s="655">
        <v>386227</v>
      </c>
      <c r="O344" s="655">
        <v>6127</v>
      </c>
      <c r="P344" s="655">
        <v>66777</v>
      </c>
      <c r="Q344" s="655">
        <v>74561</v>
      </c>
      <c r="R344" s="655">
        <v>0</v>
      </c>
      <c r="S344" s="655">
        <v>37923</v>
      </c>
      <c r="T344" s="655">
        <v>4035</v>
      </c>
      <c r="U344" s="655">
        <v>21262</v>
      </c>
      <c r="V344" s="655">
        <v>0</v>
      </c>
      <c r="W344" s="655">
        <v>36006</v>
      </c>
      <c r="X344" s="655">
        <v>0</v>
      </c>
      <c r="Y344" s="655">
        <v>44228</v>
      </c>
      <c r="Z344" s="655">
        <v>0</v>
      </c>
      <c r="AA344" s="655">
        <v>0</v>
      </c>
      <c r="AB344" s="655">
        <v>0</v>
      </c>
      <c r="AC344" s="655">
        <v>0</v>
      </c>
      <c r="AD344" s="655">
        <v>73532</v>
      </c>
      <c r="AE344" s="655">
        <v>9989482</v>
      </c>
      <c r="AF344" s="655">
        <v>201993</v>
      </c>
      <c r="AG344" s="655">
        <v>0</v>
      </c>
      <c r="AH344" s="655">
        <v>0</v>
      </c>
      <c r="AI344" s="655">
        <v>2443567</v>
      </c>
      <c r="AJ344" s="655">
        <v>5472933</v>
      </c>
      <c r="AK344" s="655">
        <v>18107975</v>
      </c>
      <c r="AL344" s="655">
        <v>12260366</v>
      </c>
      <c r="AM344" s="655">
        <v>5847609</v>
      </c>
    </row>
    <row r="345" spans="1:39" x14ac:dyDescent="0.2">
      <c r="A345" s="648">
        <v>2014</v>
      </c>
      <c r="B345" s="648">
        <v>7</v>
      </c>
      <c r="C345" s="657" t="s">
        <v>86</v>
      </c>
      <c r="D345" s="648">
        <v>153</v>
      </c>
      <c r="E345" s="648" t="s">
        <v>1482</v>
      </c>
      <c r="F345" s="655">
        <v>3786880</v>
      </c>
      <c r="G345" s="655">
        <v>0</v>
      </c>
      <c r="H345" s="655">
        <v>149836</v>
      </c>
      <c r="I345" s="655">
        <v>536247</v>
      </c>
      <c r="J345" s="655">
        <v>371533</v>
      </c>
      <c r="K345" s="655">
        <v>41535</v>
      </c>
      <c r="L345" s="655">
        <v>34014</v>
      </c>
      <c r="M345" s="655">
        <v>0</v>
      </c>
      <c r="N345" s="655">
        <v>189729</v>
      </c>
      <c r="O345" s="655">
        <v>0</v>
      </c>
      <c r="P345" s="655">
        <v>31141</v>
      </c>
      <c r="Q345" s="655">
        <v>34806</v>
      </c>
      <c r="R345" s="655">
        <v>0</v>
      </c>
      <c r="S345" s="655">
        <v>24408</v>
      </c>
      <c r="T345" s="655">
        <v>2799</v>
      </c>
      <c r="U345" s="655">
        <v>137406</v>
      </c>
      <c r="V345" s="655">
        <v>43616</v>
      </c>
      <c r="W345" s="655">
        <v>149613</v>
      </c>
      <c r="X345" s="655">
        <v>0</v>
      </c>
      <c r="Y345" s="655">
        <v>102388</v>
      </c>
      <c r="Z345" s="655">
        <v>0</v>
      </c>
      <c r="AA345" s="655">
        <v>0</v>
      </c>
      <c r="AB345" s="655">
        <v>0</v>
      </c>
      <c r="AC345" s="655">
        <v>0</v>
      </c>
      <c r="AD345" s="655">
        <v>32769</v>
      </c>
      <c r="AE345" s="655">
        <v>5398406</v>
      </c>
      <c r="AF345" s="655">
        <v>165267</v>
      </c>
      <c r="AG345" s="655">
        <v>300300</v>
      </c>
      <c r="AH345" s="655">
        <v>0</v>
      </c>
      <c r="AI345" s="655">
        <v>951527</v>
      </c>
      <c r="AJ345" s="655">
        <v>-43616</v>
      </c>
      <c r="AK345" s="655">
        <v>6771884</v>
      </c>
      <c r="AL345" s="655">
        <v>6985657</v>
      </c>
      <c r="AM345" s="655">
        <v>-213773</v>
      </c>
    </row>
    <row r="346" spans="1:39" x14ac:dyDescent="0.2">
      <c r="A346" s="648">
        <v>2014</v>
      </c>
      <c r="B346" s="648">
        <v>5</v>
      </c>
      <c r="C346" s="657" t="s">
        <v>87</v>
      </c>
      <c r="D346" s="648">
        <v>171</v>
      </c>
      <c r="E346" s="648" t="s">
        <v>1015</v>
      </c>
      <c r="F346" s="655">
        <v>3077639</v>
      </c>
      <c r="G346" s="655">
        <v>0</v>
      </c>
      <c r="H346" s="655">
        <v>260804</v>
      </c>
      <c r="I346" s="655">
        <v>318414</v>
      </c>
      <c r="J346" s="655">
        <v>298784</v>
      </c>
      <c r="K346" s="655">
        <v>33497</v>
      </c>
      <c r="L346" s="655">
        <v>38243</v>
      </c>
      <c r="M346" s="655">
        <v>0</v>
      </c>
      <c r="N346" s="655">
        <v>154839</v>
      </c>
      <c r="O346" s="655">
        <v>932</v>
      </c>
      <c r="P346" s="655">
        <v>26077</v>
      </c>
      <c r="Q346" s="655">
        <v>29314</v>
      </c>
      <c r="R346" s="655">
        <v>2503</v>
      </c>
      <c r="S346" s="655">
        <v>16523</v>
      </c>
      <c r="T346" s="655">
        <v>1970</v>
      </c>
      <c r="U346" s="655">
        <v>150865</v>
      </c>
      <c r="V346" s="655">
        <v>0</v>
      </c>
      <c r="W346" s="655">
        <v>110229</v>
      </c>
      <c r="X346" s="655">
        <v>27594</v>
      </c>
      <c r="Y346" s="655">
        <v>0</v>
      </c>
      <c r="Z346" s="655">
        <v>0</v>
      </c>
      <c r="AA346" s="655">
        <v>0</v>
      </c>
      <c r="AB346" s="655">
        <v>0</v>
      </c>
      <c r="AC346" s="655">
        <v>0</v>
      </c>
      <c r="AD346" s="655">
        <v>28179</v>
      </c>
      <c r="AE346" s="655">
        <v>4520048</v>
      </c>
      <c r="AF346" s="655">
        <v>137723</v>
      </c>
      <c r="AG346" s="655">
        <v>252767</v>
      </c>
      <c r="AH346" s="655">
        <v>0</v>
      </c>
      <c r="AI346" s="655">
        <v>1176498</v>
      </c>
      <c r="AJ346" s="655">
        <v>1446280</v>
      </c>
      <c r="AK346" s="655">
        <v>7533316</v>
      </c>
      <c r="AL346" s="655">
        <v>5930452</v>
      </c>
      <c r="AM346" s="655">
        <v>1602864</v>
      </c>
    </row>
    <row r="347" spans="1:39" x14ac:dyDescent="0.2">
      <c r="A347" s="648">
        <v>2014</v>
      </c>
      <c r="B347" s="648">
        <v>11</v>
      </c>
      <c r="C347" s="657" t="s">
        <v>88</v>
      </c>
      <c r="D347" s="648">
        <v>225</v>
      </c>
      <c r="E347" s="648" t="s">
        <v>1016</v>
      </c>
      <c r="F347" s="655">
        <v>26264456</v>
      </c>
      <c r="G347" s="655">
        <v>0</v>
      </c>
      <c r="H347" s="655">
        <v>352077</v>
      </c>
      <c r="I347" s="655">
        <v>2429557</v>
      </c>
      <c r="J347" s="655">
        <v>2230386</v>
      </c>
      <c r="K347" s="655">
        <v>275796</v>
      </c>
      <c r="L347" s="655">
        <v>245265</v>
      </c>
      <c r="M347" s="655">
        <v>0</v>
      </c>
      <c r="N347" s="655">
        <v>1206109</v>
      </c>
      <c r="O347" s="655">
        <v>2424</v>
      </c>
      <c r="P347" s="655">
        <v>218275</v>
      </c>
      <c r="Q347" s="655">
        <v>239509</v>
      </c>
      <c r="R347" s="655">
        <v>0</v>
      </c>
      <c r="S347" s="655">
        <v>97479</v>
      </c>
      <c r="T347" s="655">
        <v>12474</v>
      </c>
      <c r="U347" s="655">
        <v>1287851</v>
      </c>
      <c r="V347" s="655">
        <v>321448</v>
      </c>
      <c r="W347" s="655">
        <v>399521</v>
      </c>
      <c r="X347" s="655">
        <v>868524</v>
      </c>
      <c r="Y347" s="655">
        <v>0</v>
      </c>
      <c r="Z347" s="655">
        <v>0</v>
      </c>
      <c r="AA347" s="655">
        <v>0</v>
      </c>
      <c r="AB347" s="655">
        <v>0</v>
      </c>
      <c r="AC347" s="655">
        <v>2680</v>
      </c>
      <c r="AD347" s="655">
        <v>203105</v>
      </c>
      <c r="AE347" s="655">
        <v>36250726</v>
      </c>
      <c r="AF347" s="655">
        <v>795730</v>
      </c>
      <c r="AG347" s="655">
        <v>2250076</v>
      </c>
      <c r="AH347" s="655">
        <v>0</v>
      </c>
      <c r="AI347" s="655">
        <v>6895262</v>
      </c>
      <c r="AJ347" s="655">
        <v>3796256</v>
      </c>
      <c r="AK347" s="655">
        <v>49988050</v>
      </c>
      <c r="AL347" s="655">
        <v>47506836</v>
      </c>
      <c r="AM347" s="655">
        <v>2481214</v>
      </c>
    </row>
    <row r="348" spans="1:39" x14ac:dyDescent="0.2">
      <c r="A348" s="648">
        <v>2014</v>
      </c>
      <c r="B348" s="648">
        <v>10</v>
      </c>
      <c r="C348" s="657" t="s">
        <v>89</v>
      </c>
      <c r="D348" s="648">
        <v>234</v>
      </c>
      <c r="E348" s="648" t="s">
        <v>1017</v>
      </c>
      <c r="F348" s="655">
        <v>7599458</v>
      </c>
      <c r="G348" s="655">
        <v>0</v>
      </c>
      <c r="H348" s="655">
        <v>175209</v>
      </c>
      <c r="I348" s="655">
        <v>942613</v>
      </c>
      <c r="J348" s="655">
        <v>687938</v>
      </c>
      <c r="K348" s="655">
        <v>82173</v>
      </c>
      <c r="L348" s="655">
        <v>70844</v>
      </c>
      <c r="M348" s="655">
        <v>0</v>
      </c>
      <c r="N348" s="655">
        <v>373204</v>
      </c>
      <c r="O348" s="655">
        <v>7016</v>
      </c>
      <c r="P348" s="655">
        <v>65154</v>
      </c>
      <c r="Q348" s="655">
        <v>71555</v>
      </c>
      <c r="R348" s="655">
        <v>0</v>
      </c>
      <c r="S348" s="655">
        <v>34611</v>
      </c>
      <c r="T348" s="655">
        <v>4022</v>
      </c>
      <c r="U348" s="655">
        <v>173623</v>
      </c>
      <c r="V348" s="655">
        <v>0</v>
      </c>
      <c r="W348" s="655">
        <v>267364</v>
      </c>
      <c r="X348" s="655">
        <v>56678</v>
      </c>
      <c r="Y348" s="655">
        <v>0</v>
      </c>
      <c r="Z348" s="655">
        <v>0</v>
      </c>
      <c r="AA348" s="655">
        <v>0</v>
      </c>
      <c r="AB348" s="655">
        <v>0</v>
      </c>
      <c r="AC348" s="655">
        <v>0</v>
      </c>
      <c r="AD348" s="655">
        <v>60223</v>
      </c>
      <c r="AE348" s="655">
        <v>10551239</v>
      </c>
      <c r="AF348" s="655">
        <v>156086</v>
      </c>
      <c r="AG348" s="655">
        <v>484442</v>
      </c>
      <c r="AH348" s="655">
        <v>0</v>
      </c>
      <c r="AI348" s="655">
        <v>2093873</v>
      </c>
      <c r="AJ348" s="655">
        <v>6147994</v>
      </c>
      <c r="AK348" s="655">
        <v>19433634</v>
      </c>
      <c r="AL348" s="655">
        <v>13226464</v>
      </c>
      <c r="AM348" s="655">
        <v>6207170</v>
      </c>
    </row>
    <row r="349" spans="1:39" x14ac:dyDescent="0.2">
      <c r="A349" s="648">
        <v>2014</v>
      </c>
      <c r="B349" s="648">
        <v>9</v>
      </c>
      <c r="C349" s="657" t="s">
        <v>90</v>
      </c>
      <c r="D349" s="648">
        <v>243</v>
      </c>
      <c r="E349" s="648" t="s">
        <v>1018</v>
      </c>
      <c r="F349" s="655">
        <v>1690634</v>
      </c>
      <c r="G349" s="655">
        <v>8901</v>
      </c>
      <c r="H349" s="655">
        <v>102211</v>
      </c>
      <c r="I349" s="655">
        <v>288515</v>
      </c>
      <c r="J349" s="655">
        <v>156306</v>
      </c>
      <c r="K349" s="655">
        <v>17174</v>
      </c>
      <c r="L349" s="655">
        <v>19771</v>
      </c>
      <c r="M349" s="655">
        <v>0</v>
      </c>
      <c r="N349" s="655">
        <v>86413</v>
      </c>
      <c r="O349" s="655">
        <v>6918</v>
      </c>
      <c r="P349" s="655">
        <v>14571</v>
      </c>
      <c r="Q349" s="655">
        <v>15885</v>
      </c>
      <c r="R349" s="655">
        <v>0</v>
      </c>
      <c r="S349" s="655">
        <v>7717</v>
      </c>
      <c r="T349" s="655">
        <v>905</v>
      </c>
      <c r="U349" s="655">
        <v>189</v>
      </c>
      <c r="V349" s="655">
        <v>0</v>
      </c>
      <c r="W349" s="655">
        <v>36006</v>
      </c>
      <c r="X349" s="655">
        <v>130769</v>
      </c>
      <c r="Y349" s="655">
        <v>0</v>
      </c>
      <c r="Z349" s="655">
        <v>0</v>
      </c>
      <c r="AA349" s="655">
        <v>0</v>
      </c>
      <c r="AB349" s="655">
        <v>0</v>
      </c>
      <c r="AC349" s="655">
        <v>0</v>
      </c>
      <c r="AD349" s="655">
        <v>16393</v>
      </c>
      <c r="AE349" s="655">
        <v>2566492</v>
      </c>
      <c r="AF349" s="655">
        <v>45908</v>
      </c>
      <c r="AG349" s="655">
        <v>129879</v>
      </c>
      <c r="AH349" s="655">
        <v>0</v>
      </c>
      <c r="AI349" s="655">
        <v>327625</v>
      </c>
      <c r="AJ349" s="655">
        <v>1162631</v>
      </c>
      <c r="AK349" s="655">
        <v>4232535</v>
      </c>
      <c r="AL349" s="655">
        <v>3298871</v>
      </c>
      <c r="AM349" s="655">
        <v>933664</v>
      </c>
    </row>
    <row r="350" spans="1:39" x14ac:dyDescent="0.2">
      <c r="A350" s="648">
        <v>2014</v>
      </c>
      <c r="B350" s="648">
        <v>11</v>
      </c>
      <c r="C350" s="657" t="s">
        <v>91</v>
      </c>
      <c r="D350" s="648">
        <v>261</v>
      </c>
      <c r="E350" s="648" t="s">
        <v>1019</v>
      </c>
      <c r="F350" s="655">
        <v>57453542</v>
      </c>
      <c r="G350" s="655">
        <v>0</v>
      </c>
      <c r="H350" s="655">
        <v>1039523</v>
      </c>
      <c r="I350" s="655">
        <v>4286047</v>
      </c>
      <c r="J350" s="655">
        <v>4469474</v>
      </c>
      <c r="K350" s="655">
        <v>490716</v>
      </c>
      <c r="L350" s="655">
        <v>512304</v>
      </c>
      <c r="M350" s="655">
        <v>0</v>
      </c>
      <c r="N350" s="655">
        <v>2633288</v>
      </c>
      <c r="O350" s="655">
        <v>0</v>
      </c>
      <c r="P350" s="655">
        <v>485511</v>
      </c>
      <c r="Q350" s="655">
        <v>532741</v>
      </c>
      <c r="R350" s="655">
        <v>0</v>
      </c>
      <c r="S350" s="655">
        <v>212826</v>
      </c>
      <c r="T350" s="655">
        <v>27234</v>
      </c>
      <c r="U350" s="655">
        <v>1605325</v>
      </c>
      <c r="V350" s="655">
        <v>6972225</v>
      </c>
      <c r="W350" s="655">
        <v>3157335</v>
      </c>
      <c r="X350" s="655">
        <v>1776511</v>
      </c>
      <c r="Y350" s="655">
        <v>0</v>
      </c>
      <c r="Z350" s="655">
        <v>0</v>
      </c>
      <c r="AA350" s="655">
        <v>0</v>
      </c>
      <c r="AB350" s="655">
        <v>0</v>
      </c>
      <c r="AC350" s="655">
        <v>0</v>
      </c>
      <c r="AD350" s="655">
        <v>253394</v>
      </c>
      <c r="AE350" s="655">
        <v>85401208</v>
      </c>
      <c r="AF350" s="655">
        <v>648826</v>
      </c>
      <c r="AG350" s="655">
        <v>4070009</v>
      </c>
      <c r="AH350" s="655">
        <v>0</v>
      </c>
      <c r="AI350" s="655">
        <v>7817807</v>
      </c>
      <c r="AJ350" s="655">
        <v>23161535</v>
      </c>
      <c r="AK350" s="655">
        <v>121099385</v>
      </c>
      <c r="AL350" s="655">
        <v>95166370</v>
      </c>
      <c r="AM350" s="655">
        <v>25933015</v>
      </c>
    </row>
    <row r="351" spans="1:39" x14ac:dyDescent="0.2">
      <c r="A351" s="648">
        <v>2014</v>
      </c>
      <c r="B351" s="648">
        <v>7</v>
      </c>
      <c r="C351" s="657" t="s">
        <v>92</v>
      </c>
      <c r="D351" s="648">
        <v>279</v>
      </c>
      <c r="E351" s="648" t="s">
        <v>1455</v>
      </c>
      <c r="F351" s="655">
        <v>5153882</v>
      </c>
      <c r="G351" s="655">
        <v>0</v>
      </c>
      <c r="H351" s="655">
        <v>231386</v>
      </c>
      <c r="I351" s="655">
        <v>595022</v>
      </c>
      <c r="J351" s="655">
        <v>466502</v>
      </c>
      <c r="K351" s="655">
        <v>51951</v>
      </c>
      <c r="L351" s="655">
        <v>61474</v>
      </c>
      <c r="M351" s="655">
        <v>0</v>
      </c>
      <c r="N351" s="655">
        <v>255888</v>
      </c>
      <c r="O351" s="655">
        <v>0</v>
      </c>
      <c r="P351" s="655">
        <v>43083</v>
      </c>
      <c r="Q351" s="655">
        <v>48154</v>
      </c>
      <c r="R351" s="655">
        <v>0</v>
      </c>
      <c r="S351" s="655">
        <v>32919</v>
      </c>
      <c r="T351" s="655">
        <v>3776</v>
      </c>
      <c r="U351" s="655">
        <v>252642</v>
      </c>
      <c r="V351" s="655">
        <v>0</v>
      </c>
      <c r="W351" s="655">
        <v>6001</v>
      </c>
      <c r="X351" s="655">
        <v>0</v>
      </c>
      <c r="Y351" s="655">
        <v>0</v>
      </c>
      <c r="Z351" s="655">
        <v>0</v>
      </c>
      <c r="AA351" s="655">
        <v>0</v>
      </c>
      <c r="AB351" s="655">
        <v>0</v>
      </c>
      <c r="AC351" s="655">
        <v>-1260</v>
      </c>
      <c r="AD351" s="655">
        <v>39100</v>
      </c>
      <c r="AE351" s="655">
        <v>7162320</v>
      </c>
      <c r="AF351" s="655">
        <v>128541</v>
      </c>
      <c r="AG351" s="655">
        <v>380562</v>
      </c>
      <c r="AH351" s="655">
        <v>0</v>
      </c>
      <c r="AI351" s="655">
        <v>959078</v>
      </c>
      <c r="AJ351" s="655">
        <v>964119</v>
      </c>
      <c r="AK351" s="655">
        <v>9594620</v>
      </c>
      <c r="AL351" s="655">
        <v>8545971</v>
      </c>
      <c r="AM351" s="655">
        <v>1048649</v>
      </c>
    </row>
    <row r="352" spans="1:39" x14ac:dyDescent="0.2">
      <c r="A352" s="648">
        <v>2014</v>
      </c>
      <c r="B352" s="648">
        <v>5</v>
      </c>
      <c r="C352" s="657" t="s">
        <v>93</v>
      </c>
      <c r="D352" s="648">
        <v>333</v>
      </c>
      <c r="E352" s="648" t="s">
        <v>1635</v>
      </c>
      <c r="F352" s="655">
        <v>2769383</v>
      </c>
      <c r="G352" s="655">
        <v>28969</v>
      </c>
      <c r="H352" s="655">
        <v>147004</v>
      </c>
      <c r="I352" s="655">
        <v>362799</v>
      </c>
      <c r="J352" s="655">
        <v>282009</v>
      </c>
      <c r="K352" s="655">
        <v>31647</v>
      </c>
      <c r="L352" s="655">
        <v>34188</v>
      </c>
      <c r="M352" s="655">
        <v>0</v>
      </c>
      <c r="N352" s="655">
        <v>141198</v>
      </c>
      <c r="O352" s="655">
        <v>29037</v>
      </c>
      <c r="P352" s="655">
        <v>23152</v>
      </c>
      <c r="Q352" s="655">
        <v>26026</v>
      </c>
      <c r="R352" s="655">
        <v>2336</v>
      </c>
      <c r="S352" s="655">
        <v>15307</v>
      </c>
      <c r="T352" s="655">
        <v>1826</v>
      </c>
      <c r="U352" s="655">
        <v>135778</v>
      </c>
      <c r="V352" s="655">
        <v>214062</v>
      </c>
      <c r="W352" s="655">
        <v>84014</v>
      </c>
      <c r="X352" s="655">
        <v>106117</v>
      </c>
      <c r="Y352" s="655">
        <v>0</v>
      </c>
      <c r="Z352" s="655">
        <v>0</v>
      </c>
      <c r="AA352" s="655">
        <v>0</v>
      </c>
      <c r="AB352" s="655">
        <v>0</v>
      </c>
      <c r="AC352" s="655">
        <v>-5441</v>
      </c>
      <c r="AD352" s="655">
        <v>31389</v>
      </c>
      <c r="AE352" s="655">
        <v>4398022</v>
      </c>
      <c r="AF352" s="655">
        <v>79573</v>
      </c>
      <c r="AG352" s="655">
        <v>247823</v>
      </c>
      <c r="AH352" s="655">
        <v>0</v>
      </c>
      <c r="AI352" s="655">
        <v>2857580</v>
      </c>
      <c r="AJ352" s="655">
        <v>504801</v>
      </c>
      <c r="AK352" s="655">
        <v>8087799</v>
      </c>
      <c r="AL352" s="655">
        <v>7670957</v>
      </c>
      <c r="AM352" s="655">
        <v>416842</v>
      </c>
    </row>
    <row r="353" spans="1:39" x14ac:dyDescent="0.2">
      <c r="A353" s="648">
        <v>2014</v>
      </c>
      <c r="B353" s="648">
        <v>12</v>
      </c>
      <c r="C353" s="657" t="s">
        <v>94</v>
      </c>
      <c r="D353" s="648">
        <v>355</v>
      </c>
      <c r="E353" s="648" t="s">
        <v>1020</v>
      </c>
      <c r="F353" s="655">
        <v>1833852</v>
      </c>
      <c r="G353" s="655">
        <v>0</v>
      </c>
      <c r="H353" s="655">
        <v>89110</v>
      </c>
      <c r="I353" s="655">
        <v>259836</v>
      </c>
      <c r="J353" s="655">
        <v>166608</v>
      </c>
      <c r="K353" s="655">
        <v>16104</v>
      </c>
      <c r="L353" s="655">
        <v>16361</v>
      </c>
      <c r="M353" s="655">
        <v>0</v>
      </c>
      <c r="N353" s="655">
        <v>94307</v>
      </c>
      <c r="O353" s="655">
        <v>11020</v>
      </c>
      <c r="P353" s="655">
        <v>18032</v>
      </c>
      <c r="Q353" s="655">
        <v>20263</v>
      </c>
      <c r="R353" s="655">
        <v>0</v>
      </c>
      <c r="S353" s="655">
        <v>9461</v>
      </c>
      <c r="T353" s="655">
        <v>1132</v>
      </c>
      <c r="U353" s="655">
        <v>35100</v>
      </c>
      <c r="V353" s="655">
        <v>0</v>
      </c>
      <c r="W353" s="655">
        <v>62689</v>
      </c>
      <c r="X353" s="655">
        <v>23855</v>
      </c>
      <c r="Y353" s="655">
        <v>0</v>
      </c>
      <c r="Z353" s="655">
        <v>0</v>
      </c>
      <c r="AA353" s="655">
        <v>0</v>
      </c>
      <c r="AB353" s="655">
        <v>0</v>
      </c>
      <c r="AC353" s="655">
        <v>0</v>
      </c>
      <c r="AD353" s="655">
        <v>20681</v>
      </c>
      <c r="AE353" s="655">
        <v>2637049</v>
      </c>
      <c r="AF353" s="655">
        <v>52029</v>
      </c>
      <c r="AG353" s="655">
        <v>163598</v>
      </c>
      <c r="AH353" s="655">
        <v>0</v>
      </c>
      <c r="AI353" s="655">
        <v>243420</v>
      </c>
      <c r="AJ353" s="655">
        <v>1485906</v>
      </c>
      <c r="AK353" s="655">
        <v>4582002</v>
      </c>
      <c r="AL353" s="655">
        <v>3391956</v>
      </c>
      <c r="AM353" s="655">
        <v>1190046</v>
      </c>
    </row>
    <row r="354" spans="1:39" x14ac:dyDescent="0.2">
      <c r="A354" s="648">
        <v>2014</v>
      </c>
      <c r="B354" s="648">
        <v>13</v>
      </c>
      <c r="C354" s="657" t="s">
        <v>95</v>
      </c>
      <c r="D354" s="648">
        <v>387</v>
      </c>
      <c r="E354" s="648" t="s">
        <v>1021</v>
      </c>
      <c r="F354" s="655">
        <v>8751400</v>
      </c>
      <c r="G354" s="655">
        <v>0</v>
      </c>
      <c r="H354" s="655">
        <v>172462</v>
      </c>
      <c r="I354" s="655">
        <v>1186719</v>
      </c>
      <c r="J354" s="655">
        <v>776267</v>
      </c>
      <c r="K354" s="655">
        <v>91286</v>
      </c>
      <c r="L354" s="655">
        <v>102531</v>
      </c>
      <c r="M354" s="655">
        <v>0</v>
      </c>
      <c r="N354" s="655">
        <v>436677</v>
      </c>
      <c r="O354" s="655">
        <v>0</v>
      </c>
      <c r="P354" s="655">
        <v>71579</v>
      </c>
      <c r="Q354" s="655">
        <v>79167</v>
      </c>
      <c r="R354" s="655">
        <v>0</v>
      </c>
      <c r="S354" s="655">
        <v>44847</v>
      </c>
      <c r="T354" s="655">
        <v>4738</v>
      </c>
      <c r="U354" s="655">
        <v>343202</v>
      </c>
      <c r="V354" s="655">
        <v>69110</v>
      </c>
      <c r="W354" s="655">
        <v>64233</v>
      </c>
      <c r="X354" s="655">
        <v>435323</v>
      </c>
      <c r="Y354" s="655">
        <v>0</v>
      </c>
      <c r="Z354" s="655">
        <v>0</v>
      </c>
      <c r="AA354" s="655">
        <v>0</v>
      </c>
      <c r="AB354" s="655">
        <v>0</v>
      </c>
      <c r="AC354" s="655">
        <v>1321</v>
      </c>
      <c r="AD354" s="655">
        <v>68797</v>
      </c>
      <c r="AE354" s="655">
        <v>12562065</v>
      </c>
      <c r="AF354" s="655">
        <v>367260</v>
      </c>
      <c r="AG354" s="655">
        <v>649354</v>
      </c>
      <c r="AH354" s="655">
        <v>0</v>
      </c>
      <c r="AI354" s="655">
        <v>2216376</v>
      </c>
      <c r="AJ354" s="655">
        <v>3944866</v>
      </c>
      <c r="AK354" s="655">
        <v>19739921</v>
      </c>
      <c r="AL354" s="655">
        <v>17015335</v>
      </c>
      <c r="AM354" s="655">
        <v>2724586</v>
      </c>
    </row>
    <row r="355" spans="1:39" x14ac:dyDescent="0.2">
      <c r="A355" s="648">
        <v>2014</v>
      </c>
      <c r="B355" s="648">
        <v>11</v>
      </c>
      <c r="C355" s="657" t="s">
        <v>96</v>
      </c>
      <c r="D355" s="648">
        <v>414</v>
      </c>
      <c r="E355" s="648" t="s">
        <v>1022</v>
      </c>
      <c r="F355" s="655">
        <v>3305220</v>
      </c>
      <c r="G355" s="655">
        <v>61167</v>
      </c>
      <c r="H355" s="655">
        <v>50363</v>
      </c>
      <c r="I355" s="655">
        <v>427242</v>
      </c>
      <c r="J355" s="655">
        <v>298089</v>
      </c>
      <c r="K355" s="655">
        <v>34021</v>
      </c>
      <c r="L355" s="655">
        <v>29723</v>
      </c>
      <c r="M355" s="655">
        <v>0</v>
      </c>
      <c r="N355" s="655">
        <v>157167</v>
      </c>
      <c r="O355" s="655">
        <v>10260</v>
      </c>
      <c r="P355" s="655">
        <v>26729</v>
      </c>
      <c r="Q355" s="655">
        <v>29329</v>
      </c>
      <c r="R355" s="655">
        <v>0</v>
      </c>
      <c r="S355" s="655">
        <v>12702</v>
      </c>
      <c r="T355" s="655">
        <v>1625</v>
      </c>
      <c r="U355" s="655">
        <v>43955</v>
      </c>
      <c r="V355" s="655">
        <v>0</v>
      </c>
      <c r="W355" s="655">
        <v>19803</v>
      </c>
      <c r="X355" s="655">
        <v>0</v>
      </c>
      <c r="Y355" s="655">
        <v>31108</v>
      </c>
      <c r="Z355" s="655">
        <v>0</v>
      </c>
      <c r="AA355" s="655">
        <v>0</v>
      </c>
      <c r="AB355" s="655">
        <v>0</v>
      </c>
      <c r="AC355" s="655">
        <v>-122</v>
      </c>
      <c r="AD355" s="655">
        <v>31621</v>
      </c>
      <c r="AE355" s="655">
        <v>4444544</v>
      </c>
      <c r="AF355" s="655">
        <v>107118</v>
      </c>
      <c r="AG355" s="655">
        <v>274899</v>
      </c>
      <c r="AH355" s="655">
        <v>0</v>
      </c>
      <c r="AI355" s="655">
        <v>873527</v>
      </c>
      <c r="AJ355" s="655">
        <v>934211</v>
      </c>
      <c r="AK355" s="655">
        <v>6634299</v>
      </c>
      <c r="AL355" s="655">
        <v>5833845</v>
      </c>
      <c r="AM355" s="655">
        <v>800454</v>
      </c>
    </row>
    <row r="356" spans="1:39" x14ac:dyDescent="0.2">
      <c r="A356" s="648">
        <v>2014</v>
      </c>
      <c r="B356" s="648">
        <v>12</v>
      </c>
      <c r="C356" s="657" t="s">
        <v>97</v>
      </c>
      <c r="D356" s="648">
        <v>423</v>
      </c>
      <c r="E356" s="648" t="s">
        <v>1023</v>
      </c>
      <c r="F356" s="655">
        <v>1590935</v>
      </c>
      <c r="G356" s="655">
        <v>0</v>
      </c>
      <c r="H356" s="655">
        <v>85859</v>
      </c>
      <c r="I356" s="655">
        <v>170046</v>
      </c>
      <c r="J356" s="655">
        <v>145956</v>
      </c>
      <c r="K356" s="655">
        <v>17431</v>
      </c>
      <c r="L356" s="655">
        <v>15557</v>
      </c>
      <c r="M356" s="655">
        <v>0</v>
      </c>
      <c r="N356" s="655">
        <v>78462</v>
      </c>
      <c r="O356" s="655">
        <v>6667</v>
      </c>
      <c r="P356" s="655">
        <v>12945</v>
      </c>
      <c r="Q356" s="655">
        <v>14546</v>
      </c>
      <c r="R356" s="655">
        <v>0</v>
      </c>
      <c r="S356" s="655">
        <v>7875</v>
      </c>
      <c r="T356" s="655">
        <v>944</v>
      </c>
      <c r="U356" s="655">
        <v>31226</v>
      </c>
      <c r="V356" s="655">
        <v>0</v>
      </c>
      <c r="W356" s="655">
        <v>36006</v>
      </c>
      <c r="X356" s="655">
        <v>0</v>
      </c>
      <c r="Y356" s="655">
        <v>0</v>
      </c>
      <c r="Z356" s="655">
        <v>0</v>
      </c>
      <c r="AA356" s="655">
        <v>0</v>
      </c>
      <c r="AB356" s="655">
        <v>0</v>
      </c>
      <c r="AC356" s="655">
        <v>0</v>
      </c>
      <c r="AD356" s="655">
        <v>16506</v>
      </c>
      <c r="AE356" s="655">
        <v>2197949</v>
      </c>
      <c r="AF356" s="655">
        <v>55089</v>
      </c>
      <c r="AG356" s="655">
        <v>139223</v>
      </c>
      <c r="AH356" s="655">
        <v>0</v>
      </c>
      <c r="AI356" s="655">
        <v>867908</v>
      </c>
      <c r="AJ356" s="655">
        <v>1167514</v>
      </c>
      <c r="AK356" s="655">
        <v>4427683</v>
      </c>
      <c r="AL356" s="655">
        <v>3254481</v>
      </c>
      <c r="AM356" s="655">
        <v>1173202</v>
      </c>
    </row>
    <row r="357" spans="1:39" x14ac:dyDescent="0.2">
      <c r="A357" s="648">
        <v>2014</v>
      </c>
      <c r="B357" s="648">
        <v>13</v>
      </c>
      <c r="C357" s="657" t="s">
        <v>78</v>
      </c>
      <c r="D357" s="648">
        <v>441</v>
      </c>
      <c r="E357" s="648" t="s">
        <v>1785</v>
      </c>
      <c r="F357" s="655">
        <v>4826532</v>
      </c>
      <c r="G357" s="655">
        <v>75116</v>
      </c>
      <c r="H357" s="655">
        <v>102379</v>
      </c>
      <c r="I357" s="655">
        <v>414685</v>
      </c>
      <c r="J357" s="655">
        <v>390774</v>
      </c>
      <c r="K357" s="655">
        <v>38356</v>
      </c>
      <c r="L357" s="655">
        <v>43367</v>
      </c>
      <c r="M357" s="655">
        <v>0</v>
      </c>
      <c r="N357" s="655">
        <v>228847</v>
      </c>
      <c r="O357" s="655">
        <v>21082</v>
      </c>
      <c r="P357" s="655">
        <v>39321</v>
      </c>
      <c r="Q357" s="655">
        <v>43489</v>
      </c>
      <c r="R357" s="655">
        <v>0</v>
      </c>
      <c r="S357" s="655">
        <v>23883</v>
      </c>
      <c r="T357" s="655">
        <v>2521</v>
      </c>
      <c r="U357" s="655">
        <v>0</v>
      </c>
      <c r="V357" s="655">
        <v>62090</v>
      </c>
      <c r="W357" s="655">
        <v>114691</v>
      </c>
      <c r="X357" s="655">
        <v>285298</v>
      </c>
      <c r="Y357" s="655">
        <v>0</v>
      </c>
      <c r="Z357" s="655">
        <v>0</v>
      </c>
      <c r="AA357" s="655">
        <v>0</v>
      </c>
      <c r="AB357" s="655">
        <v>0</v>
      </c>
      <c r="AC357" s="655">
        <v>0</v>
      </c>
      <c r="AD357" s="655">
        <v>42239</v>
      </c>
      <c r="AE357" s="655">
        <v>6670192</v>
      </c>
      <c r="AF357" s="655">
        <v>125481</v>
      </c>
      <c r="AG357" s="655">
        <v>410722</v>
      </c>
      <c r="AH357" s="655">
        <v>0</v>
      </c>
      <c r="AI357" s="655">
        <v>1306076</v>
      </c>
      <c r="AJ357" s="655">
        <v>2294206</v>
      </c>
      <c r="AK357" s="655">
        <v>10806677</v>
      </c>
      <c r="AL357" s="655">
        <v>8580779</v>
      </c>
      <c r="AM357" s="655">
        <v>2225898</v>
      </c>
    </row>
    <row r="358" spans="1:39" x14ac:dyDescent="0.2">
      <c r="A358" s="648">
        <v>2014</v>
      </c>
      <c r="B358" s="648">
        <v>11</v>
      </c>
      <c r="C358" s="657" t="s">
        <v>98</v>
      </c>
      <c r="D358" s="648">
        <v>472</v>
      </c>
      <c r="E358" s="648" t="s">
        <v>1024</v>
      </c>
      <c r="F358" s="655">
        <v>9431849</v>
      </c>
      <c r="G358" s="655">
        <v>0</v>
      </c>
      <c r="H358" s="655">
        <v>84127</v>
      </c>
      <c r="I358" s="655">
        <v>783427</v>
      </c>
      <c r="J358" s="655">
        <v>744332</v>
      </c>
      <c r="K358" s="655">
        <v>78848</v>
      </c>
      <c r="L358" s="655">
        <v>93887</v>
      </c>
      <c r="M358" s="655">
        <v>0</v>
      </c>
      <c r="N358" s="655">
        <v>435697</v>
      </c>
      <c r="O358" s="655">
        <v>0</v>
      </c>
      <c r="P358" s="655">
        <v>77238</v>
      </c>
      <c r="Q358" s="655">
        <v>84752</v>
      </c>
      <c r="R358" s="655">
        <v>0</v>
      </c>
      <c r="S358" s="655">
        <v>35214</v>
      </c>
      <c r="T358" s="655">
        <v>4506</v>
      </c>
      <c r="U358" s="655">
        <v>60949</v>
      </c>
      <c r="V358" s="655">
        <v>0</v>
      </c>
      <c r="W358" s="655">
        <v>363587</v>
      </c>
      <c r="X358" s="655">
        <v>157461</v>
      </c>
      <c r="Y358" s="655">
        <v>0</v>
      </c>
      <c r="Z358" s="655">
        <v>0</v>
      </c>
      <c r="AA358" s="655">
        <v>0</v>
      </c>
      <c r="AB358" s="655">
        <v>0</v>
      </c>
      <c r="AC358" s="655">
        <v>-5941</v>
      </c>
      <c r="AD358" s="655">
        <v>53719</v>
      </c>
      <c r="AE358" s="655">
        <v>12376214</v>
      </c>
      <c r="AF358" s="655">
        <v>345837</v>
      </c>
      <c r="AG358" s="655">
        <v>515639</v>
      </c>
      <c r="AH358" s="655">
        <v>0</v>
      </c>
      <c r="AI358" s="655">
        <v>1837584</v>
      </c>
      <c r="AJ358" s="655">
        <v>1090429</v>
      </c>
      <c r="AK358" s="655">
        <v>16165703</v>
      </c>
      <c r="AL358" s="655">
        <v>14433950</v>
      </c>
      <c r="AM358" s="655">
        <v>1731753</v>
      </c>
    </row>
    <row r="359" spans="1:39" x14ac:dyDescent="0.2">
      <c r="A359" s="648">
        <v>2014</v>
      </c>
      <c r="B359" s="648">
        <v>12</v>
      </c>
      <c r="C359" s="657" t="s">
        <v>99</v>
      </c>
      <c r="D359" s="648">
        <v>504</v>
      </c>
      <c r="E359" s="648" t="s">
        <v>1025</v>
      </c>
      <c r="F359" s="655">
        <v>3962735</v>
      </c>
      <c r="G359" s="655">
        <v>0</v>
      </c>
      <c r="H359" s="655">
        <v>94484</v>
      </c>
      <c r="I359" s="655">
        <v>489741</v>
      </c>
      <c r="J359" s="655">
        <v>369568</v>
      </c>
      <c r="K359" s="655">
        <v>41744</v>
      </c>
      <c r="L359" s="655">
        <v>41777</v>
      </c>
      <c r="M359" s="655">
        <v>0</v>
      </c>
      <c r="N359" s="655">
        <v>200554</v>
      </c>
      <c r="O359" s="655">
        <v>0</v>
      </c>
      <c r="P359" s="655">
        <v>32841</v>
      </c>
      <c r="Q359" s="655">
        <v>36903</v>
      </c>
      <c r="R359" s="655">
        <v>0</v>
      </c>
      <c r="S359" s="655">
        <v>20120</v>
      </c>
      <c r="T359" s="655">
        <v>2408</v>
      </c>
      <c r="U359" s="655">
        <v>93852</v>
      </c>
      <c r="V359" s="655">
        <v>0</v>
      </c>
      <c r="W359" s="655">
        <v>16383</v>
      </c>
      <c r="X359" s="655">
        <v>0</v>
      </c>
      <c r="Y359" s="655">
        <v>0</v>
      </c>
      <c r="Z359" s="655">
        <v>0</v>
      </c>
      <c r="AA359" s="655">
        <v>0</v>
      </c>
      <c r="AB359" s="655">
        <v>0</v>
      </c>
      <c r="AC359" s="655">
        <v>0</v>
      </c>
      <c r="AD359" s="655">
        <v>37891</v>
      </c>
      <c r="AE359" s="655">
        <v>5365219</v>
      </c>
      <c r="AF359" s="655">
        <v>125481</v>
      </c>
      <c r="AG359" s="655">
        <v>314047</v>
      </c>
      <c r="AH359" s="655">
        <v>0</v>
      </c>
      <c r="AI359" s="655">
        <v>1444409</v>
      </c>
      <c r="AJ359" s="655">
        <v>1356947</v>
      </c>
      <c r="AK359" s="655">
        <v>8606103</v>
      </c>
      <c r="AL359" s="655">
        <v>7525912</v>
      </c>
      <c r="AM359" s="655">
        <v>1080191</v>
      </c>
    </row>
    <row r="360" spans="1:39" x14ac:dyDescent="0.2">
      <c r="A360" s="648">
        <v>2014</v>
      </c>
      <c r="B360" s="648">
        <v>11</v>
      </c>
      <c r="C360" s="657" t="s">
        <v>100</v>
      </c>
      <c r="D360" s="648">
        <v>513</v>
      </c>
      <c r="E360" s="648" t="s">
        <v>1026</v>
      </c>
      <c r="F360" s="655">
        <v>2162549</v>
      </c>
      <c r="G360" s="655">
        <v>170334</v>
      </c>
      <c r="H360" s="655">
        <v>34614</v>
      </c>
      <c r="I360" s="655">
        <v>229966</v>
      </c>
      <c r="J360" s="655">
        <v>214024</v>
      </c>
      <c r="K360" s="655">
        <v>21123</v>
      </c>
      <c r="L360" s="655">
        <v>22601</v>
      </c>
      <c r="M360" s="655">
        <v>0</v>
      </c>
      <c r="N360" s="655">
        <v>102044</v>
      </c>
      <c r="O360" s="655">
        <v>8504</v>
      </c>
      <c r="P360" s="655">
        <v>17686</v>
      </c>
      <c r="Q360" s="655">
        <v>19406</v>
      </c>
      <c r="R360" s="655">
        <v>0</v>
      </c>
      <c r="S360" s="655">
        <v>8738</v>
      </c>
      <c r="T360" s="655">
        <v>1122</v>
      </c>
      <c r="U360" s="655">
        <v>78446</v>
      </c>
      <c r="V360" s="655">
        <v>0</v>
      </c>
      <c r="W360" s="655">
        <v>37338</v>
      </c>
      <c r="X360" s="655">
        <v>0</v>
      </c>
      <c r="Y360" s="655">
        <v>5927</v>
      </c>
      <c r="Z360" s="655">
        <v>0</v>
      </c>
      <c r="AA360" s="655">
        <v>0</v>
      </c>
      <c r="AB360" s="655">
        <v>0</v>
      </c>
      <c r="AC360" s="655">
        <v>-180</v>
      </c>
      <c r="AD360" s="655">
        <v>14723</v>
      </c>
      <c r="AE360" s="655">
        <v>3107665</v>
      </c>
      <c r="AF360" s="655">
        <v>67331</v>
      </c>
      <c r="AG360" s="655">
        <v>157819</v>
      </c>
      <c r="AH360" s="655">
        <v>0</v>
      </c>
      <c r="AI360" s="655">
        <v>830777</v>
      </c>
      <c r="AJ360" s="655">
        <v>1244628</v>
      </c>
      <c r="AK360" s="655">
        <v>5408220</v>
      </c>
      <c r="AL360" s="655">
        <v>4005247</v>
      </c>
      <c r="AM360" s="655">
        <v>1402973</v>
      </c>
    </row>
    <row r="361" spans="1:39" x14ac:dyDescent="0.2">
      <c r="A361" s="648">
        <v>2014</v>
      </c>
      <c r="B361" s="648">
        <v>7</v>
      </c>
      <c r="C361" s="657" t="s">
        <v>101</v>
      </c>
      <c r="D361" s="648">
        <v>540</v>
      </c>
      <c r="E361" s="648" t="s">
        <v>1027</v>
      </c>
      <c r="F361" s="655">
        <v>3613905</v>
      </c>
      <c r="G361" s="655">
        <v>33702</v>
      </c>
      <c r="H361" s="655">
        <v>85259</v>
      </c>
      <c r="I361" s="655">
        <v>447040</v>
      </c>
      <c r="J361" s="655">
        <v>312613</v>
      </c>
      <c r="K361" s="655">
        <v>34630</v>
      </c>
      <c r="L361" s="655">
        <v>32544</v>
      </c>
      <c r="M361" s="655">
        <v>0</v>
      </c>
      <c r="N361" s="655">
        <v>178395</v>
      </c>
      <c r="O361" s="655">
        <v>2080</v>
      </c>
      <c r="P361" s="655">
        <v>29377</v>
      </c>
      <c r="Q361" s="655">
        <v>32835</v>
      </c>
      <c r="R361" s="655">
        <v>0</v>
      </c>
      <c r="S361" s="655">
        <v>23311</v>
      </c>
      <c r="T361" s="655">
        <v>2675</v>
      </c>
      <c r="U361" s="655">
        <v>137310</v>
      </c>
      <c r="V361" s="655">
        <v>0</v>
      </c>
      <c r="W361" s="655">
        <v>54173</v>
      </c>
      <c r="X361" s="655">
        <v>36095</v>
      </c>
      <c r="Y361" s="655">
        <v>0</v>
      </c>
      <c r="Z361" s="655">
        <v>0</v>
      </c>
      <c r="AA361" s="655">
        <v>0</v>
      </c>
      <c r="AB361" s="655">
        <v>0</v>
      </c>
      <c r="AC361" s="655">
        <v>-304</v>
      </c>
      <c r="AD361" s="655">
        <v>29783</v>
      </c>
      <c r="AE361" s="655">
        <v>5025857</v>
      </c>
      <c r="AF361" s="655">
        <v>73452</v>
      </c>
      <c r="AG361" s="655">
        <v>295347</v>
      </c>
      <c r="AH361" s="655">
        <v>0</v>
      </c>
      <c r="AI361" s="655">
        <v>918688</v>
      </c>
      <c r="AJ361" s="655">
        <v>1729668</v>
      </c>
      <c r="AK361" s="655">
        <v>8043012</v>
      </c>
      <c r="AL361" s="655">
        <v>6281766</v>
      </c>
      <c r="AM361" s="655">
        <v>1761246</v>
      </c>
    </row>
    <row r="362" spans="1:39" x14ac:dyDescent="0.2">
      <c r="A362" s="648">
        <v>2014</v>
      </c>
      <c r="B362" s="648">
        <v>13</v>
      </c>
      <c r="C362" s="657" t="s">
        <v>102</v>
      </c>
      <c r="D362" s="648">
        <v>549</v>
      </c>
      <c r="E362" s="648" t="s">
        <v>1028</v>
      </c>
      <c r="F362" s="655">
        <v>3037852</v>
      </c>
      <c r="G362" s="655">
        <v>94478</v>
      </c>
      <c r="H362" s="655">
        <v>26100</v>
      </c>
      <c r="I362" s="655">
        <v>334574</v>
      </c>
      <c r="J362" s="655">
        <v>288891</v>
      </c>
      <c r="K362" s="655">
        <v>30362</v>
      </c>
      <c r="L362" s="655">
        <v>33411</v>
      </c>
      <c r="M362" s="655">
        <v>0</v>
      </c>
      <c r="N362" s="655">
        <v>148280</v>
      </c>
      <c r="O362" s="655">
        <v>11104</v>
      </c>
      <c r="P362" s="655">
        <v>24945</v>
      </c>
      <c r="Q362" s="655">
        <v>27589</v>
      </c>
      <c r="R362" s="655">
        <v>0</v>
      </c>
      <c r="S362" s="655">
        <v>15829</v>
      </c>
      <c r="T362" s="655">
        <v>1670</v>
      </c>
      <c r="U362" s="655">
        <v>122110</v>
      </c>
      <c r="V362" s="655">
        <v>0</v>
      </c>
      <c r="W362" s="655">
        <v>42007</v>
      </c>
      <c r="X362" s="655">
        <v>106686</v>
      </c>
      <c r="Y362" s="655">
        <v>0</v>
      </c>
      <c r="Z362" s="655">
        <v>0</v>
      </c>
      <c r="AA362" s="655">
        <v>0</v>
      </c>
      <c r="AB362" s="655">
        <v>0</v>
      </c>
      <c r="AC362" s="655">
        <v>0</v>
      </c>
      <c r="AD362" s="655">
        <v>29703</v>
      </c>
      <c r="AE362" s="655">
        <v>4316185</v>
      </c>
      <c r="AF362" s="655">
        <v>88755</v>
      </c>
      <c r="AG362" s="655">
        <v>239874</v>
      </c>
      <c r="AH362" s="655">
        <v>0</v>
      </c>
      <c r="AI362" s="655">
        <v>628505</v>
      </c>
      <c r="AJ362" s="655">
        <v>1585283</v>
      </c>
      <c r="AK362" s="655">
        <v>6858602</v>
      </c>
      <c r="AL362" s="655">
        <v>5401751</v>
      </c>
      <c r="AM362" s="655">
        <v>1456851</v>
      </c>
    </row>
    <row r="363" spans="1:39" x14ac:dyDescent="0.2">
      <c r="A363" s="648">
        <v>2014</v>
      </c>
      <c r="B363" s="648">
        <v>10</v>
      </c>
      <c r="C363" s="657" t="s">
        <v>103</v>
      </c>
      <c r="D363" s="648">
        <v>576</v>
      </c>
      <c r="E363" s="648" t="s">
        <v>1029</v>
      </c>
      <c r="F363" s="655">
        <v>3531063</v>
      </c>
      <c r="G363" s="655">
        <v>45497</v>
      </c>
      <c r="H363" s="655">
        <v>32579</v>
      </c>
      <c r="I363" s="655">
        <v>350656</v>
      </c>
      <c r="J363" s="655">
        <v>299691</v>
      </c>
      <c r="K363" s="655">
        <v>29263</v>
      </c>
      <c r="L363" s="655">
        <v>29407</v>
      </c>
      <c r="M363" s="655">
        <v>0</v>
      </c>
      <c r="N363" s="655">
        <v>169953</v>
      </c>
      <c r="O363" s="655">
        <v>4375</v>
      </c>
      <c r="P363" s="655">
        <v>28946</v>
      </c>
      <c r="Q363" s="655">
        <v>31790</v>
      </c>
      <c r="R363" s="655">
        <v>0</v>
      </c>
      <c r="S363" s="655">
        <v>15936</v>
      </c>
      <c r="T363" s="655">
        <v>1854</v>
      </c>
      <c r="U363" s="655">
        <v>54682</v>
      </c>
      <c r="V363" s="655">
        <v>0</v>
      </c>
      <c r="W363" s="655">
        <v>25804</v>
      </c>
      <c r="X363" s="655">
        <v>9718</v>
      </c>
      <c r="Y363" s="655">
        <v>0</v>
      </c>
      <c r="Z363" s="655">
        <v>0</v>
      </c>
      <c r="AA363" s="655">
        <v>0</v>
      </c>
      <c r="AB363" s="655">
        <v>0</v>
      </c>
      <c r="AC363" s="655">
        <v>-5405</v>
      </c>
      <c r="AD363" s="655">
        <v>34138</v>
      </c>
      <c r="AE363" s="655">
        <v>4621671</v>
      </c>
      <c r="AF363" s="655">
        <v>79573</v>
      </c>
      <c r="AG363" s="655">
        <v>249858</v>
      </c>
      <c r="AH363" s="655">
        <v>0</v>
      </c>
      <c r="AI363" s="655">
        <v>607046</v>
      </c>
      <c r="AJ363" s="655">
        <v>2456818</v>
      </c>
      <c r="AK363" s="655">
        <v>8014966</v>
      </c>
      <c r="AL363" s="655">
        <v>5693785</v>
      </c>
      <c r="AM363" s="655">
        <v>2321181</v>
      </c>
    </row>
    <row r="364" spans="1:39" x14ac:dyDescent="0.2">
      <c r="A364" s="648">
        <v>2014</v>
      </c>
      <c r="B364" s="648">
        <v>9</v>
      </c>
      <c r="C364" s="657" t="s">
        <v>104</v>
      </c>
      <c r="D364" s="648">
        <v>585</v>
      </c>
      <c r="E364" s="648" t="s">
        <v>1030</v>
      </c>
      <c r="F364" s="655">
        <v>3512811</v>
      </c>
      <c r="G364" s="655">
        <v>0</v>
      </c>
      <c r="H364" s="655">
        <v>48954</v>
      </c>
      <c r="I364" s="655">
        <v>400705</v>
      </c>
      <c r="J364" s="655">
        <v>312218</v>
      </c>
      <c r="K364" s="655">
        <v>34309</v>
      </c>
      <c r="L364" s="655">
        <v>31034</v>
      </c>
      <c r="M364" s="655">
        <v>0</v>
      </c>
      <c r="N364" s="655">
        <v>171091</v>
      </c>
      <c r="O364" s="655">
        <v>9032</v>
      </c>
      <c r="P364" s="655">
        <v>36677</v>
      </c>
      <c r="Q364" s="655">
        <v>39984</v>
      </c>
      <c r="R364" s="655">
        <v>0</v>
      </c>
      <c r="S364" s="655">
        <v>15279</v>
      </c>
      <c r="T364" s="655">
        <v>1793</v>
      </c>
      <c r="U364" s="655">
        <v>127449</v>
      </c>
      <c r="V364" s="655">
        <v>0</v>
      </c>
      <c r="W364" s="655">
        <v>68576</v>
      </c>
      <c r="X364" s="655">
        <v>0</v>
      </c>
      <c r="Y364" s="655">
        <v>0</v>
      </c>
      <c r="Z364" s="655">
        <v>0</v>
      </c>
      <c r="AA364" s="655">
        <v>0</v>
      </c>
      <c r="AB364" s="655">
        <v>0</v>
      </c>
      <c r="AC364" s="655">
        <v>0</v>
      </c>
      <c r="AD364" s="655">
        <v>33230</v>
      </c>
      <c r="AE364" s="655">
        <v>4776682</v>
      </c>
      <c r="AF364" s="655">
        <v>146904</v>
      </c>
      <c r="AG364" s="655">
        <v>282395</v>
      </c>
      <c r="AH364" s="655">
        <v>0</v>
      </c>
      <c r="AI364" s="655">
        <v>1151624</v>
      </c>
      <c r="AJ364" s="655">
        <v>2058733</v>
      </c>
      <c r="AK364" s="655">
        <v>8416338</v>
      </c>
      <c r="AL364" s="655">
        <v>6603294</v>
      </c>
      <c r="AM364" s="655">
        <v>1813044</v>
      </c>
    </row>
    <row r="365" spans="1:39" x14ac:dyDescent="0.2">
      <c r="A365" s="648">
        <v>2014</v>
      </c>
      <c r="B365" s="648">
        <v>7</v>
      </c>
      <c r="C365" s="657" t="s">
        <v>105</v>
      </c>
      <c r="D365" s="648">
        <v>594</v>
      </c>
      <c r="E365" s="648" t="s">
        <v>1031</v>
      </c>
      <c r="F365" s="655">
        <v>4689453</v>
      </c>
      <c r="G365" s="655">
        <v>0</v>
      </c>
      <c r="H365" s="655">
        <v>120333</v>
      </c>
      <c r="I365" s="655">
        <v>660383</v>
      </c>
      <c r="J365" s="655">
        <v>398695</v>
      </c>
      <c r="K365" s="655">
        <v>42210</v>
      </c>
      <c r="L365" s="655">
        <v>49735</v>
      </c>
      <c r="M365" s="655">
        <v>0</v>
      </c>
      <c r="N365" s="655">
        <v>237931</v>
      </c>
      <c r="O365" s="655">
        <v>0</v>
      </c>
      <c r="P365" s="655">
        <v>38599</v>
      </c>
      <c r="Q365" s="655">
        <v>43141</v>
      </c>
      <c r="R365" s="655">
        <v>0</v>
      </c>
      <c r="S365" s="655">
        <v>30609</v>
      </c>
      <c r="T365" s="655">
        <v>3511</v>
      </c>
      <c r="U365" s="655">
        <v>104849</v>
      </c>
      <c r="V365" s="655">
        <v>0</v>
      </c>
      <c r="W365" s="655">
        <v>194684</v>
      </c>
      <c r="X365" s="655">
        <v>6659</v>
      </c>
      <c r="Y365" s="655">
        <v>0</v>
      </c>
      <c r="Z365" s="655">
        <v>0</v>
      </c>
      <c r="AA365" s="655">
        <v>0</v>
      </c>
      <c r="AB365" s="655">
        <v>0</v>
      </c>
      <c r="AC365" s="655">
        <v>-15375</v>
      </c>
      <c r="AD365" s="655">
        <v>39506</v>
      </c>
      <c r="AE365" s="655">
        <v>6565911</v>
      </c>
      <c r="AF365" s="655">
        <v>162207</v>
      </c>
      <c r="AG365" s="655">
        <v>367934</v>
      </c>
      <c r="AH365" s="655">
        <v>0</v>
      </c>
      <c r="AI365" s="655">
        <v>890944</v>
      </c>
      <c r="AJ365" s="655">
        <v>1543198</v>
      </c>
      <c r="AK365" s="655">
        <v>9530194</v>
      </c>
      <c r="AL365" s="655">
        <v>8026041</v>
      </c>
      <c r="AM365" s="655">
        <v>1504153</v>
      </c>
    </row>
    <row r="366" spans="1:39" x14ac:dyDescent="0.2">
      <c r="A366" s="648">
        <v>2014</v>
      </c>
      <c r="B366" s="648">
        <v>9</v>
      </c>
      <c r="C366" s="657" t="s">
        <v>106</v>
      </c>
      <c r="D366" s="648">
        <v>603</v>
      </c>
      <c r="E366" s="648" t="s">
        <v>1032</v>
      </c>
      <c r="F366" s="655">
        <v>1225392</v>
      </c>
      <c r="G366" s="655">
        <v>0</v>
      </c>
      <c r="H366" s="655">
        <v>20394</v>
      </c>
      <c r="I366" s="655">
        <v>165741</v>
      </c>
      <c r="J366" s="655">
        <v>96265</v>
      </c>
      <c r="K366" s="655">
        <v>6603</v>
      </c>
      <c r="L366" s="655">
        <v>11682</v>
      </c>
      <c r="M366" s="655">
        <v>0</v>
      </c>
      <c r="N366" s="655">
        <v>60098</v>
      </c>
      <c r="O366" s="655">
        <v>561</v>
      </c>
      <c r="P366" s="655">
        <v>9880</v>
      </c>
      <c r="Q366" s="655">
        <v>10771</v>
      </c>
      <c r="R366" s="655">
        <v>0</v>
      </c>
      <c r="S366" s="655">
        <v>5367</v>
      </c>
      <c r="T366" s="655">
        <v>630</v>
      </c>
      <c r="U366" s="655">
        <v>0</v>
      </c>
      <c r="V366" s="655">
        <v>0</v>
      </c>
      <c r="W366" s="655">
        <v>49808</v>
      </c>
      <c r="X366" s="655">
        <v>0</v>
      </c>
      <c r="Y366" s="655">
        <v>68709</v>
      </c>
      <c r="Z366" s="655">
        <v>0</v>
      </c>
      <c r="AA366" s="655">
        <v>0</v>
      </c>
      <c r="AB366" s="655">
        <v>0</v>
      </c>
      <c r="AC366" s="655">
        <v>0</v>
      </c>
      <c r="AD366" s="655">
        <v>11567</v>
      </c>
      <c r="AE366" s="655">
        <v>1582916</v>
      </c>
      <c r="AF366" s="655">
        <v>30605</v>
      </c>
      <c r="AG366" s="655">
        <v>102553</v>
      </c>
      <c r="AH366" s="655">
        <v>0</v>
      </c>
      <c r="AI366" s="655">
        <v>329580</v>
      </c>
      <c r="AJ366" s="655">
        <v>209883</v>
      </c>
      <c r="AK366" s="655">
        <v>2255537</v>
      </c>
      <c r="AL366" s="655">
        <v>2086765</v>
      </c>
      <c r="AM366" s="655">
        <v>168772</v>
      </c>
    </row>
    <row r="367" spans="1:39" x14ac:dyDescent="0.2">
      <c r="A367" s="648">
        <v>2014</v>
      </c>
      <c r="B367" s="648">
        <v>10</v>
      </c>
      <c r="C367" s="657" t="s">
        <v>107</v>
      </c>
      <c r="D367" s="648">
        <v>609</v>
      </c>
      <c r="E367" s="648" t="s">
        <v>1033</v>
      </c>
      <c r="F367" s="655">
        <v>9233224</v>
      </c>
      <c r="G367" s="655">
        <v>150981</v>
      </c>
      <c r="H367" s="655">
        <v>137787</v>
      </c>
      <c r="I367" s="655">
        <v>1061579</v>
      </c>
      <c r="J367" s="655">
        <v>780110</v>
      </c>
      <c r="K367" s="655">
        <v>85484</v>
      </c>
      <c r="L367" s="655">
        <v>78301</v>
      </c>
      <c r="M367" s="655">
        <v>0</v>
      </c>
      <c r="N367" s="655">
        <v>446291</v>
      </c>
      <c r="O367" s="655">
        <v>21468</v>
      </c>
      <c r="P367" s="655">
        <v>82332</v>
      </c>
      <c r="Q367" s="655">
        <v>90420</v>
      </c>
      <c r="R367" s="655">
        <v>0</v>
      </c>
      <c r="S367" s="655">
        <v>41754</v>
      </c>
      <c r="T367" s="655">
        <v>4857</v>
      </c>
      <c r="U367" s="655">
        <v>85333</v>
      </c>
      <c r="V367" s="655">
        <v>0</v>
      </c>
      <c r="W367" s="655">
        <v>156655</v>
      </c>
      <c r="X367" s="655">
        <v>544685</v>
      </c>
      <c r="Y367" s="655">
        <v>0</v>
      </c>
      <c r="Z367" s="655">
        <v>0</v>
      </c>
      <c r="AA367" s="655">
        <v>0</v>
      </c>
      <c r="AB367" s="655">
        <v>0</v>
      </c>
      <c r="AC367" s="655">
        <v>0</v>
      </c>
      <c r="AD367" s="655">
        <v>79586</v>
      </c>
      <c r="AE367" s="655">
        <v>12921675</v>
      </c>
      <c r="AF367" s="655">
        <v>312171</v>
      </c>
      <c r="AG367" s="655">
        <v>742385</v>
      </c>
      <c r="AH367" s="655">
        <v>0</v>
      </c>
      <c r="AI367" s="655">
        <v>1242808</v>
      </c>
      <c r="AJ367" s="655">
        <v>4047545</v>
      </c>
      <c r="AK367" s="655">
        <v>19266584</v>
      </c>
      <c r="AL367" s="655">
        <v>15771371</v>
      </c>
      <c r="AM367" s="655">
        <v>3495213</v>
      </c>
    </row>
    <row r="368" spans="1:39" x14ac:dyDescent="0.2">
      <c r="A368" s="648">
        <v>2014</v>
      </c>
      <c r="B368" s="648">
        <v>9</v>
      </c>
      <c r="C368" s="657" t="s">
        <v>108</v>
      </c>
      <c r="D368" s="648">
        <v>621</v>
      </c>
      <c r="E368" s="648" t="s">
        <v>1034</v>
      </c>
      <c r="F368" s="655">
        <v>25063731</v>
      </c>
      <c r="G368" s="655">
        <v>106343</v>
      </c>
      <c r="H368" s="655">
        <v>413132</v>
      </c>
      <c r="I368" s="655">
        <v>2661310</v>
      </c>
      <c r="J368" s="655">
        <v>2070600</v>
      </c>
      <c r="K368" s="655">
        <v>237246</v>
      </c>
      <c r="L368" s="655">
        <v>236194</v>
      </c>
      <c r="M368" s="655">
        <v>0</v>
      </c>
      <c r="N368" s="655">
        <v>1208758</v>
      </c>
      <c r="O368" s="655">
        <v>2794</v>
      </c>
      <c r="P368" s="655">
        <v>219560</v>
      </c>
      <c r="Q368" s="655">
        <v>239360</v>
      </c>
      <c r="R368" s="655">
        <v>0</v>
      </c>
      <c r="S368" s="655">
        <v>107946</v>
      </c>
      <c r="T368" s="655">
        <v>12673</v>
      </c>
      <c r="U368" s="655">
        <v>851679</v>
      </c>
      <c r="V368" s="655">
        <v>0</v>
      </c>
      <c r="W368" s="655">
        <v>398192</v>
      </c>
      <c r="X368" s="655">
        <v>694447</v>
      </c>
      <c r="Y368" s="655">
        <v>0</v>
      </c>
      <c r="Z368" s="655">
        <v>0</v>
      </c>
      <c r="AA368" s="655">
        <v>0</v>
      </c>
      <c r="AB368" s="655">
        <v>0</v>
      </c>
      <c r="AC368" s="655">
        <v>1337</v>
      </c>
      <c r="AD368" s="655">
        <v>185946</v>
      </c>
      <c r="AE368" s="655">
        <v>34339356</v>
      </c>
      <c r="AF368" s="655">
        <v>768245</v>
      </c>
      <c r="AG368" s="655">
        <v>1942374</v>
      </c>
      <c r="AH368" s="655">
        <v>0</v>
      </c>
      <c r="AI368" s="655">
        <v>7476557</v>
      </c>
      <c r="AJ368" s="655">
        <v>12066690</v>
      </c>
      <c r="AK368" s="655">
        <v>56593222</v>
      </c>
      <c r="AL368" s="655">
        <v>44645772</v>
      </c>
      <c r="AM368" s="655">
        <v>11947450</v>
      </c>
    </row>
    <row r="369" spans="1:39" x14ac:dyDescent="0.2">
      <c r="A369" s="648">
        <v>2014</v>
      </c>
      <c r="B369" s="648">
        <v>15</v>
      </c>
      <c r="C369" s="657" t="s">
        <v>112</v>
      </c>
      <c r="D369" s="648">
        <v>657</v>
      </c>
      <c r="E369" s="648" t="s">
        <v>1495</v>
      </c>
      <c r="F369" s="655">
        <v>5423206</v>
      </c>
      <c r="G369" s="655">
        <v>0</v>
      </c>
      <c r="H369" s="655">
        <v>98952</v>
      </c>
      <c r="I369" s="655">
        <v>602245</v>
      </c>
      <c r="J369" s="655">
        <v>479955</v>
      </c>
      <c r="K369" s="655">
        <v>50422</v>
      </c>
      <c r="L369" s="655">
        <v>62162</v>
      </c>
      <c r="M369" s="655">
        <v>0</v>
      </c>
      <c r="N369" s="655">
        <v>262330</v>
      </c>
      <c r="O369" s="655">
        <v>2384</v>
      </c>
      <c r="P369" s="655">
        <v>45004</v>
      </c>
      <c r="Q369" s="655">
        <v>49418</v>
      </c>
      <c r="R369" s="655">
        <v>0</v>
      </c>
      <c r="S369" s="655">
        <v>26234</v>
      </c>
      <c r="T369" s="655">
        <v>2825</v>
      </c>
      <c r="U369" s="655">
        <v>199383</v>
      </c>
      <c r="V369" s="655">
        <v>0</v>
      </c>
      <c r="W369" s="655">
        <v>66011</v>
      </c>
      <c r="X369" s="655">
        <v>167782</v>
      </c>
      <c r="Y369" s="655">
        <v>0</v>
      </c>
      <c r="Z369" s="655">
        <v>0</v>
      </c>
      <c r="AA369" s="655">
        <v>0</v>
      </c>
      <c r="AB369" s="655">
        <v>0</v>
      </c>
      <c r="AC369" s="655">
        <v>0</v>
      </c>
      <c r="AD369" s="655">
        <v>44907</v>
      </c>
      <c r="AE369" s="655">
        <v>7493406</v>
      </c>
      <c r="AF369" s="655">
        <v>168328</v>
      </c>
      <c r="AG369" s="655">
        <v>458966</v>
      </c>
      <c r="AH369" s="655">
        <v>0</v>
      </c>
      <c r="AI369" s="655">
        <v>1512443</v>
      </c>
      <c r="AJ369" s="655">
        <v>1474477</v>
      </c>
      <c r="AK369" s="655">
        <v>11107620</v>
      </c>
      <c r="AL369" s="655">
        <v>9914735</v>
      </c>
      <c r="AM369" s="655">
        <v>1192885</v>
      </c>
    </row>
    <row r="370" spans="1:39" x14ac:dyDescent="0.2">
      <c r="A370" s="648">
        <v>2014</v>
      </c>
      <c r="B370" s="648">
        <v>11</v>
      </c>
      <c r="C370" s="657" t="s">
        <v>109</v>
      </c>
      <c r="D370" s="648">
        <v>720</v>
      </c>
      <c r="E370" s="648" t="s">
        <v>1035</v>
      </c>
      <c r="F370" s="655">
        <v>8977671</v>
      </c>
      <c r="G370" s="655">
        <v>0</v>
      </c>
      <c r="H370" s="655">
        <v>48240</v>
      </c>
      <c r="I370" s="655">
        <v>830803</v>
      </c>
      <c r="J370" s="655">
        <v>731971</v>
      </c>
      <c r="K370" s="655">
        <v>75022</v>
      </c>
      <c r="L370" s="655">
        <v>88618</v>
      </c>
      <c r="M370" s="655">
        <v>0</v>
      </c>
      <c r="N370" s="655">
        <v>418346</v>
      </c>
      <c r="O370" s="655">
        <v>0</v>
      </c>
      <c r="P370" s="655">
        <v>74091</v>
      </c>
      <c r="Q370" s="655">
        <v>81298</v>
      </c>
      <c r="R370" s="655">
        <v>0</v>
      </c>
      <c r="S370" s="655">
        <v>33811</v>
      </c>
      <c r="T370" s="655">
        <v>4327</v>
      </c>
      <c r="U370" s="655">
        <v>46594</v>
      </c>
      <c r="V370" s="655">
        <v>0</v>
      </c>
      <c r="W370" s="655">
        <v>790833</v>
      </c>
      <c r="X370" s="655">
        <v>192975</v>
      </c>
      <c r="Y370" s="655">
        <v>0</v>
      </c>
      <c r="Z370" s="655">
        <v>0</v>
      </c>
      <c r="AA370" s="655">
        <v>0</v>
      </c>
      <c r="AB370" s="655">
        <v>0</v>
      </c>
      <c r="AC370" s="655">
        <v>0</v>
      </c>
      <c r="AD370" s="655">
        <v>39354</v>
      </c>
      <c r="AE370" s="655">
        <v>12355246</v>
      </c>
      <c r="AF370" s="655">
        <v>134662</v>
      </c>
      <c r="AG370" s="655">
        <v>511009</v>
      </c>
      <c r="AH370" s="655">
        <v>0</v>
      </c>
      <c r="AI370" s="655">
        <v>1834901</v>
      </c>
      <c r="AJ370" s="655">
        <v>5979146</v>
      </c>
      <c r="AK370" s="655">
        <v>20814964</v>
      </c>
      <c r="AL370" s="655">
        <v>15360569</v>
      </c>
      <c r="AM370" s="655">
        <v>5454395</v>
      </c>
    </row>
    <row r="371" spans="1:39" x14ac:dyDescent="0.2">
      <c r="A371" s="648">
        <v>2014</v>
      </c>
      <c r="B371" s="648">
        <v>11</v>
      </c>
      <c r="C371" s="657" t="s">
        <v>110</v>
      </c>
      <c r="D371" s="648">
        <v>729</v>
      </c>
      <c r="E371" s="648" t="s">
        <v>1036</v>
      </c>
      <c r="F371" s="655">
        <v>13369488</v>
      </c>
      <c r="G371" s="655">
        <v>0</v>
      </c>
      <c r="H371" s="655">
        <v>161656</v>
      </c>
      <c r="I371" s="655">
        <v>2007872</v>
      </c>
      <c r="J371" s="655">
        <v>1172173</v>
      </c>
      <c r="K371" s="655">
        <v>147412</v>
      </c>
      <c r="L371" s="655">
        <v>133040</v>
      </c>
      <c r="M371" s="655">
        <v>0</v>
      </c>
      <c r="N371" s="655">
        <v>655868</v>
      </c>
      <c r="O371" s="655">
        <v>0</v>
      </c>
      <c r="P371" s="655">
        <v>119954</v>
      </c>
      <c r="Q371" s="655">
        <v>131623</v>
      </c>
      <c r="R371" s="655">
        <v>0</v>
      </c>
      <c r="S371" s="655">
        <v>53008</v>
      </c>
      <c r="T371" s="655">
        <v>6783</v>
      </c>
      <c r="U371" s="655">
        <v>655369</v>
      </c>
      <c r="V371" s="655">
        <v>148032</v>
      </c>
      <c r="W371" s="655">
        <v>164427</v>
      </c>
      <c r="X371" s="655">
        <v>316348</v>
      </c>
      <c r="Y371" s="655">
        <v>0</v>
      </c>
      <c r="Z371" s="655">
        <v>0</v>
      </c>
      <c r="AA371" s="655">
        <v>0</v>
      </c>
      <c r="AB371" s="655">
        <v>0</v>
      </c>
      <c r="AC371" s="655">
        <v>4681</v>
      </c>
      <c r="AD371" s="655">
        <v>105619</v>
      </c>
      <c r="AE371" s="655">
        <v>19142115</v>
      </c>
      <c r="AF371" s="655">
        <v>358079</v>
      </c>
      <c r="AG371" s="655">
        <v>871022</v>
      </c>
      <c r="AH371" s="655">
        <v>0</v>
      </c>
      <c r="AI371" s="655">
        <v>2465904</v>
      </c>
      <c r="AJ371" s="655">
        <v>3392677</v>
      </c>
      <c r="AK371" s="655">
        <v>26229797</v>
      </c>
      <c r="AL371" s="655">
        <v>22914948</v>
      </c>
      <c r="AM371" s="655">
        <v>3314849</v>
      </c>
    </row>
    <row r="372" spans="1:39" x14ac:dyDescent="0.2">
      <c r="A372" s="648">
        <v>2014</v>
      </c>
      <c r="B372" s="648">
        <v>12</v>
      </c>
      <c r="C372" s="657" t="s">
        <v>111</v>
      </c>
      <c r="D372" s="648">
        <v>747</v>
      </c>
      <c r="E372" s="648" t="s">
        <v>1037</v>
      </c>
      <c r="F372" s="655">
        <v>3849497</v>
      </c>
      <c r="G372" s="655">
        <v>0</v>
      </c>
      <c r="H372" s="655">
        <v>84519</v>
      </c>
      <c r="I372" s="655">
        <v>396212</v>
      </c>
      <c r="J372" s="655">
        <v>328141</v>
      </c>
      <c r="K372" s="655">
        <v>35866</v>
      </c>
      <c r="L372" s="655">
        <v>44205</v>
      </c>
      <c r="M372" s="655">
        <v>0</v>
      </c>
      <c r="N372" s="655">
        <v>191241</v>
      </c>
      <c r="O372" s="655">
        <v>0</v>
      </c>
      <c r="P372" s="655">
        <v>46391</v>
      </c>
      <c r="Q372" s="655">
        <v>52129</v>
      </c>
      <c r="R372" s="655">
        <v>0</v>
      </c>
      <c r="S372" s="655">
        <v>19186</v>
      </c>
      <c r="T372" s="655">
        <v>2296</v>
      </c>
      <c r="U372" s="655">
        <v>120305</v>
      </c>
      <c r="V372" s="655">
        <v>0</v>
      </c>
      <c r="W372" s="655">
        <v>36124</v>
      </c>
      <c r="X372" s="655">
        <v>292287</v>
      </c>
      <c r="Y372" s="655">
        <v>0</v>
      </c>
      <c r="Z372" s="655">
        <v>0</v>
      </c>
      <c r="AA372" s="655">
        <v>0</v>
      </c>
      <c r="AB372" s="655">
        <v>0</v>
      </c>
      <c r="AC372" s="655">
        <v>-1320</v>
      </c>
      <c r="AD372" s="655">
        <v>31059</v>
      </c>
      <c r="AE372" s="655">
        <v>5466020</v>
      </c>
      <c r="AF372" s="655">
        <v>0</v>
      </c>
      <c r="AG372" s="655">
        <v>282977</v>
      </c>
      <c r="AH372" s="655">
        <v>0</v>
      </c>
      <c r="AI372" s="655">
        <v>836451</v>
      </c>
      <c r="AJ372" s="655">
        <v>1943485</v>
      </c>
      <c r="AK372" s="655">
        <v>8528933</v>
      </c>
      <c r="AL372" s="655">
        <v>6371410</v>
      </c>
      <c r="AM372" s="655">
        <v>2157523</v>
      </c>
    </row>
    <row r="373" spans="1:39" x14ac:dyDescent="0.2">
      <c r="A373" s="648">
        <v>2014</v>
      </c>
      <c r="B373" s="648">
        <v>7</v>
      </c>
      <c r="C373" s="657" t="s">
        <v>113</v>
      </c>
      <c r="D373" s="648">
        <v>819</v>
      </c>
      <c r="E373" s="648" t="s">
        <v>1038</v>
      </c>
      <c r="F373" s="655">
        <v>3765663</v>
      </c>
      <c r="G373" s="655">
        <v>128059</v>
      </c>
      <c r="H373" s="655">
        <v>109507</v>
      </c>
      <c r="I373" s="655">
        <v>275702</v>
      </c>
      <c r="J373" s="655">
        <v>334578</v>
      </c>
      <c r="K373" s="655">
        <v>33908</v>
      </c>
      <c r="L373" s="655">
        <v>38167</v>
      </c>
      <c r="M373" s="655">
        <v>0</v>
      </c>
      <c r="N373" s="655">
        <v>179357</v>
      </c>
      <c r="O373" s="655">
        <v>6333</v>
      </c>
      <c r="P373" s="655">
        <v>31998</v>
      </c>
      <c r="Q373" s="655">
        <v>35763</v>
      </c>
      <c r="R373" s="655">
        <v>0</v>
      </c>
      <c r="S373" s="655">
        <v>23984</v>
      </c>
      <c r="T373" s="655">
        <v>2752</v>
      </c>
      <c r="U373" s="655">
        <v>184302</v>
      </c>
      <c r="V373" s="655">
        <v>0</v>
      </c>
      <c r="W373" s="655">
        <v>42759</v>
      </c>
      <c r="X373" s="655">
        <v>74714</v>
      </c>
      <c r="Y373" s="655">
        <v>0</v>
      </c>
      <c r="Z373" s="655">
        <v>0</v>
      </c>
      <c r="AA373" s="655">
        <v>0</v>
      </c>
      <c r="AB373" s="655">
        <v>0</v>
      </c>
      <c r="AC373" s="655">
        <v>-11436</v>
      </c>
      <c r="AD373" s="655">
        <v>32056</v>
      </c>
      <c r="AE373" s="655">
        <v>5224054</v>
      </c>
      <c r="AF373" s="655">
        <v>116299</v>
      </c>
      <c r="AG373" s="655">
        <v>322244</v>
      </c>
      <c r="AH373" s="655">
        <v>0</v>
      </c>
      <c r="AI373" s="655">
        <v>750955</v>
      </c>
      <c r="AJ373" s="655">
        <v>2959859</v>
      </c>
      <c r="AK373" s="655">
        <v>9373411</v>
      </c>
      <c r="AL373" s="655">
        <v>6231033</v>
      </c>
      <c r="AM373" s="655">
        <v>3142378</v>
      </c>
    </row>
    <row r="374" spans="1:39" x14ac:dyDescent="0.2">
      <c r="A374" s="648">
        <v>2014</v>
      </c>
      <c r="B374" s="648">
        <v>7</v>
      </c>
      <c r="C374" s="657" t="s">
        <v>114</v>
      </c>
      <c r="D374" s="648">
        <v>846</v>
      </c>
      <c r="E374" s="648" t="s">
        <v>1039</v>
      </c>
      <c r="F374" s="655">
        <v>3174766</v>
      </c>
      <c r="G374" s="655">
        <v>69903</v>
      </c>
      <c r="H374" s="655">
        <v>48505</v>
      </c>
      <c r="I374" s="655">
        <v>421420</v>
      </c>
      <c r="J374" s="655">
        <v>291826</v>
      </c>
      <c r="K374" s="655">
        <v>28980</v>
      </c>
      <c r="L374" s="655">
        <v>30833</v>
      </c>
      <c r="M374" s="655">
        <v>0</v>
      </c>
      <c r="N374" s="655">
        <v>159677</v>
      </c>
      <c r="O374" s="655">
        <v>7287</v>
      </c>
      <c r="P374" s="655">
        <v>26052</v>
      </c>
      <c r="Q374" s="655">
        <v>29117</v>
      </c>
      <c r="R374" s="655">
        <v>0</v>
      </c>
      <c r="S374" s="655">
        <v>21359</v>
      </c>
      <c r="T374" s="655">
        <v>2451</v>
      </c>
      <c r="U374" s="655">
        <v>66393</v>
      </c>
      <c r="V374" s="655">
        <v>0</v>
      </c>
      <c r="W374" s="655">
        <v>103699</v>
      </c>
      <c r="X374" s="655">
        <v>17548</v>
      </c>
      <c r="Y374" s="655">
        <v>0</v>
      </c>
      <c r="Z374" s="655">
        <v>0</v>
      </c>
      <c r="AA374" s="655">
        <v>0</v>
      </c>
      <c r="AB374" s="655">
        <v>0</v>
      </c>
      <c r="AC374" s="655">
        <v>-2647</v>
      </c>
      <c r="AD374" s="655">
        <v>29369</v>
      </c>
      <c r="AE374" s="655">
        <v>4467800</v>
      </c>
      <c r="AF374" s="655">
        <v>100997</v>
      </c>
      <c r="AG374" s="655">
        <v>262332</v>
      </c>
      <c r="AH374" s="655">
        <v>0</v>
      </c>
      <c r="AI374" s="655">
        <v>569934</v>
      </c>
      <c r="AJ374" s="655">
        <v>3507063</v>
      </c>
      <c r="AK374" s="655">
        <v>8908126</v>
      </c>
      <c r="AL374" s="655">
        <v>5639567</v>
      </c>
      <c r="AM374" s="655">
        <v>3268559</v>
      </c>
    </row>
    <row r="375" spans="1:39" x14ac:dyDescent="0.2">
      <c r="A375" s="648">
        <v>2014</v>
      </c>
      <c r="B375" s="648">
        <v>7</v>
      </c>
      <c r="C375" s="657" t="s">
        <v>115</v>
      </c>
      <c r="D375" s="648">
        <v>873</v>
      </c>
      <c r="E375" s="648" t="s">
        <v>1040</v>
      </c>
      <c r="F375" s="655">
        <v>2833404</v>
      </c>
      <c r="G375" s="655">
        <v>107125</v>
      </c>
      <c r="H375" s="655">
        <v>50662</v>
      </c>
      <c r="I375" s="655">
        <v>311251</v>
      </c>
      <c r="J375" s="655">
        <v>264267</v>
      </c>
      <c r="K375" s="655">
        <v>28666</v>
      </c>
      <c r="L375" s="655">
        <v>26670</v>
      </c>
      <c r="M375" s="655">
        <v>0</v>
      </c>
      <c r="N375" s="655">
        <v>137522</v>
      </c>
      <c r="O375" s="655">
        <v>19250</v>
      </c>
      <c r="P375" s="655">
        <v>22978</v>
      </c>
      <c r="Q375" s="655">
        <v>25682</v>
      </c>
      <c r="R375" s="655">
        <v>0</v>
      </c>
      <c r="S375" s="655">
        <v>18466</v>
      </c>
      <c r="T375" s="655">
        <v>2119</v>
      </c>
      <c r="U375" s="655">
        <v>111153</v>
      </c>
      <c r="V375" s="655">
        <v>0</v>
      </c>
      <c r="W375" s="655">
        <v>59907</v>
      </c>
      <c r="X375" s="655">
        <v>160025</v>
      </c>
      <c r="Y375" s="655">
        <v>0</v>
      </c>
      <c r="Z375" s="655">
        <v>0</v>
      </c>
      <c r="AA375" s="655">
        <v>0</v>
      </c>
      <c r="AB375" s="655">
        <v>0</v>
      </c>
      <c r="AC375" s="655">
        <v>0</v>
      </c>
      <c r="AD375" s="655">
        <v>29571</v>
      </c>
      <c r="AE375" s="655">
        <v>4149576</v>
      </c>
      <c r="AF375" s="655">
        <v>85694</v>
      </c>
      <c r="AG375" s="655">
        <v>258531</v>
      </c>
      <c r="AH375" s="655">
        <v>0</v>
      </c>
      <c r="AI375" s="655">
        <v>589951</v>
      </c>
      <c r="AJ375" s="655">
        <v>1486117</v>
      </c>
      <c r="AK375" s="655">
        <v>6569869</v>
      </c>
      <c r="AL375" s="655">
        <v>5112057</v>
      </c>
      <c r="AM375" s="655">
        <v>1457812</v>
      </c>
    </row>
    <row r="376" spans="1:39" x14ac:dyDescent="0.2">
      <c r="A376" s="648">
        <v>2014</v>
      </c>
      <c r="B376" s="648">
        <v>15</v>
      </c>
      <c r="C376" s="657" t="s">
        <v>116</v>
      </c>
      <c r="D376" s="648">
        <v>882</v>
      </c>
      <c r="E376" s="648" t="s">
        <v>1041</v>
      </c>
      <c r="F376" s="655">
        <v>28498764</v>
      </c>
      <c r="G376" s="655">
        <v>0</v>
      </c>
      <c r="H376" s="655">
        <v>289438</v>
      </c>
      <c r="I376" s="655">
        <v>4929609</v>
      </c>
      <c r="J376" s="655">
        <v>2410313</v>
      </c>
      <c r="K376" s="655">
        <v>264129</v>
      </c>
      <c r="L376" s="655">
        <v>333642</v>
      </c>
      <c r="M376" s="655">
        <v>0</v>
      </c>
      <c r="N376" s="655">
        <v>1455371</v>
      </c>
      <c r="O376" s="655">
        <v>0</v>
      </c>
      <c r="P376" s="655">
        <v>249549</v>
      </c>
      <c r="Q376" s="655">
        <v>274025</v>
      </c>
      <c r="R376" s="655">
        <v>0</v>
      </c>
      <c r="S376" s="655">
        <v>145543</v>
      </c>
      <c r="T376" s="655">
        <v>15674</v>
      </c>
      <c r="U376" s="655">
        <v>801971</v>
      </c>
      <c r="V376" s="655">
        <v>0</v>
      </c>
      <c r="W376" s="655">
        <v>0</v>
      </c>
      <c r="X376" s="655">
        <v>660395</v>
      </c>
      <c r="Y376" s="655">
        <v>0</v>
      </c>
      <c r="Z376" s="655">
        <v>0</v>
      </c>
      <c r="AA376" s="655">
        <v>0</v>
      </c>
      <c r="AB376" s="655">
        <v>0</v>
      </c>
      <c r="AC376" s="655">
        <v>0</v>
      </c>
      <c r="AD376" s="655">
        <v>231008</v>
      </c>
      <c r="AE376" s="655">
        <v>40097415</v>
      </c>
      <c r="AF376" s="655">
        <v>584556</v>
      </c>
      <c r="AG376" s="655">
        <v>1710211</v>
      </c>
      <c r="AH376" s="655">
        <v>0</v>
      </c>
      <c r="AI376" s="655">
        <v>4957154</v>
      </c>
      <c r="AJ376" s="655">
        <v>16192490</v>
      </c>
      <c r="AK376" s="655">
        <v>63541826</v>
      </c>
      <c r="AL376" s="655">
        <v>47717992</v>
      </c>
      <c r="AM376" s="655">
        <v>15823834</v>
      </c>
    </row>
    <row r="377" spans="1:39" x14ac:dyDescent="0.2">
      <c r="A377" s="648">
        <v>2014</v>
      </c>
      <c r="B377" s="648">
        <v>13</v>
      </c>
      <c r="C377" s="657" t="s">
        <v>117</v>
      </c>
      <c r="D377" s="648">
        <v>914</v>
      </c>
      <c r="E377" s="648" t="s">
        <v>1478</v>
      </c>
      <c r="F377" s="655">
        <v>2722028</v>
      </c>
      <c r="G377" s="655">
        <v>0</v>
      </c>
      <c r="H377" s="655">
        <v>73885</v>
      </c>
      <c r="I377" s="655">
        <v>246717</v>
      </c>
      <c r="J377" s="655">
        <v>254387</v>
      </c>
      <c r="K377" s="655">
        <v>25341</v>
      </c>
      <c r="L377" s="655">
        <v>25756</v>
      </c>
      <c r="M377" s="655">
        <v>0</v>
      </c>
      <c r="N377" s="655">
        <v>129473</v>
      </c>
      <c r="O377" s="655">
        <v>11857</v>
      </c>
      <c r="P377" s="655">
        <v>22090</v>
      </c>
      <c r="Q377" s="655">
        <v>24431</v>
      </c>
      <c r="R377" s="655">
        <v>0</v>
      </c>
      <c r="S377" s="655">
        <v>13297</v>
      </c>
      <c r="T377" s="655">
        <v>1405</v>
      </c>
      <c r="U377" s="655">
        <v>92083</v>
      </c>
      <c r="V377" s="655">
        <v>0</v>
      </c>
      <c r="W377" s="655">
        <v>43253</v>
      </c>
      <c r="X377" s="655">
        <v>300355</v>
      </c>
      <c r="Y377" s="655">
        <v>0</v>
      </c>
      <c r="Z377" s="655">
        <v>0</v>
      </c>
      <c r="AA377" s="655">
        <v>0</v>
      </c>
      <c r="AB377" s="655">
        <v>0</v>
      </c>
      <c r="AC377" s="655">
        <v>0</v>
      </c>
      <c r="AD377" s="655">
        <v>25872</v>
      </c>
      <c r="AE377" s="655">
        <v>3960486</v>
      </c>
      <c r="AF377" s="655">
        <v>82634</v>
      </c>
      <c r="AG377" s="655">
        <v>234938</v>
      </c>
      <c r="AH377" s="655">
        <v>0</v>
      </c>
      <c r="AI377" s="655">
        <v>2460247</v>
      </c>
      <c r="AJ377" s="655">
        <v>909342</v>
      </c>
      <c r="AK377" s="655">
        <v>7647647</v>
      </c>
      <c r="AL377" s="655">
        <v>6807905</v>
      </c>
      <c r="AM377" s="655">
        <v>839742</v>
      </c>
    </row>
    <row r="378" spans="1:39" x14ac:dyDescent="0.2">
      <c r="A378" s="648">
        <v>2014</v>
      </c>
      <c r="B378" s="648">
        <v>7</v>
      </c>
      <c r="C378" s="657" t="s">
        <v>118</v>
      </c>
      <c r="D378" s="648">
        <v>916</v>
      </c>
      <c r="E378" s="648" t="s">
        <v>1042</v>
      </c>
      <c r="F378" s="655">
        <v>1732541</v>
      </c>
      <c r="G378" s="655">
        <v>0</v>
      </c>
      <c r="H378" s="655">
        <v>129186</v>
      </c>
      <c r="I378" s="655">
        <v>366954</v>
      </c>
      <c r="J378" s="655">
        <v>166193</v>
      </c>
      <c r="K378" s="655">
        <v>18262</v>
      </c>
      <c r="L378" s="655">
        <v>18603</v>
      </c>
      <c r="M378" s="655">
        <v>0</v>
      </c>
      <c r="N378" s="655">
        <v>90925</v>
      </c>
      <c r="O378" s="655">
        <v>0</v>
      </c>
      <c r="P378" s="655">
        <v>14361</v>
      </c>
      <c r="Q378" s="655">
        <v>16051</v>
      </c>
      <c r="R378" s="655">
        <v>0</v>
      </c>
      <c r="S378" s="655">
        <v>11697</v>
      </c>
      <c r="T378" s="655">
        <v>1342</v>
      </c>
      <c r="U378" s="655">
        <v>54750</v>
      </c>
      <c r="V378" s="655">
        <v>0</v>
      </c>
      <c r="W378" s="655">
        <v>59080</v>
      </c>
      <c r="X378" s="655">
        <v>28088</v>
      </c>
      <c r="Y378" s="655">
        <v>0</v>
      </c>
      <c r="Z378" s="655">
        <v>0</v>
      </c>
      <c r="AA378" s="655">
        <v>0</v>
      </c>
      <c r="AB378" s="655">
        <v>0</v>
      </c>
      <c r="AC378" s="655">
        <v>1913</v>
      </c>
      <c r="AD378" s="655">
        <v>14140</v>
      </c>
      <c r="AE378" s="655">
        <v>2695806</v>
      </c>
      <c r="AF378" s="655">
        <v>39787</v>
      </c>
      <c r="AG378" s="655">
        <v>144165</v>
      </c>
      <c r="AH378" s="655">
        <v>0</v>
      </c>
      <c r="AI378" s="655">
        <v>557846</v>
      </c>
      <c r="AJ378" s="655">
        <v>1558463</v>
      </c>
      <c r="AK378" s="655">
        <v>4996067</v>
      </c>
      <c r="AL378" s="655">
        <v>3625823</v>
      </c>
      <c r="AM378" s="655">
        <v>1370244</v>
      </c>
    </row>
    <row r="379" spans="1:39" x14ac:dyDescent="0.2">
      <c r="A379" s="648">
        <v>2014</v>
      </c>
      <c r="B379" s="648">
        <v>9</v>
      </c>
      <c r="C379" s="657" t="s">
        <v>119</v>
      </c>
      <c r="D379" s="648">
        <v>918</v>
      </c>
      <c r="E379" s="648" t="s">
        <v>1043</v>
      </c>
      <c r="F379" s="655">
        <v>2888532</v>
      </c>
      <c r="G379" s="655">
        <v>0</v>
      </c>
      <c r="H379" s="655">
        <v>31011</v>
      </c>
      <c r="I379" s="655">
        <v>342557</v>
      </c>
      <c r="J379" s="655">
        <v>275112</v>
      </c>
      <c r="K379" s="655">
        <v>29984</v>
      </c>
      <c r="L379" s="655">
        <v>31405</v>
      </c>
      <c r="M379" s="655">
        <v>0</v>
      </c>
      <c r="N379" s="655">
        <v>141211</v>
      </c>
      <c r="O379" s="655">
        <v>5654</v>
      </c>
      <c r="P379" s="655">
        <v>23353</v>
      </c>
      <c r="Q379" s="655">
        <v>25459</v>
      </c>
      <c r="R379" s="655">
        <v>0</v>
      </c>
      <c r="S379" s="655">
        <v>12611</v>
      </c>
      <c r="T379" s="655">
        <v>1480</v>
      </c>
      <c r="U379" s="655">
        <v>0</v>
      </c>
      <c r="V379" s="655">
        <v>0</v>
      </c>
      <c r="W379" s="655">
        <v>36006</v>
      </c>
      <c r="X379" s="655">
        <v>143217</v>
      </c>
      <c r="Y379" s="655">
        <v>0</v>
      </c>
      <c r="Z379" s="655">
        <v>0</v>
      </c>
      <c r="AA379" s="655">
        <v>0</v>
      </c>
      <c r="AB379" s="655">
        <v>0</v>
      </c>
      <c r="AC379" s="655">
        <v>-667</v>
      </c>
      <c r="AD379" s="655">
        <v>24342</v>
      </c>
      <c r="AE379" s="655">
        <v>3962583</v>
      </c>
      <c r="AF379" s="655">
        <v>100997</v>
      </c>
      <c r="AG379" s="655">
        <v>221984</v>
      </c>
      <c r="AH379" s="655">
        <v>0</v>
      </c>
      <c r="AI379" s="655">
        <v>775854</v>
      </c>
      <c r="AJ379" s="655">
        <v>2864599</v>
      </c>
      <c r="AK379" s="655">
        <v>7926017</v>
      </c>
      <c r="AL379" s="655">
        <v>5045288</v>
      </c>
      <c r="AM379" s="655">
        <v>2880729</v>
      </c>
    </row>
    <row r="380" spans="1:39" x14ac:dyDescent="0.2">
      <c r="A380" s="648">
        <v>2014</v>
      </c>
      <c r="B380" s="648">
        <v>9</v>
      </c>
      <c r="C380" s="657" t="s">
        <v>120</v>
      </c>
      <c r="D380" s="648">
        <v>936</v>
      </c>
      <c r="E380" s="648" t="s">
        <v>1044</v>
      </c>
      <c r="F380" s="655">
        <v>5472174</v>
      </c>
      <c r="G380" s="655">
        <v>80923</v>
      </c>
      <c r="H380" s="655">
        <v>29705</v>
      </c>
      <c r="I380" s="655">
        <v>678329</v>
      </c>
      <c r="J380" s="655">
        <v>485229</v>
      </c>
      <c r="K380" s="655">
        <v>50382</v>
      </c>
      <c r="L380" s="655">
        <v>60533</v>
      </c>
      <c r="M380" s="655">
        <v>0</v>
      </c>
      <c r="N380" s="655">
        <v>271392</v>
      </c>
      <c r="O380" s="655">
        <v>2292</v>
      </c>
      <c r="P380" s="655">
        <v>45459</v>
      </c>
      <c r="Q380" s="655">
        <v>49558</v>
      </c>
      <c r="R380" s="655">
        <v>0</v>
      </c>
      <c r="S380" s="655">
        <v>24298</v>
      </c>
      <c r="T380" s="655">
        <v>2854</v>
      </c>
      <c r="U380" s="655">
        <v>134122</v>
      </c>
      <c r="V380" s="655">
        <v>0</v>
      </c>
      <c r="W380" s="655">
        <v>30005</v>
      </c>
      <c r="X380" s="655">
        <v>343301</v>
      </c>
      <c r="Y380" s="655">
        <v>0</v>
      </c>
      <c r="Z380" s="655">
        <v>0</v>
      </c>
      <c r="AA380" s="655">
        <v>0</v>
      </c>
      <c r="AB380" s="655">
        <v>0</v>
      </c>
      <c r="AC380" s="655">
        <v>-6001</v>
      </c>
      <c r="AD380" s="655">
        <v>41235</v>
      </c>
      <c r="AE380" s="655">
        <v>7713320</v>
      </c>
      <c r="AF380" s="655">
        <v>180629</v>
      </c>
      <c r="AG380" s="655">
        <v>426867</v>
      </c>
      <c r="AH380" s="655">
        <v>0</v>
      </c>
      <c r="AI380" s="655">
        <v>2199741</v>
      </c>
      <c r="AJ380" s="655">
        <v>1220735</v>
      </c>
      <c r="AK380" s="655">
        <v>11741292</v>
      </c>
      <c r="AL380" s="655">
        <v>10711375</v>
      </c>
      <c r="AM380" s="655">
        <v>1029917</v>
      </c>
    </row>
    <row r="381" spans="1:39" x14ac:dyDescent="0.2">
      <c r="A381" s="648">
        <v>2014</v>
      </c>
      <c r="B381" s="648">
        <v>15</v>
      </c>
      <c r="C381" s="657" t="s">
        <v>121</v>
      </c>
      <c r="D381" s="648">
        <v>977</v>
      </c>
      <c r="E381" s="648" t="s">
        <v>1045</v>
      </c>
      <c r="F381" s="655">
        <v>3613838</v>
      </c>
      <c r="G381" s="655">
        <v>105198</v>
      </c>
      <c r="H381" s="655">
        <v>49494</v>
      </c>
      <c r="I381" s="655">
        <v>444935</v>
      </c>
      <c r="J381" s="655">
        <v>335173</v>
      </c>
      <c r="K381" s="655">
        <v>30459</v>
      </c>
      <c r="L381" s="655">
        <v>41700</v>
      </c>
      <c r="M381" s="655">
        <v>0</v>
      </c>
      <c r="N381" s="655">
        <v>176707</v>
      </c>
      <c r="O381" s="655">
        <v>4911</v>
      </c>
      <c r="P381" s="655">
        <v>29585</v>
      </c>
      <c r="Q381" s="655">
        <v>32487</v>
      </c>
      <c r="R381" s="655">
        <v>0</v>
      </c>
      <c r="S381" s="655">
        <v>18090</v>
      </c>
      <c r="T381" s="655">
        <v>1947</v>
      </c>
      <c r="U381" s="655">
        <v>134634</v>
      </c>
      <c r="V381" s="655">
        <v>0</v>
      </c>
      <c r="W381" s="655">
        <v>85286</v>
      </c>
      <c r="X381" s="655">
        <v>52263</v>
      </c>
      <c r="Y381" s="655">
        <v>0</v>
      </c>
      <c r="Z381" s="655">
        <v>0</v>
      </c>
      <c r="AA381" s="655">
        <v>0</v>
      </c>
      <c r="AB381" s="655">
        <v>0</v>
      </c>
      <c r="AC381" s="655">
        <v>720</v>
      </c>
      <c r="AD381" s="655">
        <v>29808</v>
      </c>
      <c r="AE381" s="655">
        <v>5127619</v>
      </c>
      <c r="AF381" s="655">
        <v>104057</v>
      </c>
      <c r="AG381" s="655">
        <v>251481</v>
      </c>
      <c r="AH381" s="655">
        <v>0</v>
      </c>
      <c r="AI381" s="655">
        <v>1862549</v>
      </c>
      <c r="AJ381" s="655">
        <v>2926548</v>
      </c>
      <c r="AK381" s="655">
        <v>10272254</v>
      </c>
      <c r="AL381" s="655">
        <v>7077356</v>
      </c>
      <c r="AM381" s="655">
        <v>3194898</v>
      </c>
    </row>
    <row r="382" spans="1:39" x14ac:dyDescent="0.2">
      <c r="A382" s="648">
        <v>2014</v>
      </c>
      <c r="B382" s="648">
        <v>11</v>
      </c>
      <c r="C382" s="657" t="s">
        <v>122</v>
      </c>
      <c r="D382" s="648">
        <v>981</v>
      </c>
      <c r="E382" s="648" t="s">
        <v>1046</v>
      </c>
      <c r="F382" s="655">
        <v>10940063</v>
      </c>
      <c r="G382" s="655">
        <v>0</v>
      </c>
      <c r="H382" s="655">
        <v>149530</v>
      </c>
      <c r="I382" s="655">
        <v>1216732</v>
      </c>
      <c r="J382" s="655">
        <v>911702</v>
      </c>
      <c r="K382" s="655">
        <v>92064</v>
      </c>
      <c r="L382" s="655">
        <v>111009</v>
      </c>
      <c r="M382" s="655">
        <v>0</v>
      </c>
      <c r="N382" s="655">
        <v>518506</v>
      </c>
      <c r="O382" s="655">
        <v>0</v>
      </c>
      <c r="P382" s="655">
        <v>90178</v>
      </c>
      <c r="Q382" s="655">
        <v>98950</v>
      </c>
      <c r="R382" s="655">
        <v>0</v>
      </c>
      <c r="S382" s="655">
        <v>41906</v>
      </c>
      <c r="T382" s="655">
        <v>5362</v>
      </c>
      <c r="U382" s="655">
        <v>231445</v>
      </c>
      <c r="V382" s="655">
        <v>0</v>
      </c>
      <c r="W382" s="655">
        <v>353182</v>
      </c>
      <c r="X382" s="655">
        <v>0</v>
      </c>
      <c r="Y382" s="655">
        <v>0</v>
      </c>
      <c r="Z382" s="655">
        <v>0</v>
      </c>
      <c r="AA382" s="655">
        <v>0</v>
      </c>
      <c r="AB382" s="655">
        <v>0</v>
      </c>
      <c r="AC382" s="655">
        <v>118</v>
      </c>
      <c r="AD382" s="655">
        <v>58812</v>
      </c>
      <c r="AE382" s="655">
        <v>14701935</v>
      </c>
      <c r="AF382" s="655">
        <v>394805</v>
      </c>
      <c r="AG382" s="655">
        <v>0</v>
      </c>
      <c r="AH382" s="655">
        <v>0</v>
      </c>
      <c r="AI382" s="655">
        <v>2612468</v>
      </c>
      <c r="AJ382" s="655">
        <v>6468340</v>
      </c>
      <c r="AK382" s="655">
        <v>24177548</v>
      </c>
      <c r="AL382" s="655">
        <v>17048174</v>
      </c>
      <c r="AM382" s="655">
        <v>7129374</v>
      </c>
    </row>
    <row r="383" spans="1:39" x14ac:dyDescent="0.2">
      <c r="A383" s="648">
        <v>2014</v>
      </c>
      <c r="B383" s="648">
        <v>11</v>
      </c>
      <c r="C383" s="657" t="s">
        <v>123</v>
      </c>
      <c r="D383" s="648">
        <v>999</v>
      </c>
      <c r="E383" s="648" t="s">
        <v>1047</v>
      </c>
      <c r="F383" s="655">
        <v>10347551</v>
      </c>
      <c r="G383" s="655">
        <v>72537</v>
      </c>
      <c r="H383" s="655">
        <v>300253</v>
      </c>
      <c r="I383" s="655">
        <v>1140159</v>
      </c>
      <c r="J383" s="655">
        <v>861462</v>
      </c>
      <c r="K383" s="655">
        <v>99266</v>
      </c>
      <c r="L383" s="655">
        <v>99165</v>
      </c>
      <c r="M383" s="655">
        <v>0</v>
      </c>
      <c r="N383" s="655">
        <v>489968</v>
      </c>
      <c r="O383" s="655">
        <v>1214</v>
      </c>
      <c r="P383" s="655">
        <v>126649</v>
      </c>
      <c r="Q383" s="655">
        <v>138969</v>
      </c>
      <c r="R383" s="655">
        <v>0</v>
      </c>
      <c r="S383" s="655">
        <v>39600</v>
      </c>
      <c r="T383" s="655">
        <v>5069</v>
      </c>
      <c r="U383" s="655">
        <v>415298</v>
      </c>
      <c r="V383" s="655">
        <v>0</v>
      </c>
      <c r="W383" s="655">
        <v>49808</v>
      </c>
      <c r="X383" s="655">
        <v>608247</v>
      </c>
      <c r="Y383" s="655">
        <v>0</v>
      </c>
      <c r="Z383" s="655">
        <v>0</v>
      </c>
      <c r="AA383" s="655">
        <v>0</v>
      </c>
      <c r="AB383" s="655">
        <v>0</v>
      </c>
      <c r="AC383" s="655">
        <v>0</v>
      </c>
      <c r="AD383" s="655">
        <v>92884</v>
      </c>
      <c r="AE383" s="655">
        <v>14702331</v>
      </c>
      <c r="AF383" s="655">
        <v>480499</v>
      </c>
      <c r="AG383" s="655">
        <v>0</v>
      </c>
      <c r="AH383" s="655">
        <v>0</v>
      </c>
      <c r="AI383" s="655">
        <v>2403972</v>
      </c>
      <c r="AJ383" s="655">
        <v>3154004</v>
      </c>
      <c r="AK383" s="655">
        <v>20740806</v>
      </c>
      <c r="AL383" s="655">
        <v>17610419</v>
      </c>
      <c r="AM383" s="655">
        <v>3130387</v>
      </c>
    </row>
    <row r="384" spans="1:39" x14ac:dyDescent="0.2">
      <c r="A384" s="648">
        <v>2014</v>
      </c>
      <c r="B384" s="648">
        <v>7</v>
      </c>
      <c r="C384" s="657" t="s">
        <v>124</v>
      </c>
      <c r="D384" s="648">
        <v>1044</v>
      </c>
      <c r="E384" s="648" t="s">
        <v>1048</v>
      </c>
      <c r="F384" s="655">
        <v>29796787</v>
      </c>
      <c r="G384" s="655">
        <v>0</v>
      </c>
      <c r="H384" s="655">
        <v>357875</v>
      </c>
      <c r="I384" s="655">
        <v>3650817</v>
      </c>
      <c r="J384" s="655">
        <v>2510214</v>
      </c>
      <c r="K384" s="655">
        <v>299427</v>
      </c>
      <c r="L384" s="655">
        <v>296217</v>
      </c>
      <c r="M384" s="655">
        <v>0</v>
      </c>
      <c r="N384" s="655">
        <v>1487076</v>
      </c>
      <c r="O384" s="655">
        <v>0</v>
      </c>
      <c r="P384" s="655">
        <v>259760</v>
      </c>
      <c r="Q384" s="655">
        <v>290330</v>
      </c>
      <c r="R384" s="655">
        <v>0</v>
      </c>
      <c r="S384" s="655">
        <v>191309</v>
      </c>
      <c r="T384" s="655">
        <v>21942</v>
      </c>
      <c r="U384" s="655">
        <v>663421</v>
      </c>
      <c r="V384" s="655">
        <v>0</v>
      </c>
      <c r="W384" s="655">
        <v>132022</v>
      </c>
      <c r="X384" s="655">
        <v>0</v>
      </c>
      <c r="Y384" s="655">
        <v>0</v>
      </c>
      <c r="Z384" s="655">
        <v>0</v>
      </c>
      <c r="AA384" s="655">
        <v>0</v>
      </c>
      <c r="AB384" s="655">
        <v>0</v>
      </c>
      <c r="AC384" s="655">
        <v>0</v>
      </c>
      <c r="AD384" s="655">
        <v>198163</v>
      </c>
      <c r="AE384" s="655">
        <v>39759034</v>
      </c>
      <c r="AF384" s="655">
        <v>192812</v>
      </c>
      <c r="AG384" s="655">
        <v>2373016</v>
      </c>
      <c r="AH384" s="655">
        <v>0</v>
      </c>
      <c r="AI384" s="655">
        <v>9965205</v>
      </c>
      <c r="AJ384" s="655">
        <v>8888612</v>
      </c>
      <c r="AK384" s="655">
        <v>61178679</v>
      </c>
      <c r="AL384" s="655">
        <v>51987623</v>
      </c>
      <c r="AM384" s="655">
        <v>9191056</v>
      </c>
    </row>
    <row r="385" spans="1:39" x14ac:dyDescent="0.2">
      <c r="A385" s="648">
        <v>2014</v>
      </c>
      <c r="B385" s="648">
        <v>10</v>
      </c>
      <c r="C385" s="657" t="s">
        <v>125</v>
      </c>
      <c r="D385" s="648">
        <v>1053</v>
      </c>
      <c r="E385" s="648" t="s">
        <v>1049</v>
      </c>
      <c r="F385" s="655">
        <v>101921383</v>
      </c>
      <c r="G385" s="655">
        <v>0</v>
      </c>
      <c r="H385" s="655">
        <v>1082297</v>
      </c>
      <c r="I385" s="655">
        <v>16966739</v>
      </c>
      <c r="J385" s="655">
        <v>8599627</v>
      </c>
      <c r="K385" s="655">
        <v>1018548</v>
      </c>
      <c r="L385" s="655">
        <v>1111794</v>
      </c>
      <c r="M385" s="655">
        <v>0</v>
      </c>
      <c r="N385" s="655">
        <v>5208663</v>
      </c>
      <c r="O385" s="655">
        <v>0</v>
      </c>
      <c r="P385" s="655">
        <v>942556</v>
      </c>
      <c r="Q385" s="655">
        <v>1035155</v>
      </c>
      <c r="R385" s="655">
        <v>0</v>
      </c>
      <c r="S385" s="655">
        <v>483050</v>
      </c>
      <c r="T385" s="655">
        <v>56132</v>
      </c>
      <c r="U385" s="655">
        <v>4996163</v>
      </c>
      <c r="V385" s="655">
        <v>832226</v>
      </c>
      <c r="W385" s="655">
        <v>1704876</v>
      </c>
      <c r="X385" s="655">
        <v>3146479</v>
      </c>
      <c r="Y385" s="655">
        <v>0</v>
      </c>
      <c r="Z385" s="655">
        <v>0</v>
      </c>
      <c r="AA385" s="655">
        <v>0</v>
      </c>
      <c r="AB385" s="655">
        <v>0</v>
      </c>
      <c r="AC385" s="655">
        <v>-52209</v>
      </c>
      <c r="AD385" s="655">
        <v>846317</v>
      </c>
      <c r="AE385" s="655">
        <v>148207162</v>
      </c>
      <c r="AF385" s="655">
        <v>1318956</v>
      </c>
      <c r="AG385" s="655">
        <v>7625758</v>
      </c>
      <c r="AH385" s="655">
        <v>0</v>
      </c>
      <c r="AI385" s="655">
        <v>22622184</v>
      </c>
      <c r="AJ385" s="655">
        <v>10650183</v>
      </c>
      <c r="AK385" s="655">
        <v>190424243</v>
      </c>
      <c r="AL385" s="655">
        <v>185532851</v>
      </c>
      <c r="AM385" s="655">
        <v>4891392</v>
      </c>
    </row>
    <row r="386" spans="1:39" x14ac:dyDescent="0.2">
      <c r="A386" s="648">
        <v>2014</v>
      </c>
      <c r="B386" s="648">
        <v>10</v>
      </c>
      <c r="C386" s="657" t="s">
        <v>126</v>
      </c>
      <c r="D386" s="648">
        <v>1062</v>
      </c>
      <c r="E386" s="648" t="s">
        <v>637</v>
      </c>
      <c r="F386" s="655">
        <v>8065030</v>
      </c>
      <c r="G386" s="655">
        <v>0</v>
      </c>
      <c r="H386" s="655">
        <v>74976</v>
      </c>
      <c r="I386" s="655">
        <v>650785</v>
      </c>
      <c r="J386" s="655">
        <v>687932</v>
      </c>
      <c r="K386" s="655">
        <v>76157</v>
      </c>
      <c r="L386" s="655">
        <v>78081</v>
      </c>
      <c r="M386" s="655">
        <v>0</v>
      </c>
      <c r="N386" s="655">
        <v>381853</v>
      </c>
      <c r="O386" s="655">
        <v>0</v>
      </c>
      <c r="P386" s="655">
        <v>66156</v>
      </c>
      <c r="Q386" s="655">
        <v>72655</v>
      </c>
      <c r="R386" s="655">
        <v>0</v>
      </c>
      <c r="S386" s="655">
        <v>35413</v>
      </c>
      <c r="T386" s="655">
        <v>4115</v>
      </c>
      <c r="U386" s="655">
        <v>0</v>
      </c>
      <c r="V386" s="655">
        <v>0</v>
      </c>
      <c r="W386" s="655">
        <v>52905</v>
      </c>
      <c r="X386" s="655">
        <v>257034</v>
      </c>
      <c r="Y386" s="655">
        <v>0</v>
      </c>
      <c r="Z386" s="655">
        <v>0</v>
      </c>
      <c r="AA386" s="655">
        <v>0</v>
      </c>
      <c r="AB386" s="655">
        <v>0</v>
      </c>
      <c r="AC386" s="655">
        <v>0</v>
      </c>
      <c r="AD386" s="655">
        <v>46594</v>
      </c>
      <c r="AE386" s="655">
        <v>10456498</v>
      </c>
      <c r="AF386" s="655">
        <v>290748</v>
      </c>
      <c r="AG386" s="655">
        <v>475030</v>
      </c>
      <c r="AH386" s="655">
        <v>0</v>
      </c>
      <c r="AI386" s="655">
        <v>2068527</v>
      </c>
      <c r="AJ386" s="655">
        <v>2372383</v>
      </c>
      <c r="AK386" s="655">
        <v>15663186</v>
      </c>
      <c r="AL386" s="655">
        <v>14062529</v>
      </c>
      <c r="AM386" s="655">
        <v>1600657</v>
      </c>
    </row>
    <row r="387" spans="1:39" x14ac:dyDescent="0.2">
      <c r="A387" s="648">
        <v>2014</v>
      </c>
      <c r="B387" s="648">
        <v>15</v>
      </c>
      <c r="C387" s="657" t="s">
        <v>127</v>
      </c>
      <c r="D387" s="648">
        <v>1071</v>
      </c>
      <c r="E387" s="648" t="s">
        <v>1051</v>
      </c>
      <c r="F387" s="655">
        <v>8546322</v>
      </c>
      <c r="G387" s="655">
        <v>0</v>
      </c>
      <c r="H387" s="655">
        <v>96297</v>
      </c>
      <c r="I387" s="655">
        <v>989480</v>
      </c>
      <c r="J387" s="655">
        <v>730061</v>
      </c>
      <c r="K387" s="655">
        <v>83804</v>
      </c>
      <c r="L387" s="655">
        <v>88326</v>
      </c>
      <c r="M387" s="655">
        <v>0</v>
      </c>
      <c r="N387" s="655">
        <v>411197</v>
      </c>
      <c r="O387" s="655">
        <v>26879</v>
      </c>
      <c r="P387" s="655">
        <v>69233</v>
      </c>
      <c r="Q387" s="655">
        <v>76024</v>
      </c>
      <c r="R387" s="655">
        <v>0</v>
      </c>
      <c r="S387" s="655">
        <v>41121</v>
      </c>
      <c r="T387" s="655">
        <v>4428</v>
      </c>
      <c r="U387" s="655">
        <v>419019</v>
      </c>
      <c r="V387" s="655">
        <v>0</v>
      </c>
      <c r="W387" s="655">
        <v>92734</v>
      </c>
      <c r="X387" s="655">
        <v>20365</v>
      </c>
      <c r="Y387" s="655">
        <v>0</v>
      </c>
      <c r="Z387" s="655">
        <v>0</v>
      </c>
      <c r="AA387" s="655">
        <v>0</v>
      </c>
      <c r="AB387" s="655">
        <v>0</v>
      </c>
      <c r="AC387" s="655">
        <v>0</v>
      </c>
      <c r="AD387" s="655">
        <v>76839</v>
      </c>
      <c r="AE387" s="655">
        <v>11618451</v>
      </c>
      <c r="AF387" s="655">
        <v>254022</v>
      </c>
      <c r="AG387" s="655">
        <v>96214</v>
      </c>
      <c r="AH387" s="655">
        <v>0</v>
      </c>
      <c r="AI387" s="655">
        <v>1682442</v>
      </c>
      <c r="AJ387" s="655">
        <v>4191419</v>
      </c>
      <c r="AK387" s="655">
        <v>17842548</v>
      </c>
      <c r="AL387" s="655">
        <v>13964745</v>
      </c>
      <c r="AM387" s="655">
        <v>3877803</v>
      </c>
    </row>
    <row r="388" spans="1:39" x14ac:dyDescent="0.2">
      <c r="A388" s="648">
        <v>2014</v>
      </c>
      <c r="B388" s="648">
        <v>15</v>
      </c>
      <c r="C388" s="657" t="s">
        <v>128</v>
      </c>
      <c r="D388" s="648">
        <v>1079</v>
      </c>
      <c r="E388" s="648" t="s">
        <v>1052</v>
      </c>
      <c r="F388" s="655">
        <v>5096345</v>
      </c>
      <c r="G388" s="655">
        <v>0</v>
      </c>
      <c r="H388" s="655">
        <v>50425</v>
      </c>
      <c r="I388" s="655">
        <v>585718</v>
      </c>
      <c r="J388" s="655">
        <v>461793</v>
      </c>
      <c r="K388" s="655">
        <v>59922</v>
      </c>
      <c r="L388" s="655">
        <v>49848</v>
      </c>
      <c r="M388" s="655">
        <v>0</v>
      </c>
      <c r="N388" s="655">
        <v>247380</v>
      </c>
      <c r="O388" s="655">
        <v>5968</v>
      </c>
      <c r="P388" s="655">
        <v>42451</v>
      </c>
      <c r="Q388" s="655">
        <v>46615</v>
      </c>
      <c r="R388" s="655">
        <v>0</v>
      </c>
      <c r="S388" s="655">
        <v>24739</v>
      </c>
      <c r="T388" s="655">
        <v>2664</v>
      </c>
      <c r="U388" s="655">
        <v>51751</v>
      </c>
      <c r="V388" s="655">
        <v>0</v>
      </c>
      <c r="W388" s="655">
        <v>60010</v>
      </c>
      <c r="X388" s="655">
        <v>89241</v>
      </c>
      <c r="Y388" s="655">
        <v>0</v>
      </c>
      <c r="Z388" s="655">
        <v>0</v>
      </c>
      <c r="AA388" s="655">
        <v>0</v>
      </c>
      <c r="AB388" s="655">
        <v>0</v>
      </c>
      <c r="AC388" s="655">
        <v>0</v>
      </c>
      <c r="AD388" s="655">
        <v>46695</v>
      </c>
      <c r="AE388" s="655">
        <v>6828175</v>
      </c>
      <c r="AF388" s="655">
        <v>0</v>
      </c>
      <c r="AG388" s="655">
        <v>366937</v>
      </c>
      <c r="AH388" s="655">
        <v>0</v>
      </c>
      <c r="AI388" s="655">
        <v>2638947</v>
      </c>
      <c r="AJ388" s="655">
        <v>1679025</v>
      </c>
      <c r="AK388" s="655">
        <v>11513084</v>
      </c>
      <c r="AL388" s="655">
        <v>9771836</v>
      </c>
      <c r="AM388" s="655">
        <v>1741248</v>
      </c>
    </row>
    <row r="389" spans="1:39" x14ac:dyDescent="0.2">
      <c r="A389" s="648">
        <v>2014</v>
      </c>
      <c r="B389" s="648">
        <v>1</v>
      </c>
      <c r="C389" s="657" t="s">
        <v>129</v>
      </c>
      <c r="D389" s="648">
        <v>1080</v>
      </c>
      <c r="E389" s="648" t="s">
        <v>1053</v>
      </c>
      <c r="F389" s="655">
        <v>2889724</v>
      </c>
      <c r="G389" s="655">
        <v>11682</v>
      </c>
      <c r="H389" s="655">
        <v>102062</v>
      </c>
      <c r="I389" s="655">
        <v>440406</v>
      </c>
      <c r="J389" s="655">
        <v>256449</v>
      </c>
      <c r="K389" s="655">
        <v>26305</v>
      </c>
      <c r="L389" s="655">
        <v>25682</v>
      </c>
      <c r="M389" s="655">
        <v>0</v>
      </c>
      <c r="N389" s="655">
        <v>154146</v>
      </c>
      <c r="O389" s="655">
        <v>14850</v>
      </c>
      <c r="P389" s="655">
        <v>23770</v>
      </c>
      <c r="Q389" s="655">
        <v>26541</v>
      </c>
      <c r="R389" s="655">
        <v>0</v>
      </c>
      <c r="S389" s="655">
        <v>15135</v>
      </c>
      <c r="T389" s="655">
        <v>1610</v>
      </c>
      <c r="U389" s="655">
        <v>40000</v>
      </c>
      <c r="V389" s="655">
        <v>0</v>
      </c>
      <c r="W389" s="655">
        <v>90015</v>
      </c>
      <c r="X389" s="655">
        <v>197711</v>
      </c>
      <c r="Y389" s="655">
        <v>0</v>
      </c>
      <c r="Z389" s="655">
        <v>0</v>
      </c>
      <c r="AA389" s="655">
        <v>0</v>
      </c>
      <c r="AB389" s="655">
        <v>0</v>
      </c>
      <c r="AC389" s="655">
        <v>5401</v>
      </c>
      <c r="AD389" s="655">
        <v>29988</v>
      </c>
      <c r="AE389" s="655">
        <v>4291501</v>
      </c>
      <c r="AF389" s="655">
        <v>76513</v>
      </c>
      <c r="AG389" s="655">
        <v>224540</v>
      </c>
      <c r="AH389" s="655">
        <v>0</v>
      </c>
      <c r="AI389" s="655">
        <v>771822</v>
      </c>
      <c r="AJ389" s="655">
        <v>1079073</v>
      </c>
      <c r="AK389" s="655">
        <v>6443449</v>
      </c>
      <c r="AL389" s="655">
        <v>5067712</v>
      </c>
      <c r="AM389" s="655">
        <v>1375737</v>
      </c>
    </row>
    <row r="390" spans="1:39" x14ac:dyDescent="0.2">
      <c r="A390" s="648">
        <v>2014</v>
      </c>
      <c r="B390" s="648">
        <v>9</v>
      </c>
      <c r="C390" s="657" t="s">
        <v>130</v>
      </c>
      <c r="D390" s="648">
        <v>1082</v>
      </c>
      <c r="E390" s="648" t="s">
        <v>1722</v>
      </c>
      <c r="F390" s="655">
        <v>9105600</v>
      </c>
      <c r="G390" s="655">
        <v>133197</v>
      </c>
      <c r="H390" s="655">
        <v>98475</v>
      </c>
      <c r="I390" s="655">
        <v>968832</v>
      </c>
      <c r="J390" s="655">
        <v>810867</v>
      </c>
      <c r="K390" s="655">
        <v>87358</v>
      </c>
      <c r="L390" s="655">
        <v>80986</v>
      </c>
      <c r="M390" s="655">
        <v>0</v>
      </c>
      <c r="N390" s="655">
        <v>444536</v>
      </c>
      <c r="O390" s="655">
        <v>9953</v>
      </c>
      <c r="P390" s="655">
        <v>82634</v>
      </c>
      <c r="Q390" s="655">
        <v>90086</v>
      </c>
      <c r="R390" s="655">
        <v>0</v>
      </c>
      <c r="S390" s="655">
        <v>40130</v>
      </c>
      <c r="T390" s="655">
        <v>4714</v>
      </c>
      <c r="U390" s="655">
        <v>162001</v>
      </c>
      <c r="V390" s="655">
        <v>0</v>
      </c>
      <c r="W390" s="655">
        <v>54009</v>
      </c>
      <c r="X390" s="655">
        <v>143120</v>
      </c>
      <c r="Y390" s="655">
        <v>0</v>
      </c>
      <c r="Z390" s="655">
        <v>0</v>
      </c>
      <c r="AA390" s="655">
        <v>0</v>
      </c>
      <c r="AB390" s="655">
        <v>0</v>
      </c>
      <c r="AC390" s="655">
        <v>14103</v>
      </c>
      <c r="AD390" s="655">
        <v>77370</v>
      </c>
      <c r="AE390" s="655">
        <v>12253231</v>
      </c>
      <c r="AF390" s="655">
        <v>284627</v>
      </c>
      <c r="AG390" s="655">
        <v>678497</v>
      </c>
      <c r="AH390" s="655">
        <v>0</v>
      </c>
      <c r="AI390" s="655">
        <v>1658985</v>
      </c>
      <c r="AJ390" s="655">
        <v>1422202</v>
      </c>
      <c r="AK390" s="655">
        <v>16297542</v>
      </c>
      <c r="AL390" s="655">
        <v>14711790</v>
      </c>
      <c r="AM390" s="655">
        <v>1585752</v>
      </c>
    </row>
    <row r="391" spans="1:39" x14ac:dyDescent="0.2">
      <c r="A391" s="648">
        <v>2014</v>
      </c>
      <c r="B391" s="648">
        <v>10</v>
      </c>
      <c r="C391" s="657" t="s">
        <v>131</v>
      </c>
      <c r="D391" s="648">
        <v>1089</v>
      </c>
      <c r="E391" s="648" t="s">
        <v>1054</v>
      </c>
      <c r="F391" s="655">
        <v>3026089</v>
      </c>
      <c r="G391" s="655">
        <v>0</v>
      </c>
      <c r="H391" s="655">
        <v>104841</v>
      </c>
      <c r="I391" s="655">
        <v>250000</v>
      </c>
      <c r="J391" s="655">
        <v>280111</v>
      </c>
      <c r="K391" s="655">
        <v>27060</v>
      </c>
      <c r="L391" s="655">
        <v>31029</v>
      </c>
      <c r="M391" s="655">
        <v>0</v>
      </c>
      <c r="N391" s="655">
        <v>142114</v>
      </c>
      <c r="O391" s="655">
        <v>0</v>
      </c>
      <c r="P391" s="655">
        <v>24740</v>
      </c>
      <c r="Q391" s="655">
        <v>27170</v>
      </c>
      <c r="R391" s="655">
        <v>0</v>
      </c>
      <c r="S391" s="655">
        <v>13180</v>
      </c>
      <c r="T391" s="655">
        <v>1532</v>
      </c>
      <c r="U391" s="655">
        <v>71215</v>
      </c>
      <c r="V391" s="655">
        <v>0</v>
      </c>
      <c r="W391" s="655">
        <v>73812</v>
      </c>
      <c r="X391" s="655">
        <v>75303</v>
      </c>
      <c r="Y391" s="655">
        <v>0</v>
      </c>
      <c r="Z391" s="655">
        <v>0</v>
      </c>
      <c r="AA391" s="655">
        <v>0</v>
      </c>
      <c r="AB391" s="655">
        <v>0</v>
      </c>
      <c r="AC391" s="655">
        <v>0</v>
      </c>
      <c r="AD391" s="655">
        <v>23775</v>
      </c>
      <c r="AE391" s="655">
        <v>4124421</v>
      </c>
      <c r="AF391" s="655">
        <v>107118</v>
      </c>
      <c r="AG391" s="655">
        <v>102342</v>
      </c>
      <c r="AH391" s="655">
        <v>0</v>
      </c>
      <c r="AI391" s="655">
        <v>666879</v>
      </c>
      <c r="AJ391" s="655">
        <v>1358618</v>
      </c>
      <c r="AK391" s="655">
        <v>6359378</v>
      </c>
      <c r="AL391" s="655">
        <v>5219965</v>
      </c>
      <c r="AM391" s="655">
        <v>1139413</v>
      </c>
    </row>
    <row r="392" spans="1:39" x14ac:dyDescent="0.2">
      <c r="A392" s="648">
        <v>2014</v>
      </c>
      <c r="B392" s="648">
        <v>13</v>
      </c>
      <c r="C392" s="657" t="s">
        <v>132</v>
      </c>
      <c r="D392" s="648">
        <v>1093</v>
      </c>
      <c r="E392" s="648" t="s">
        <v>1055</v>
      </c>
      <c r="F392" s="655">
        <v>4117597</v>
      </c>
      <c r="G392" s="655">
        <v>0</v>
      </c>
      <c r="H392" s="655">
        <v>58266</v>
      </c>
      <c r="I392" s="655">
        <v>579842</v>
      </c>
      <c r="J392" s="655">
        <v>371283</v>
      </c>
      <c r="K392" s="655">
        <v>38028</v>
      </c>
      <c r="L392" s="655">
        <v>50257</v>
      </c>
      <c r="M392" s="655">
        <v>0</v>
      </c>
      <c r="N392" s="655">
        <v>206538</v>
      </c>
      <c r="O392" s="655">
        <v>0</v>
      </c>
      <c r="P392" s="655">
        <v>33711</v>
      </c>
      <c r="Q392" s="655">
        <v>37284</v>
      </c>
      <c r="R392" s="655">
        <v>0</v>
      </c>
      <c r="S392" s="655">
        <v>21212</v>
      </c>
      <c r="T392" s="655">
        <v>2241</v>
      </c>
      <c r="U392" s="655">
        <v>56881</v>
      </c>
      <c r="V392" s="655">
        <v>0</v>
      </c>
      <c r="W392" s="655">
        <v>98381</v>
      </c>
      <c r="X392" s="655">
        <v>124015</v>
      </c>
      <c r="Y392" s="655">
        <v>0</v>
      </c>
      <c r="Z392" s="655">
        <v>0</v>
      </c>
      <c r="AA392" s="655">
        <v>0</v>
      </c>
      <c r="AB392" s="655">
        <v>0</v>
      </c>
      <c r="AC392" s="655">
        <v>0</v>
      </c>
      <c r="AD392" s="655">
        <v>35545</v>
      </c>
      <c r="AE392" s="655">
        <v>5759991</v>
      </c>
      <c r="AF392" s="655">
        <v>131602</v>
      </c>
      <c r="AG392" s="655">
        <v>249321</v>
      </c>
      <c r="AH392" s="655">
        <v>0</v>
      </c>
      <c r="AI392" s="655">
        <v>1808995</v>
      </c>
      <c r="AJ392" s="655">
        <v>710045</v>
      </c>
      <c r="AK392" s="655">
        <v>8659954</v>
      </c>
      <c r="AL392" s="655">
        <v>7865112</v>
      </c>
      <c r="AM392" s="655">
        <v>794842</v>
      </c>
    </row>
    <row r="393" spans="1:39" x14ac:dyDescent="0.2">
      <c r="A393" s="648">
        <v>2014</v>
      </c>
      <c r="B393" s="648">
        <v>12</v>
      </c>
      <c r="C393" s="657" t="s">
        <v>133</v>
      </c>
      <c r="D393" s="648">
        <v>1095</v>
      </c>
      <c r="E393" s="648" t="s">
        <v>1057</v>
      </c>
      <c r="F393" s="655">
        <v>4263277</v>
      </c>
      <c r="G393" s="655">
        <v>67921</v>
      </c>
      <c r="H393" s="655">
        <v>38881</v>
      </c>
      <c r="I393" s="655">
        <v>499657</v>
      </c>
      <c r="J393" s="655">
        <v>358215</v>
      </c>
      <c r="K393" s="655">
        <v>41354</v>
      </c>
      <c r="L393" s="655">
        <v>37366</v>
      </c>
      <c r="M393" s="655">
        <v>0</v>
      </c>
      <c r="N393" s="655">
        <v>214538</v>
      </c>
      <c r="O393" s="655">
        <v>18</v>
      </c>
      <c r="P393" s="655">
        <v>38533</v>
      </c>
      <c r="Q393" s="655">
        <v>43299</v>
      </c>
      <c r="R393" s="655">
        <v>0</v>
      </c>
      <c r="S393" s="655">
        <v>21523</v>
      </c>
      <c r="T393" s="655">
        <v>2576</v>
      </c>
      <c r="U393" s="655">
        <v>187500</v>
      </c>
      <c r="V393" s="655">
        <v>0</v>
      </c>
      <c r="W393" s="655">
        <v>36006</v>
      </c>
      <c r="X393" s="655">
        <v>162135</v>
      </c>
      <c r="Y393" s="655">
        <v>0</v>
      </c>
      <c r="Z393" s="655">
        <v>0</v>
      </c>
      <c r="AA393" s="655">
        <v>0</v>
      </c>
      <c r="AB393" s="655">
        <v>0</v>
      </c>
      <c r="AC393" s="655">
        <v>0</v>
      </c>
      <c r="AD393" s="655">
        <v>34843</v>
      </c>
      <c r="AE393" s="655">
        <v>5977956</v>
      </c>
      <c r="AF393" s="655">
        <v>119360</v>
      </c>
      <c r="AG393" s="655">
        <v>332636</v>
      </c>
      <c r="AH393" s="655">
        <v>0</v>
      </c>
      <c r="AI393" s="655">
        <v>814521</v>
      </c>
      <c r="AJ393" s="655">
        <v>1771027</v>
      </c>
      <c r="AK393" s="655">
        <v>9015500</v>
      </c>
      <c r="AL393" s="655">
        <v>7465625</v>
      </c>
      <c r="AM393" s="655">
        <v>1549875</v>
      </c>
    </row>
    <row r="394" spans="1:39" x14ac:dyDescent="0.2">
      <c r="A394" s="648">
        <v>2014</v>
      </c>
      <c r="B394" s="648">
        <v>15</v>
      </c>
      <c r="C394" s="657" t="s">
        <v>134</v>
      </c>
      <c r="D394" s="648">
        <v>1107</v>
      </c>
      <c r="E394" s="648" t="s">
        <v>1058</v>
      </c>
      <c r="F394" s="655">
        <v>8331293</v>
      </c>
      <c r="G394" s="655">
        <v>35325</v>
      </c>
      <c r="H394" s="655">
        <v>164998</v>
      </c>
      <c r="I394" s="655">
        <v>1056179</v>
      </c>
      <c r="J394" s="655">
        <v>704995</v>
      </c>
      <c r="K394" s="655">
        <v>74915</v>
      </c>
      <c r="L394" s="655">
        <v>98312</v>
      </c>
      <c r="M394" s="655">
        <v>0</v>
      </c>
      <c r="N394" s="655">
        <v>408702</v>
      </c>
      <c r="O394" s="655">
        <v>31679</v>
      </c>
      <c r="P394" s="655">
        <v>68132</v>
      </c>
      <c r="Q394" s="655">
        <v>74814</v>
      </c>
      <c r="R394" s="655">
        <v>0</v>
      </c>
      <c r="S394" s="655">
        <v>40951</v>
      </c>
      <c r="T394" s="655">
        <v>4407</v>
      </c>
      <c r="U394" s="655">
        <v>150049</v>
      </c>
      <c r="V394" s="655">
        <v>0</v>
      </c>
      <c r="W394" s="655">
        <v>76916</v>
      </c>
      <c r="X394" s="655">
        <v>253860</v>
      </c>
      <c r="Y394" s="655">
        <v>0</v>
      </c>
      <c r="Z394" s="655">
        <v>0</v>
      </c>
      <c r="AA394" s="655">
        <v>0</v>
      </c>
      <c r="AB394" s="655">
        <v>0</v>
      </c>
      <c r="AC394" s="655">
        <v>2640</v>
      </c>
      <c r="AD394" s="655">
        <v>69564</v>
      </c>
      <c r="AE394" s="655">
        <v>11508603</v>
      </c>
      <c r="AF394" s="655">
        <v>205054</v>
      </c>
      <c r="AG394" s="655">
        <v>533456</v>
      </c>
      <c r="AH394" s="655">
        <v>0</v>
      </c>
      <c r="AI394" s="655">
        <v>1263655</v>
      </c>
      <c r="AJ394" s="655">
        <v>5186684</v>
      </c>
      <c r="AK394" s="655">
        <v>18697452</v>
      </c>
      <c r="AL394" s="655">
        <v>14039125</v>
      </c>
      <c r="AM394" s="655">
        <v>4658327</v>
      </c>
    </row>
    <row r="395" spans="1:39" x14ac:dyDescent="0.2">
      <c r="A395" s="648">
        <v>2014</v>
      </c>
      <c r="B395" s="648">
        <v>7</v>
      </c>
      <c r="C395" s="657" t="s">
        <v>135</v>
      </c>
      <c r="D395" s="648">
        <v>1116</v>
      </c>
      <c r="E395" s="648" t="s">
        <v>1059</v>
      </c>
      <c r="F395" s="655">
        <v>9764126</v>
      </c>
      <c r="G395" s="655">
        <v>0</v>
      </c>
      <c r="H395" s="655">
        <v>353244</v>
      </c>
      <c r="I395" s="655">
        <v>1454080</v>
      </c>
      <c r="J395" s="655">
        <v>830780</v>
      </c>
      <c r="K395" s="655">
        <v>98557</v>
      </c>
      <c r="L395" s="655">
        <v>96283</v>
      </c>
      <c r="M395" s="655">
        <v>0</v>
      </c>
      <c r="N395" s="655">
        <v>494483</v>
      </c>
      <c r="O395" s="655">
        <v>0</v>
      </c>
      <c r="P395" s="655">
        <v>88183</v>
      </c>
      <c r="Q395" s="655">
        <v>98560</v>
      </c>
      <c r="R395" s="655">
        <v>0</v>
      </c>
      <c r="S395" s="655">
        <v>63614</v>
      </c>
      <c r="T395" s="655">
        <v>7296</v>
      </c>
      <c r="U395" s="655">
        <v>384226</v>
      </c>
      <c r="V395" s="655">
        <v>106343</v>
      </c>
      <c r="W395" s="655">
        <v>63417</v>
      </c>
      <c r="X395" s="655">
        <v>487065</v>
      </c>
      <c r="Y395" s="655">
        <v>0</v>
      </c>
      <c r="Z395" s="655">
        <v>0</v>
      </c>
      <c r="AA395" s="655">
        <v>0</v>
      </c>
      <c r="AB395" s="655">
        <v>0</v>
      </c>
      <c r="AC395" s="655">
        <v>1333</v>
      </c>
      <c r="AD395" s="655">
        <v>82982</v>
      </c>
      <c r="AE395" s="655">
        <v>14308608</v>
      </c>
      <c r="AF395" s="655">
        <v>82634</v>
      </c>
      <c r="AG395" s="655">
        <v>510293</v>
      </c>
      <c r="AH395" s="655">
        <v>0</v>
      </c>
      <c r="AI395" s="655">
        <v>1734918</v>
      </c>
      <c r="AJ395" s="655">
        <v>4089410</v>
      </c>
      <c r="AK395" s="655">
        <v>20725863</v>
      </c>
      <c r="AL395" s="655">
        <v>16362123</v>
      </c>
      <c r="AM395" s="655">
        <v>4363740</v>
      </c>
    </row>
    <row r="396" spans="1:39" x14ac:dyDescent="0.2">
      <c r="A396" s="648">
        <v>2014</v>
      </c>
      <c r="B396" s="648">
        <v>12</v>
      </c>
      <c r="C396" s="657" t="s">
        <v>136</v>
      </c>
      <c r="D396" s="648">
        <v>1134</v>
      </c>
      <c r="E396" s="648" t="s">
        <v>1060</v>
      </c>
      <c r="F396" s="655">
        <v>1869635</v>
      </c>
      <c r="G396" s="655">
        <v>57756</v>
      </c>
      <c r="H396" s="655">
        <v>25467</v>
      </c>
      <c r="I396" s="655">
        <v>268476</v>
      </c>
      <c r="J396" s="655">
        <v>185288</v>
      </c>
      <c r="K396" s="655">
        <v>19235</v>
      </c>
      <c r="L396" s="655">
        <v>21093</v>
      </c>
      <c r="M396" s="655">
        <v>0</v>
      </c>
      <c r="N396" s="655">
        <v>96041</v>
      </c>
      <c r="O396" s="655">
        <v>3640</v>
      </c>
      <c r="P396" s="655">
        <v>15464</v>
      </c>
      <c r="Q396" s="655">
        <v>17376</v>
      </c>
      <c r="R396" s="655">
        <v>0</v>
      </c>
      <c r="S396" s="655">
        <v>9971</v>
      </c>
      <c r="T396" s="655">
        <v>1195</v>
      </c>
      <c r="U396" s="655">
        <v>0</v>
      </c>
      <c r="V396" s="655">
        <v>0</v>
      </c>
      <c r="W396" s="655">
        <v>36006</v>
      </c>
      <c r="X396" s="655">
        <v>0</v>
      </c>
      <c r="Y396" s="655">
        <v>0</v>
      </c>
      <c r="Z396" s="655">
        <v>0</v>
      </c>
      <c r="AA396" s="655">
        <v>0</v>
      </c>
      <c r="AB396" s="655">
        <v>0</v>
      </c>
      <c r="AC396" s="655">
        <v>0</v>
      </c>
      <c r="AD396" s="655">
        <v>17747</v>
      </c>
      <c r="AE396" s="655">
        <v>2608896</v>
      </c>
      <c r="AF396" s="655">
        <v>48968</v>
      </c>
      <c r="AG396" s="655">
        <v>161149</v>
      </c>
      <c r="AH396" s="655">
        <v>0</v>
      </c>
      <c r="AI396" s="655">
        <v>615854</v>
      </c>
      <c r="AJ396" s="655">
        <v>620269</v>
      </c>
      <c r="AK396" s="655">
        <v>4055136</v>
      </c>
      <c r="AL396" s="655">
        <v>3602247</v>
      </c>
      <c r="AM396" s="655">
        <v>452889</v>
      </c>
    </row>
    <row r="397" spans="1:39" x14ac:dyDescent="0.2">
      <c r="A397" s="648">
        <v>2014</v>
      </c>
      <c r="B397" s="648">
        <v>12</v>
      </c>
      <c r="C397" s="657" t="s">
        <v>137</v>
      </c>
      <c r="D397" s="648">
        <v>1152</v>
      </c>
      <c r="E397" s="648" t="s">
        <v>1061</v>
      </c>
      <c r="F397" s="655">
        <v>5920182</v>
      </c>
      <c r="G397" s="655">
        <v>0</v>
      </c>
      <c r="H397" s="655">
        <v>73490</v>
      </c>
      <c r="I397" s="655">
        <v>923640</v>
      </c>
      <c r="J397" s="655">
        <v>518486</v>
      </c>
      <c r="K397" s="655">
        <v>58271</v>
      </c>
      <c r="L397" s="655">
        <v>62185</v>
      </c>
      <c r="M397" s="655">
        <v>0</v>
      </c>
      <c r="N397" s="655">
        <v>305721</v>
      </c>
      <c r="O397" s="655">
        <v>0</v>
      </c>
      <c r="P397" s="655">
        <v>48305</v>
      </c>
      <c r="Q397" s="655">
        <v>54279</v>
      </c>
      <c r="R397" s="655">
        <v>0</v>
      </c>
      <c r="S397" s="655">
        <v>30671</v>
      </c>
      <c r="T397" s="655">
        <v>3670</v>
      </c>
      <c r="U397" s="655">
        <v>107200</v>
      </c>
      <c r="V397" s="655">
        <v>0</v>
      </c>
      <c r="W397" s="655">
        <v>99493</v>
      </c>
      <c r="X397" s="655">
        <v>60268</v>
      </c>
      <c r="Y397" s="655">
        <v>0</v>
      </c>
      <c r="Z397" s="655">
        <v>0</v>
      </c>
      <c r="AA397" s="655">
        <v>0</v>
      </c>
      <c r="AB397" s="655">
        <v>0</v>
      </c>
      <c r="AC397" s="655">
        <v>-4236</v>
      </c>
      <c r="AD397" s="655">
        <v>53299</v>
      </c>
      <c r="AE397" s="655">
        <v>8208326</v>
      </c>
      <c r="AF397" s="655">
        <v>122420</v>
      </c>
      <c r="AG397" s="655">
        <v>340198</v>
      </c>
      <c r="AH397" s="655">
        <v>0</v>
      </c>
      <c r="AI397" s="655">
        <v>1208505</v>
      </c>
      <c r="AJ397" s="655">
        <v>2224913</v>
      </c>
      <c r="AK397" s="655">
        <v>12104362</v>
      </c>
      <c r="AL397" s="655">
        <v>9863854</v>
      </c>
      <c r="AM397" s="655">
        <v>2240508</v>
      </c>
    </row>
    <row r="398" spans="1:39" x14ac:dyDescent="0.2">
      <c r="A398" s="648">
        <v>2014</v>
      </c>
      <c r="B398" s="648">
        <v>13</v>
      </c>
      <c r="C398" s="657" t="s">
        <v>138</v>
      </c>
      <c r="D398" s="648">
        <v>1197</v>
      </c>
      <c r="E398" s="648" t="s">
        <v>1067</v>
      </c>
      <c r="F398" s="655">
        <v>5797811</v>
      </c>
      <c r="G398" s="655">
        <v>0</v>
      </c>
      <c r="H398" s="655">
        <v>49494</v>
      </c>
      <c r="I398" s="655">
        <v>512511</v>
      </c>
      <c r="J398" s="655">
        <v>481007</v>
      </c>
      <c r="K398" s="655">
        <v>44433</v>
      </c>
      <c r="L398" s="655">
        <v>52390</v>
      </c>
      <c r="M398" s="655">
        <v>0</v>
      </c>
      <c r="N398" s="655">
        <v>277454</v>
      </c>
      <c r="O398" s="655">
        <v>0</v>
      </c>
      <c r="P398" s="655">
        <v>51543</v>
      </c>
      <c r="Q398" s="655">
        <v>57007</v>
      </c>
      <c r="R398" s="655">
        <v>0</v>
      </c>
      <c r="S398" s="655">
        <v>28495</v>
      </c>
      <c r="T398" s="655">
        <v>3010</v>
      </c>
      <c r="U398" s="655">
        <v>98167</v>
      </c>
      <c r="V398" s="655">
        <v>0</v>
      </c>
      <c r="W398" s="655">
        <v>36006</v>
      </c>
      <c r="X398" s="655">
        <v>29955</v>
      </c>
      <c r="Y398" s="655">
        <v>0</v>
      </c>
      <c r="Z398" s="655">
        <v>0</v>
      </c>
      <c r="AA398" s="655">
        <v>0</v>
      </c>
      <c r="AB398" s="655">
        <v>0</v>
      </c>
      <c r="AC398" s="655">
        <v>6001</v>
      </c>
      <c r="AD398" s="655">
        <v>50182</v>
      </c>
      <c r="AE398" s="655">
        <v>7475102</v>
      </c>
      <c r="AF398" s="655">
        <v>0</v>
      </c>
      <c r="AG398" s="655">
        <v>253875</v>
      </c>
      <c r="AH398" s="655">
        <v>0</v>
      </c>
      <c r="AI398" s="655">
        <v>2328823</v>
      </c>
      <c r="AJ398" s="655">
        <v>1817124</v>
      </c>
      <c r="AK398" s="655">
        <v>11874924</v>
      </c>
      <c r="AL398" s="655">
        <v>10233290</v>
      </c>
      <c r="AM398" s="655">
        <v>1641634</v>
      </c>
    </row>
    <row r="399" spans="1:39" x14ac:dyDescent="0.2">
      <c r="A399" s="648">
        <v>2014</v>
      </c>
      <c r="B399" s="648">
        <v>5</v>
      </c>
      <c r="C399" s="657" t="s">
        <v>139</v>
      </c>
      <c r="D399" s="648">
        <v>1206</v>
      </c>
      <c r="E399" s="648" t="s">
        <v>1636</v>
      </c>
      <c r="F399" s="655">
        <v>5681009</v>
      </c>
      <c r="G399" s="655">
        <v>22031</v>
      </c>
      <c r="H399" s="655">
        <v>389925</v>
      </c>
      <c r="I399" s="655">
        <v>779019</v>
      </c>
      <c r="J399" s="655">
        <v>497299</v>
      </c>
      <c r="K399" s="655">
        <v>55946</v>
      </c>
      <c r="L399" s="655">
        <v>61075</v>
      </c>
      <c r="M399" s="655">
        <v>0</v>
      </c>
      <c r="N399" s="655">
        <v>291838</v>
      </c>
      <c r="O399" s="655">
        <v>15128</v>
      </c>
      <c r="P399" s="655">
        <v>46903</v>
      </c>
      <c r="Q399" s="655">
        <v>52683</v>
      </c>
      <c r="R399" s="655">
        <v>3871</v>
      </c>
      <c r="S399" s="655">
        <v>32033</v>
      </c>
      <c r="T399" s="655">
        <v>3795</v>
      </c>
      <c r="U399" s="655">
        <v>228788</v>
      </c>
      <c r="V399" s="655">
        <v>0</v>
      </c>
      <c r="W399" s="655">
        <v>142466</v>
      </c>
      <c r="X399" s="655">
        <v>524665</v>
      </c>
      <c r="Y399" s="655">
        <v>2151</v>
      </c>
      <c r="Z399" s="655">
        <v>0</v>
      </c>
      <c r="AA399" s="655">
        <v>0</v>
      </c>
      <c r="AB399" s="655">
        <v>0</v>
      </c>
      <c r="AC399" s="655">
        <v>0</v>
      </c>
      <c r="AD399" s="655">
        <v>52020</v>
      </c>
      <c r="AE399" s="655">
        <v>8774303</v>
      </c>
      <c r="AF399" s="655">
        <v>168328</v>
      </c>
      <c r="AG399" s="655">
        <v>475709</v>
      </c>
      <c r="AH399" s="655">
        <v>0</v>
      </c>
      <c r="AI399" s="655">
        <v>1919312</v>
      </c>
      <c r="AJ399" s="655">
        <v>2341784</v>
      </c>
      <c r="AK399" s="655">
        <v>13679436</v>
      </c>
      <c r="AL399" s="655">
        <v>11549376</v>
      </c>
      <c r="AM399" s="655">
        <v>2130060</v>
      </c>
    </row>
    <row r="400" spans="1:39" x14ac:dyDescent="0.2">
      <c r="A400" s="648">
        <v>2014</v>
      </c>
      <c r="B400" s="648">
        <v>13</v>
      </c>
      <c r="C400" s="657" t="s">
        <v>140</v>
      </c>
      <c r="D400" s="648">
        <v>1211</v>
      </c>
      <c r="E400" s="648" t="s">
        <v>1068</v>
      </c>
      <c r="F400" s="655">
        <v>8787308</v>
      </c>
      <c r="G400" s="655">
        <v>0</v>
      </c>
      <c r="H400" s="655">
        <v>367921</v>
      </c>
      <c r="I400" s="655">
        <v>1286328</v>
      </c>
      <c r="J400" s="655">
        <v>756877</v>
      </c>
      <c r="K400" s="655">
        <v>77436</v>
      </c>
      <c r="L400" s="655">
        <v>99918</v>
      </c>
      <c r="M400" s="655">
        <v>0</v>
      </c>
      <c r="N400" s="655">
        <v>442921</v>
      </c>
      <c r="O400" s="655">
        <v>0</v>
      </c>
      <c r="P400" s="655">
        <v>71929</v>
      </c>
      <c r="Q400" s="655">
        <v>79554</v>
      </c>
      <c r="R400" s="655">
        <v>0</v>
      </c>
      <c r="S400" s="655">
        <v>45489</v>
      </c>
      <c r="T400" s="655">
        <v>4806</v>
      </c>
      <c r="U400" s="655">
        <v>0</v>
      </c>
      <c r="V400" s="655">
        <v>0</v>
      </c>
      <c r="W400" s="655">
        <v>182249</v>
      </c>
      <c r="X400" s="655">
        <v>247039</v>
      </c>
      <c r="Y400" s="655">
        <v>0</v>
      </c>
      <c r="Z400" s="655">
        <v>0</v>
      </c>
      <c r="AA400" s="655">
        <v>0</v>
      </c>
      <c r="AB400" s="655">
        <v>0</v>
      </c>
      <c r="AC400" s="655">
        <v>-2640</v>
      </c>
      <c r="AD400" s="655">
        <v>66523</v>
      </c>
      <c r="AE400" s="655">
        <v>12380612</v>
      </c>
      <c r="AF400" s="655">
        <v>244840</v>
      </c>
      <c r="AG400" s="655">
        <v>576711</v>
      </c>
      <c r="AH400" s="655">
        <v>0</v>
      </c>
      <c r="AI400" s="655">
        <v>1339684</v>
      </c>
      <c r="AJ400" s="655">
        <v>2506739</v>
      </c>
      <c r="AK400" s="655">
        <v>17048586</v>
      </c>
      <c r="AL400" s="655">
        <v>13860520</v>
      </c>
      <c r="AM400" s="655">
        <v>3188066</v>
      </c>
    </row>
    <row r="401" spans="1:39" x14ac:dyDescent="0.2">
      <c r="A401" s="648">
        <v>2014</v>
      </c>
      <c r="B401" s="648">
        <v>7</v>
      </c>
      <c r="C401" s="657" t="s">
        <v>141</v>
      </c>
      <c r="D401" s="648">
        <v>1215</v>
      </c>
      <c r="E401" s="648" t="s">
        <v>1069</v>
      </c>
      <c r="F401" s="655">
        <v>2079916</v>
      </c>
      <c r="G401" s="655">
        <v>72349</v>
      </c>
      <c r="H401" s="655">
        <v>13264</v>
      </c>
      <c r="I401" s="655">
        <v>318782</v>
      </c>
      <c r="J401" s="655">
        <v>215233</v>
      </c>
      <c r="K401" s="655">
        <v>22883</v>
      </c>
      <c r="L401" s="655">
        <v>23351</v>
      </c>
      <c r="M401" s="655">
        <v>0</v>
      </c>
      <c r="N401" s="655">
        <v>106768</v>
      </c>
      <c r="O401" s="655">
        <v>11026</v>
      </c>
      <c r="P401" s="655">
        <v>17838</v>
      </c>
      <c r="Q401" s="655">
        <v>19937</v>
      </c>
      <c r="R401" s="655">
        <v>0</v>
      </c>
      <c r="S401" s="655">
        <v>13929</v>
      </c>
      <c r="T401" s="655">
        <v>1598</v>
      </c>
      <c r="U401" s="655">
        <v>79639</v>
      </c>
      <c r="V401" s="655">
        <v>0</v>
      </c>
      <c r="W401" s="655">
        <v>30125</v>
      </c>
      <c r="X401" s="655">
        <v>14305</v>
      </c>
      <c r="Y401" s="655">
        <v>0</v>
      </c>
      <c r="Z401" s="655">
        <v>0</v>
      </c>
      <c r="AA401" s="655">
        <v>0</v>
      </c>
      <c r="AB401" s="655">
        <v>0</v>
      </c>
      <c r="AC401" s="655">
        <v>0</v>
      </c>
      <c r="AD401" s="655">
        <v>18545</v>
      </c>
      <c r="AE401" s="655">
        <v>3022398</v>
      </c>
      <c r="AF401" s="655">
        <v>67331</v>
      </c>
      <c r="AG401" s="655">
        <v>151197</v>
      </c>
      <c r="AH401" s="655">
        <v>0</v>
      </c>
      <c r="AI401" s="655">
        <v>342098</v>
      </c>
      <c r="AJ401" s="655">
        <v>788586</v>
      </c>
      <c r="AK401" s="655">
        <v>4371610</v>
      </c>
      <c r="AL401" s="655">
        <v>3627453</v>
      </c>
      <c r="AM401" s="655">
        <v>744157</v>
      </c>
    </row>
    <row r="402" spans="1:39" x14ac:dyDescent="0.2">
      <c r="A402" s="648">
        <v>2014</v>
      </c>
      <c r="B402" s="648">
        <v>5</v>
      </c>
      <c r="C402" s="657" t="s">
        <v>142</v>
      </c>
      <c r="D402" s="648">
        <v>1218</v>
      </c>
      <c r="E402" s="648" t="s">
        <v>1070</v>
      </c>
      <c r="F402" s="655">
        <v>2155905</v>
      </c>
      <c r="G402" s="655">
        <v>245928</v>
      </c>
      <c r="H402" s="655">
        <v>64002</v>
      </c>
      <c r="I402" s="655">
        <v>218215</v>
      </c>
      <c r="J402" s="655">
        <v>222770</v>
      </c>
      <c r="K402" s="655">
        <v>24413</v>
      </c>
      <c r="L402" s="655">
        <v>21794</v>
      </c>
      <c r="M402" s="655">
        <v>0</v>
      </c>
      <c r="N402" s="655">
        <v>106028</v>
      </c>
      <c r="O402" s="655">
        <v>19005</v>
      </c>
      <c r="P402" s="655">
        <v>17906</v>
      </c>
      <c r="Q402" s="655">
        <v>20129</v>
      </c>
      <c r="R402" s="655">
        <v>1903</v>
      </c>
      <c r="S402" s="655">
        <v>12461</v>
      </c>
      <c r="T402" s="655">
        <v>1487</v>
      </c>
      <c r="U402" s="655">
        <v>105725</v>
      </c>
      <c r="V402" s="655">
        <v>0</v>
      </c>
      <c r="W402" s="655">
        <v>162474</v>
      </c>
      <c r="X402" s="655">
        <v>188926</v>
      </c>
      <c r="Y402" s="655">
        <v>0</v>
      </c>
      <c r="Z402" s="655">
        <v>0</v>
      </c>
      <c r="AA402" s="655">
        <v>0</v>
      </c>
      <c r="AB402" s="655">
        <v>0</v>
      </c>
      <c r="AC402" s="655">
        <v>0</v>
      </c>
      <c r="AD402" s="655">
        <v>23296</v>
      </c>
      <c r="AE402" s="655">
        <v>3565775</v>
      </c>
      <c r="AF402" s="655">
        <v>70392</v>
      </c>
      <c r="AG402" s="655">
        <v>211577</v>
      </c>
      <c r="AH402" s="655">
        <v>0</v>
      </c>
      <c r="AI402" s="655">
        <v>487134</v>
      </c>
      <c r="AJ402" s="655">
        <v>611616</v>
      </c>
      <c r="AK402" s="655">
        <v>4946494</v>
      </c>
      <c r="AL402" s="655">
        <v>4126772</v>
      </c>
      <c r="AM402" s="655">
        <v>819722</v>
      </c>
    </row>
    <row r="403" spans="1:39" x14ac:dyDescent="0.2">
      <c r="A403" s="648">
        <v>2014</v>
      </c>
      <c r="B403" s="648">
        <v>10</v>
      </c>
      <c r="C403" s="657" t="s">
        <v>143</v>
      </c>
      <c r="D403" s="648">
        <v>1221</v>
      </c>
      <c r="E403" s="648" t="s">
        <v>2006</v>
      </c>
      <c r="F403" s="655">
        <v>10290194</v>
      </c>
      <c r="G403" s="655">
        <v>0</v>
      </c>
      <c r="H403" s="655">
        <v>123491</v>
      </c>
      <c r="I403" s="655">
        <v>1335269</v>
      </c>
      <c r="J403" s="655">
        <v>885789</v>
      </c>
      <c r="K403" s="655">
        <v>95899</v>
      </c>
      <c r="L403" s="655">
        <v>84986</v>
      </c>
      <c r="M403" s="655">
        <v>0</v>
      </c>
      <c r="N403" s="655">
        <v>506351</v>
      </c>
      <c r="O403" s="655">
        <v>0</v>
      </c>
      <c r="P403" s="655">
        <v>85086</v>
      </c>
      <c r="Q403" s="655">
        <v>93445</v>
      </c>
      <c r="R403" s="655">
        <v>0</v>
      </c>
      <c r="S403" s="655">
        <v>46959</v>
      </c>
      <c r="T403" s="655">
        <v>5457</v>
      </c>
      <c r="U403" s="655">
        <v>0</v>
      </c>
      <c r="V403" s="655">
        <v>0</v>
      </c>
      <c r="W403" s="655">
        <v>777629</v>
      </c>
      <c r="X403" s="655">
        <v>776394</v>
      </c>
      <c r="Y403" s="655">
        <v>0</v>
      </c>
      <c r="Z403" s="655">
        <v>0</v>
      </c>
      <c r="AA403" s="655">
        <v>0</v>
      </c>
      <c r="AB403" s="655">
        <v>0</v>
      </c>
      <c r="AC403" s="655">
        <v>0</v>
      </c>
      <c r="AD403" s="655">
        <v>54531</v>
      </c>
      <c r="AE403" s="655">
        <v>15052418</v>
      </c>
      <c r="AF403" s="655">
        <v>128541</v>
      </c>
      <c r="AG403" s="655">
        <v>806854</v>
      </c>
      <c r="AH403" s="655">
        <v>0</v>
      </c>
      <c r="AI403" s="655">
        <v>3324673</v>
      </c>
      <c r="AJ403" s="655">
        <v>7431461</v>
      </c>
      <c r="AK403" s="655">
        <v>26743947</v>
      </c>
      <c r="AL403" s="655">
        <v>19276618</v>
      </c>
      <c r="AM403" s="655">
        <v>7467329</v>
      </c>
    </row>
    <row r="404" spans="1:39" x14ac:dyDescent="0.2">
      <c r="A404" s="648">
        <v>2014</v>
      </c>
      <c r="B404" s="648">
        <v>7</v>
      </c>
      <c r="C404" s="657" t="s">
        <v>144</v>
      </c>
      <c r="D404" s="648">
        <v>1233</v>
      </c>
      <c r="E404" s="648" t="s">
        <v>1071</v>
      </c>
      <c r="F404" s="655">
        <v>7733271</v>
      </c>
      <c r="G404" s="655">
        <v>79977</v>
      </c>
      <c r="H404" s="655">
        <v>147241</v>
      </c>
      <c r="I404" s="655">
        <v>1093027</v>
      </c>
      <c r="J404" s="655">
        <v>639470</v>
      </c>
      <c r="K404" s="655">
        <v>70005</v>
      </c>
      <c r="L404" s="655">
        <v>72709</v>
      </c>
      <c r="M404" s="655">
        <v>0</v>
      </c>
      <c r="N404" s="655">
        <v>392865</v>
      </c>
      <c r="O404" s="655">
        <v>9115</v>
      </c>
      <c r="P404" s="655">
        <v>65255</v>
      </c>
      <c r="Q404" s="655">
        <v>72934</v>
      </c>
      <c r="R404" s="655">
        <v>0</v>
      </c>
      <c r="S404" s="655">
        <v>51107</v>
      </c>
      <c r="T404" s="655">
        <v>5864</v>
      </c>
      <c r="U404" s="655">
        <v>257777</v>
      </c>
      <c r="V404" s="655">
        <v>0</v>
      </c>
      <c r="W404" s="655">
        <v>42007</v>
      </c>
      <c r="X404" s="655">
        <v>0</v>
      </c>
      <c r="Y404" s="655">
        <v>0</v>
      </c>
      <c r="Z404" s="655">
        <v>0</v>
      </c>
      <c r="AA404" s="655">
        <v>0</v>
      </c>
      <c r="AB404" s="655">
        <v>0</v>
      </c>
      <c r="AC404" s="655">
        <v>-6001</v>
      </c>
      <c r="AD404" s="655">
        <v>69828</v>
      </c>
      <c r="AE404" s="655">
        <v>10656795</v>
      </c>
      <c r="AF404" s="655">
        <v>266264</v>
      </c>
      <c r="AG404" s="655">
        <v>666705</v>
      </c>
      <c r="AH404" s="655">
        <v>0</v>
      </c>
      <c r="AI404" s="655">
        <v>1847147</v>
      </c>
      <c r="AJ404" s="655">
        <v>2583208</v>
      </c>
      <c r="AK404" s="655">
        <v>16020119</v>
      </c>
      <c r="AL404" s="655">
        <v>13331422</v>
      </c>
      <c r="AM404" s="655">
        <v>2688697</v>
      </c>
    </row>
    <row r="405" spans="1:39" x14ac:dyDescent="0.2">
      <c r="A405" s="648">
        <v>2014</v>
      </c>
      <c r="B405" s="648">
        <v>9</v>
      </c>
      <c r="C405" s="657" t="s">
        <v>145</v>
      </c>
      <c r="D405" s="648">
        <v>1278</v>
      </c>
      <c r="E405" s="648" t="s">
        <v>1072</v>
      </c>
      <c r="F405" s="655">
        <v>24455239</v>
      </c>
      <c r="G405" s="655">
        <v>314827</v>
      </c>
      <c r="H405" s="655">
        <v>314344</v>
      </c>
      <c r="I405" s="655">
        <v>4671441</v>
      </c>
      <c r="J405" s="655">
        <v>2103083</v>
      </c>
      <c r="K405" s="655">
        <v>242855</v>
      </c>
      <c r="L405" s="655">
        <v>285197</v>
      </c>
      <c r="M405" s="655">
        <v>0</v>
      </c>
      <c r="N405" s="655">
        <v>1275632</v>
      </c>
      <c r="O405" s="655">
        <v>56957</v>
      </c>
      <c r="P405" s="655">
        <v>205937</v>
      </c>
      <c r="Q405" s="655">
        <v>224509</v>
      </c>
      <c r="R405" s="655">
        <v>0</v>
      </c>
      <c r="S405" s="655">
        <v>115657</v>
      </c>
      <c r="T405" s="655">
        <v>13587</v>
      </c>
      <c r="U405" s="655">
        <v>710733</v>
      </c>
      <c r="V405" s="655">
        <v>41132</v>
      </c>
      <c r="W405" s="655">
        <v>442143</v>
      </c>
      <c r="X405" s="655">
        <v>1437998</v>
      </c>
      <c r="Y405" s="655">
        <v>0</v>
      </c>
      <c r="Z405" s="655">
        <v>0</v>
      </c>
      <c r="AA405" s="655">
        <v>0</v>
      </c>
      <c r="AB405" s="655">
        <v>0</v>
      </c>
      <c r="AC405" s="655">
        <v>2661</v>
      </c>
      <c r="AD405" s="655">
        <v>219420</v>
      </c>
      <c r="AE405" s="655">
        <v>36694512</v>
      </c>
      <c r="AF405" s="655">
        <v>667189</v>
      </c>
      <c r="AG405" s="655">
        <v>1687089</v>
      </c>
      <c r="AH405" s="655">
        <v>0</v>
      </c>
      <c r="AI405" s="655">
        <v>3744132</v>
      </c>
      <c r="AJ405" s="655">
        <v>4194505</v>
      </c>
      <c r="AK405" s="655">
        <v>46987427</v>
      </c>
      <c r="AL405" s="655">
        <v>43829465</v>
      </c>
      <c r="AM405" s="655">
        <v>3157962</v>
      </c>
    </row>
    <row r="406" spans="1:39" x14ac:dyDescent="0.2">
      <c r="A406" s="648">
        <v>2014</v>
      </c>
      <c r="B406" s="648">
        <v>11</v>
      </c>
      <c r="C406" s="657" t="s">
        <v>146</v>
      </c>
      <c r="D406" s="648">
        <v>1332</v>
      </c>
      <c r="E406" s="648" t="s">
        <v>1073</v>
      </c>
      <c r="F406" s="655">
        <v>4477512</v>
      </c>
      <c r="G406" s="655">
        <v>199164</v>
      </c>
      <c r="H406" s="655">
        <v>32913</v>
      </c>
      <c r="I406" s="655">
        <v>466787</v>
      </c>
      <c r="J406" s="655">
        <v>398740</v>
      </c>
      <c r="K406" s="655">
        <v>38295</v>
      </c>
      <c r="L406" s="655">
        <v>45401</v>
      </c>
      <c r="M406" s="655">
        <v>0</v>
      </c>
      <c r="N406" s="655">
        <v>210882</v>
      </c>
      <c r="O406" s="655">
        <v>24006</v>
      </c>
      <c r="P406" s="655">
        <v>36870</v>
      </c>
      <c r="Q406" s="655">
        <v>40457</v>
      </c>
      <c r="R406" s="655">
        <v>0</v>
      </c>
      <c r="S406" s="655">
        <v>17422</v>
      </c>
      <c r="T406" s="655">
        <v>2237</v>
      </c>
      <c r="U406" s="655">
        <v>109777</v>
      </c>
      <c r="V406" s="655">
        <v>0</v>
      </c>
      <c r="W406" s="655">
        <v>121952</v>
      </c>
      <c r="X406" s="655">
        <v>106622</v>
      </c>
      <c r="Y406" s="655">
        <v>0</v>
      </c>
      <c r="Z406" s="655">
        <v>0</v>
      </c>
      <c r="AA406" s="655">
        <v>0</v>
      </c>
      <c r="AB406" s="655">
        <v>0</v>
      </c>
      <c r="AC406" s="655">
        <v>-1680</v>
      </c>
      <c r="AD406" s="655">
        <v>41179</v>
      </c>
      <c r="AE406" s="655">
        <v>6286178</v>
      </c>
      <c r="AF406" s="655">
        <v>134662</v>
      </c>
      <c r="AG406" s="655">
        <v>318061</v>
      </c>
      <c r="AH406" s="655">
        <v>0</v>
      </c>
      <c r="AI406" s="655">
        <v>655088</v>
      </c>
      <c r="AJ406" s="655">
        <v>1399980</v>
      </c>
      <c r="AK406" s="655">
        <v>8793969</v>
      </c>
      <c r="AL406" s="655">
        <v>7505564</v>
      </c>
      <c r="AM406" s="655">
        <v>1288405</v>
      </c>
    </row>
    <row r="407" spans="1:39" x14ac:dyDescent="0.2">
      <c r="A407" s="648">
        <v>2014</v>
      </c>
      <c r="B407" s="648">
        <v>10</v>
      </c>
      <c r="C407" s="657" t="s">
        <v>147</v>
      </c>
      <c r="D407" s="648">
        <v>1337</v>
      </c>
      <c r="E407" s="648" t="s">
        <v>1074</v>
      </c>
      <c r="F407" s="655">
        <v>27960728</v>
      </c>
      <c r="G407" s="655">
        <v>0</v>
      </c>
      <c r="H407" s="655">
        <v>358225</v>
      </c>
      <c r="I407" s="655">
        <v>2783096</v>
      </c>
      <c r="J407" s="655">
        <v>2277605</v>
      </c>
      <c r="K407" s="655">
        <v>283901</v>
      </c>
      <c r="L407" s="655">
        <v>295915</v>
      </c>
      <c r="M407" s="655">
        <v>0</v>
      </c>
      <c r="N407" s="655">
        <v>1346932</v>
      </c>
      <c r="O407" s="655">
        <v>0</v>
      </c>
      <c r="P407" s="655">
        <v>235276</v>
      </c>
      <c r="Q407" s="655">
        <v>258390</v>
      </c>
      <c r="R407" s="655">
        <v>0</v>
      </c>
      <c r="S407" s="655">
        <v>124914</v>
      </c>
      <c r="T407" s="655">
        <v>14516</v>
      </c>
      <c r="U407" s="655">
        <v>1260978</v>
      </c>
      <c r="V407" s="655">
        <v>202821</v>
      </c>
      <c r="W407" s="655">
        <v>727419</v>
      </c>
      <c r="X407" s="655">
        <v>1527028</v>
      </c>
      <c r="Y407" s="655">
        <v>0</v>
      </c>
      <c r="Z407" s="655">
        <v>0</v>
      </c>
      <c r="AA407" s="655">
        <v>0</v>
      </c>
      <c r="AB407" s="655">
        <v>0</v>
      </c>
      <c r="AC407" s="655">
        <v>-1320</v>
      </c>
      <c r="AD407" s="655">
        <v>142066</v>
      </c>
      <c r="AE407" s="655">
        <v>39514358</v>
      </c>
      <c r="AF407" s="655">
        <v>703915</v>
      </c>
      <c r="AG407" s="655">
        <v>2203026</v>
      </c>
      <c r="AH407" s="655">
        <v>0</v>
      </c>
      <c r="AI407" s="655">
        <v>7705678</v>
      </c>
      <c r="AJ407" s="655">
        <v>8938998</v>
      </c>
      <c r="AK407" s="655">
        <v>59065975</v>
      </c>
      <c r="AL407" s="655">
        <v>51522446</v>
      </c>
      <c r="AM407" s="655">
        <v>7543529</v>
      </c>
    </row>
    <row r="408" spans="1:39" x14ac:dyDescent="0.2">
      <c r="A408" s="648">
        <v>2014</v>
      </c>
      <c r="B408" s="648">
        <v>11</v>
      </c>
      <c r="C408" s="657" t="s">
        <v>148</v>
      </c>
      <c r="D408" s="648">
        <v>1350</v>
      </c>
      <c r="E408" s="648" t="s">
        <v>1075</v>
      </c>
      <c r="F408" s="655">
        <v>2876870</v>
      </c>
      <c r="G408" s="655">
        <v>156666</v>
      </c>
      <c r="H408" s="655">
        <v>17818</v>
      </c>
      <c r="I408" s="655">
        <v>286524</v>
      </c>
      <c r="J408" s="655">
        <v>268203</v>
      </c>
      <c r="K408" s="655">
        <v>27042</v>
      </c>
      <c r="L408" s="655">
        <v>29555</v>
      </c>
      <c r="M408" s="655">
        <v>0</v>
      </c>
      <c r="N408" s="655">
        <v>134924</v>
      </c>
      <c r="O408" s="655">
        <v>10219</v>
      </c>
      <c r="P408" s="655">
        <v>23581</v>
      </c>
      <c r="Q408" s="655">
        <v>25875</v>
      </c>
      <c r="R408" s="655">
        <v>0</v>
      </c>
      <c r="S408" s="655">
        <v>11666</v>
      </c>
      <c r="T408" s="655">
        <v>1498</v>
      </c>
      <c r="U408" s="655">
        <v>101537</v>
      </c>
      <c r="V408" s="655">
        <v>0</v>
      </c>
      <c r="W408" s="655">
        <v>108954</v>
      </c>
      <c r="X408" s="655">
        <v>288406</v>
      </c>
      <c r="Y408" s="655">
        <v>0</v>
      </c>
      <c r="Z408" s="655">
        <v>0</v>
      </c>
      <c r="AA408" s="655">
        <v>0</v>
      </c>
      <c r="AB408" s="655">
        <v>0</v>
      </c>
      <c r="AC408" s="655">
        <v>0</v>
      </c>
      <c r="AD408" s="655">
        <v>23962</v>
      </c>
      <c r="AE408" s="655">
        <v>4345376</v>
      </c>
      <c r="AF408" s="655">
        <v>73452</v>
      </c>
      <c r="AG408" s="655">
        <v>227394</v>
      </c>
      <c r="AH408" s="655">
        <v>0</v>
      </c>
      <c r="AI408" s="655">
        <v>448853</v>
      </c>
      <c r="AJ408" s="655">
        <v>3642615</v>
      </c>
      <c r="AK408" s="655">
        <v>8737690</v>
      </c>
      <c r="AL408" s="655">
        <v>5164765</v>
      </c>
      <c r="AM408" s="655">
        <v>3572925</v>
      </c>
    </row>
    <row r="409" spans="1:39" x14ac:dyDescent="0.2">
      <c r="A409" s="648">
        <v>2014</v>
      </c>
      <c r="B409" s="648">
        <v>11</v>
      </c>
      <c r="C409" s="657" t="s">
        <v>149</v>
      </c>
      <c r="D409" s="648">
        <v>1359</v>
      </c>
      <c r="E409" s="648" t="s">
        <v>1076</v>
      </c>
      <c r="F409" s="655">
        <v>3074458</v>
      </c>
      <c r="G409" s="655">
        <v>0</v>
      </c>
      <c r="H409" s="655">
        <v>23200</v>
      </c>
      <c r="I409" s="655">
        <v>263762</v>
      </c>
      <c r="J409" s="655">
        <v>288531</v>
      </c>
      <c r="K409" s="655">
        <v>28503</v>
      </c>
      <c r="L409" s="655">
        <v>30169</v>
      </c>
      <c r="M409" s="655">
        <v>0</v>
      </c>
      <c r="N409" s="655">
        <v>141847</v>
      </c>
      <c r="O409" s="655">
        <v>0</v>
      </c>
      <c r="P409" s="655">
        <v>25480</v>
      </c>
      <c r="Q409" s="655">
        <v>27958</v>
      </c>
      <c r="R409" s="655">
        <v>0</v>
      </c>
      <c r="S409" s="655">
        <v>11464</v>
      </c>
      <c r="T409" s="655">
        <v>1467</v>
      </c>
      <c r="U409" s="655">
        <v>75360</v>
      </c>
      <c r="V409" s="655">
        <v>0</v>
      </c>
      <c r="W409" s="655">
        <v>169574</v>
      </c>
      <c r="X409" s="655">
        <v>182990</v>
      </c>
      <c r="Y409" s="655">
        <v>0</v>
      </c>
      <c r="Z409" s="655">
        <v>0</v>
      </c>
      <c r="AA409" s="655">
        <v>0</v>
      </c>
      <c r="AB409" s="655">
        <v>0</v>
      </c>
      <c r="AC409" s="655">
        <v>-6024</v>
      </c>
      <c r="AD409" s="655">
        <v>26655</v>
      </c>
      <c r="AE409" s="655">
        <v>4312084</v>
      </c>
      <c r="AF409" s="655">
        <v>79573</v>
      </c>
      <c r="AG409" s="655">
        <v>255949</v>
      </c>
      <c r="AH409" s="655">
        <v>0</v>
      </c>
      <c r="AI409" s="655">
        <v>468527</v>
      </c>
      <c r="AJ409" s="655">
        <v>294197</v>
      </c>
      <c r="AK409" s="655">
        <v>5410330</v>
      </c>
      <c r="AL409" s="655">
        <v>5378333</v>
      </c>
      <c r="AM409" s="655">
        <v>31997</v>
      </c>
    </row>
    <row r="410" spans="1:39" x14ac:dyDescent="0.2">
      <c r="A410" s="648">
        <v>2014</v>
      </c>
      <c r="B410" s="648">
        <v>9</v>
      </c>
      <c r="C410" s="657" t="s">
        <v>150</v>
      </c>
      <c r="D410" s="648">
        <v>1368</v>
      </c>
      <c r="E410" s="648" t="s">
        <v>1077</v>
      </c>
      <c r="F410" s="655">
        <v>5057170</v>
      </c>
      <c r="G410" s="655">
        <v>389860</v>
      </c>
      <c r="H410" s="655">
        <v>217332</v>
      </c>
      <c r="I410" s="655">
        <v>838026</v>
      </c>
      <c r="J410" s="655">
        <v>496379</v>
      </c>
      <c r="K410" s="655">
        <v>59431</v>
      </c>
      <c r="L410" s="655">
        <v>61291</v>
      </c>
      <c r="M410" s="655">
        <v>0</v>
      </c>
      <c r="N410" s="655">
        <v>260126</v>
      </c>
      <c r="O410" s="655">
        <v>38947</v>
      </c>
      <c r="P410" s="655">
        <v>41217</v>
      </c>
      <c r="Q410" s="655">
        <v>44934</v>
      </c>
      <c r="R410" s="655">
        <v>0</v>
      </c>
      <c r="S410" s="655">
        <v>24722</v>
      </c>
      <c r="T410" s="655">
        <v>2904</v>
      </c>
      <c r="U410" s="655">
        <v>60633</v>
      </c>
      <c r="V410" s="655">
        <v>72268</v>
      </c>
      <c r="W410" s="655">
        <v>181436</v>
      </c>
      <c r="X410" s="655">
        <v>71765</v>
      </c>
      <c r="Y410" s="655">
        <v>0</v>
      </c>
      <c r="Z410" s="655">
        <v>0</v>
      </c>
      <c r="AA410" s="655">
        <v>0</v>
      </c>
      <c r="AB410" s="655">
        <v>0</v>
      </c>
      <c r="AC410" s="655">
        <v>0</v>
      </c>
      <c r="AD410" s="655">
        <v>48308</v>
      </c>
      <c r="AE410" s="655">
        <v>7870133</v>
      </c>
      <c r="AF410" s="655">
        <v>156086</v>
      </c>
      <c r="AG410" s="655">
        <v>396435</v>
      </c>
      <c r="AH410" s="655">
        <v>0</v>
      </c>
      <c r="AI410" s="655">
        <v>976224</v>
      </c>
      <c r="AJ410" s="655">
        <v>358744</v>
      </c>
      <c r="AK410" s="655">
        <v>9757622</v>
      </c>
      <c r="AL410" s="655">
        <v>9940639</v>
      </c>
      <c r="AM410" s="655">
        <v>-183017</v>
      </c>
    </row>
    <row r="411" spans="1:39" x14ac:dyDescent="0.2">
      <c r="A411" s="648">
        <v>2014</v>
      </c>
      <c r="B411" s="648">
        <v>11</v>
      </c>
      <c r="C411" s="657" t="s">
        <v>151</v>
      </c>
      <c r="D411" s="648">
        <v>1413</v>
      </c>
      <c r="E411" s="648" t="s">
        <v>638</v>
      </c>
      <c r="F411" s="655">
        <v>2467085</v>
      </c>
      <c r="G411" s="655">
        <v>181258</v>
      </c>
      <c r="H411" s="655">
        <v>97098</v>
      </c>
      <c r="I411" s="655">
        <v>333395</v>
      </c>
      <c r="J411" s="655">
        <v>253251</v>
      </c>
      <c r="K411" s="655">
        <v>26908</v>
      </c>
      <c r="L411" s="655">
        <v>28844</v>
      </c>
      <c r="M411" s="655">
        <v>0</v>
      </c>
      <c r="N411" s="655">
        <v>116643</v>
      </c>
      <c r="O411" s="655">
        <v>19447</v>
      </c>
      <c r="P411" s="655">
        <v>19684</v>
      </c>
      <c r="Q411" s="655">
        <v>21599</v>
      </c>
      <c r="R411" s="655">
        <v>0</v>
      </c>
      <c r="S411" s="655">
        <v>10163</v>
      </c>
      <c r="T411" s="655">
        <v>1305</v>
      </c>
      <c r="U411" s="655">
        <v>67151</v>
      </c>
      <c r="V411" s="655">
        <v>0</v>
      </c>
      <c r="W411" s="655">
        <v>47010</v>
      </c>
      <c r="X411" s="655">
        <v>0</v>
      </c>
      <c r="Y411" s="655">
        <v>9525</v>
      </c>
      <c r="Z411" s="655">
        <v>0</v>
      </c>
      <c r="AA411" s="655">
        <v>0</v>
      </c>
      <c r="AB411" s="655">
        <v>0</v>
      </c>
      <c r="AC411" s="655">
        <v>0</v>
      </c>
      <c r="AD411" s="655">
        <v>24283</v>
      </c>
      <c r="AE411" s="655">
        <v>3657033</v>
      </c>
      <c r="AF411" s="655">
        <v>100997</v>
      </c>
      <c r="AG411" s="655">
        <v>223043</v>
      </c>
      <c r="AH411" s="655">
        <v>0</v>
      </c>
      <c r="AI411" s="655">
        <v>559219</v>
      </c>
      <c r="AJ411" s="655">
        <v>340286</v>
      </c>
      <c r="AK411" s="655">
        <v>4880578</v>
      </c>
      <c r="AL411" s="655">
        <v>4453791</v>
      </c>
      <c r="AM411" s="655">
        <v>426787</v>
      </c>
    </row>
    <row r="412" spans="1:39" x14ac:dyDescent="0.2">
      <c r="A412" s="648">
        <v>2014</v>
      </c>
      <c r="B412" s="648">
        <v>13</v>
      </c>
      <c r="C412" s="657" t="s">
        <v>152</v>
      </c>
      <c r="D412" s="648">
        <v>1431</v>
      </c>
      <c r="E412" s="648" t="s">
        <v>1078</v>
      </c>
      <c r="F412" s="655">
        <v>2602896</v>
      </c>
      <c r="G412" s="655">
        <v>31081</v>
      </c>
      <c r="H412" s="655">
        <v>43959</v>
      </c>
      <c r="I412" s="655">
        <v>307722</v>
      </c>
      <c r="J412" s="655">
        <v>258798</v>
      </c>
      <c r="K412" s="655">
        <v>25781</v>
      </c>
      <c r="L412" s="655">
        <v>30796</v>
      </c>
      <c r="M412" s="655">
        <v>0</v>
      </c>
      <c r="N412" s="655">
        <v>127000</v>
      </c>
      <c r="O412" s="655">
        <v>24550</v>
      </c>
      <c r="P412" s="655">
        <v>21138</v>
      </c>
      <c r="Q412" s="655">
        <v>23379</v>
      </c>
      <c r="R412" s="655">
        <v>0</v>
      </c>
      <c r="S412" s="655">
        <v>13159</v>
      </c>
      <c r="T412" s="655">
        <v>1389</v>
      </c>
      <c r="U412" s="655">
        <v>104331</v>
      </c>
      <c r="V412" s="655">
        <v>0</v>
      </c>
      <c r="W412" s="655">
        <v>30005</v>
      </c>
      <c r="X412" s="655">
        <v>387424</v>
      </c>
      <c r="Y412" s="655">
        <v>0</v>
      </c>
      <c r="Z412" s="655">
        <v>0</v>
      </c>
      <c r="AA412" s="655">
        <v>0</v>
      </c>
      <c r="AB412" s="655">
        <v>0</v>
      </c>
      <c r="AC412" s="655">
        <v>0</v>
      </c>
      <c r="AD412" s="655">
        <v>28933</v>
      </c>
      <c r="AE412" s="655">
        <v>4004475</v>
      </c>
      <c r="AF412" s="655">
        <v>76513</v>
      </c>
      <c r="AG412" s="655">
        <v>215723</v>
      </c>
      <c r="AH412" s="655">
        <v>0</v>
      </c>
      <c r="AI412" s="655">
        <v>1517386</v>
      </c>
      <c r="AJ412" s="655">
        <v>3111030</v>
      </c>
      <c r="AK412" s="655">
        <v>8925127</v>
      </c>
      <c r="AL412" s="655">
        <v>6168428</v>
      </c>
      <c r="AM412" s="655">
        <v>2756699</v>
      </c>
    </row>
    <row r="413" spans="1:39" x14ac:dyDescent="0.2">
      <c r="A413" s="648">
        <v>2014</v>
      </c>
      <c r="B413" s="648">
        <v>13</v>
      </c>
      <c r="C413" s="657" t="s">
        <v>153</v>
      </c>
      <c r="D413" s="648">
        <v>1476</v>
      </c>
      <c r="E413" s="648" t="s">
        <v>1079</v>
      </c>
      <c r="F413" s="655">
        <v>55367074</v>
      </c>
      <c r="G413" s="655">
        <v>10926</v>
      </c>
      <c r="H413" s="655">
        <v>1184091</v>
      </c>
      <c r="I413" s="655">
        <v>9831206</v>
      </c>
      <c r="J413" s="655">
        <v>4514250</v>
      </c>
      <c r="K413" s="655">
        <v>525316</v>
      </c>
      <c r="L413" s="655">
        <v>682473</v>
      </c>
      <c r="M413" s="655">
        <v>0</v>
      </c>
      <c r="N413" s="655">
        <v>2834703</v>
      </c>
      <c r="O413" s="655">
        <v>0</v>
      </c>
      <c r="P413" s="655">
        <v>469694</v>
      </c>
      <c r="Q413" s="655">
        <v>519486</v>
      </c>
      <c r="R413" s="655">
        <v>0</v>
      </c>
      <c r="S413" s="655">
        <v>291128</v>
      </c>
      <c r="T413" s="655">
        <v>30756</v>
      </c>
      <c r="U413" s="655">
        <v>2489866</v>
      </c>
      <c r="V413" s="655">
        <v>0</v>
      </c>
      <c r="W413" s="655">
        <v>1033424</v>
      </c>
      <c r="X413" s="655">
        <v>1962449</v>
      </c>
      <c r="Y413" s="655">
        <v>0</v>
      </c>
      <c r="Z413" s="655">
        <v>0</v>
      </c>
      <c r="AA413" s="655">
        <v>0</v>
      </c>
      <c r="AB413" s="655">
        <v>0</v>
      </c>
      <c r="AC413" s="655">
        <v>0</v>
      </c>
      <c r="AD413" s="655">
        <v>450650</v>
      </c>
      <c r="AE413" s="655">
        <v>81296192</v>
      </c>
      <c r="AF413" s="655">
        <v>1233441</v>
      </c>
      <c r="AG413" s="655">
        <v>3731370</v>
      </c>
      <c r="AH413" s="655">
        <v>0</v>
      </c>
      <c r="AI413" s="655">
        <v>16752442</v>
      </c>
      <c r="AJ413" s="655">
        <v>12977211</v>
      </c>
      <c r="AK413" s="655">
        <v>115990656</v>
      </c>
      <c r="AL413" s="655">
        <v>101129280</v>
      </c>
      <c r="AM413" s="655">
        <v>14861376</v>
      </c>
    </row>
    <row r="414" spans="1:39" x14ac:dyDescent="0.2">
      <c r="A414" s="648">
        <v>2014</v>
      </c>
      <c r="B414" s="648">
        <v>13</v>
      </c>
      <c r="C414" s="657" t="s">
        <v>154</v>
      </c>
      <c r="D414" s="648">
        <v>1503</v>
      </c>
      <c r="E414" s="648" t="s">
        <v>1080</v>
      </c>
      <c r="F414" s="655">
        <v>9177593</v>
      </c>
      <c r="G414" s="655">
        <v>0</v>
      </c>
      <c r="H414" s="655">
        <v>388416</v>
      </c>
      <c r="I414" s="655">
        <v>1190572</v>
      </c>
      <c r="J414" s="655">
        <v>809654</v>
      </c>
      <c r="K414" s="655">
        <v>88224</v>
      </c>
      <c r="L414" s="655">
        <v>101437</v>
      </c>
      <c r="M414" s="655">
        <v>0</v>
      </c>
      <c r="N414" s="655">
        <v>455080</v>
      </c>
      <c r="O414" s="655">
        <v>1312</v>
      </c>
      <c r="P414" s="655">
        <v>81346</v>
      </c>
      <c r="Q414" s="655">
        <v>89970</v>
      </c>
      <c r="R414" s="655">
        <v>0</v>
      </c>
      <c r="S414" s="655">
        <v>46737</v>
      </c>
      <c r="T414" s="655">
        <v>4937</v>
      </c>
      <c r="U414" s="655">
        <v>320115</v>
      </c>
      <c r="V414" s="655">
        <v>0</v>
      </c>
      <c r="W414" s="655">
        <v>159714</v>
      </c>
      <c r="X414" s="655">
        <v>297059</v>
      </c>
      <c r="Y414" s="655">
        <v>0</v>
      </c>
      <c r="Z414" s="655">
        <v>0</v>
      </c>
      <c r="AA414" s="655">
        <v>0</v>
      </c>
      <c r="AB414" s="655">
        <v>0</v>
      </c>
      <c r="AC414" s="655">
        <v>0</v>
      </c>
      <c r="AD414" s="655">
        <v>73855</v>
      </c>
      <c r="AE414" s="655">
        <v>13138311</v>
      </c>
      <c r="AF414" s="655">
        <v>437712</v>
      </c>
      <c r="AG414" s="655">
        <v>48700</v>
      </c>
      <c r="AH414" s="655">
        <v>0</v>
      </c>
      <c r="AI414" s="655">
        <v>2526608</v>
      </c>
      <c r="AJ414" s="655">
        <v>4117052</v>
      </c>
      <c r="AK414" s="655">
        <v>20268383</v>
      </c>
      <c r="AL414" s="655">
        <v>16788338</v>
      </c>
      <c r="AM414" s="655">
        <v>3480045</v>
      </c>
    </row>
    <row r="415" spans="1:39" x14ac:dyDescent="0.2">
      <c r="A415" s="648">
        <v>2014</v>
      </c>
      <c r="B415" s="648">
        <v>11</v>
      </c>
      <c r="C415" s="657" t="s">
        <v>155</v>
      </c>
      <c r="D415" s="648">
        <v>1576</v>
      </c>
      <c r="E415" s="648" t="s">
        <v>1081</v>
      </c>
      <c r="F415" s="655">
        <v>13097716</v>
      </c>
      <c r="G415" s="655">
        <v>0</v>
      </c>
      <c r="H415" s="655">
        <v>143384</v>
      </c>
      <c r="I415" s="655">
        <v>1023860</v>
      </c>
      <c r="J415" s="655">
        <v>1072553</v>
      </c>
      <c r="K415" s="655">
        <v>112190</v>
      </c>
      <c r="L415" s="655">
        <v>126762</v>
      </c>
      <c r="M415" s="655">
        <v>0</v>
      </c>
      <c r="N415" s="655">
        <v>602307</v>
      </c>
      <c r="O415" s="655">
        <v>0</v>
      </c>
      <c r="P415" s="655">
        <v>110162</v>
      </c>
      <c r="Q415" s="655">
        <v>120878</v>
      </c>
      <c r="R415" s="655">
        <v>0</v>
      </c>
      <c r="S415" s="655">
        <v>48679</v>
      </c>
      <c r="T415" s="655">
        <v>6229</v>
      </c>
      <c r="U415" s="655">
        <v>642017</v>
      </c>
      <c r="V415" s="655">
        <v>0</v>
      </c>
      <c r="W415" s="655">
        <v>656783</v>
      </c>
      <c r="X415" s="655">
        <v>582817</v>
      </c>
      <c r="Y415" s="655">
        <v>0</v>
      </c>
      <c r="Z415" s="655">
        <v>0</v>
      </c>
      <c r="AA415" s="655">
        <v>0</v>
      </c>
      <c r="AB415" s="655">
        <v>0</v>
      </c>
      <c r="AC415" s="655">
        <v>0</v>
      </c>
      <c r="AD415" s="655">
        <v>64515</v>
      </c>
      <c r="AE415" s="655">
        <v>18281822</v>
      </c>
      <c r="AF415" s="655">
        <v>443773</v>
      </c>
      <c r="AG415" s="655">
        <v>977221</v>
      </c>
      <c r="AH415" s="655">
        <v>0</v>
      </c>
      <c r="AI415" s="655">
        <v>3552279</v>
      </c>
      <c r="AJ415" s="655">
        <v>8700678</v>
      </c>
      <c r="AK415" s="655">
        <v>31955773</v>
      </c>
      <c r="AL415" s="655">
        <v>22237520</v>
      </c>
      <c r="AM415" s="655">
        <v>9718253</v>
      </c>
    </row>
    <row r="416" spans="1:39" x14ac:dyDescent="0.2">
      <c r="A416" s="648">
        <v>2014</v>
      </c>
      <c r="B416" s="648">
        <v>15</v>
      </c>
      <c r="C416" s="657" t="s">
        <v>156</v>
      </c>
      <c r="D416" s="648">
        <v>1602</v>
      </c>
      <c r="E416" s="648" t="s">
        <v>1082</v>
      </c>
      <c r="F416" s="655">
        <v>2956443</v>
      </c>
      <c r="G416" s="655">
        <v>0</v>
      </c>
      <c r="H416" s="655">
        <v>19116</v>
      </c>
      <c r="I416" s="655">
        <v>275506</v>
      </c>
      <c r="J416" s="655">
        <v>262008</v>
      </c>
      <c r="K416" s="655">
        <v>28318</v>
      </c>
      <c r="L416" s="655">
        <v>31646</v>
      </c>
      <c r="M416" s="655">
        <v>0</v>
      </c>
      <c r="N416" s="655">
        <v>140709</v>
      </c>
      <c r="O416" s="655">
        <v>0</v>
      </c>
      <c r="P416" s="655">
        <v>24529</v>
      </c>
      <c r="Q416" s="655">
        <v>26935</v>
      </c>
      <c r="R416" s="655">
        <v>0</v>
      </c>
      <c r="S416" s="655">
        <v>14071</v>
      </c>
      <c r="T416" s="655">
        <v>1515</v>
      </c>
      <c r="U416" s="655">
        <v>96692</v>
      </c>
      <c r="V416" s="655">
        <v>0</v>
      </c>
      <c r="W416" s="655">
        <v>42271</v>
      </c>
      <c r="X416" s="655">
        <v>22162</v>
      </c>
      <c r="Y416" s="655">
        <v>0</v>
      </c>
      <c r="Z416" s="655">
        <v>0</v>
      </c>
      <c r="AA416" s="655">
        <v>0</v>
      </c>
      <c r="AB416" s="655">
        <v>0</v>
      </c>
      <c r="AC416" s="655">
        <v>0</v>
      </c>
      <c r="AD416" s="655">
        <v>20792</v>
      </c>
      <c r="AE416" s="655">
        <v>3921129</v>
      </c>
      <c r="AF416" s="655">
        <v>110178</v>
      </c>
      <c r="AG416" s="655">
        <v>201393</v>
      </c>
      <c r="AH416" s="655">
        <v>0</v>
      </c>
      <c r="AI416" s="655">
        <v>1535469</v>
      </c>
      <c r="AJ416" s="655">
        <v>988128</v>
      </c>
      <c r="AK416" s="655">
        <v>6756297</v>
      </c>
      <c r="AL416" s="655">
        <v>5885267</v>
      </c>
      <c r="AM416" s="655">
        <v>871030</v>
      </c>
    </row>
    <row r="417" spans="1:39" x14ac:dyDescent="0.2">
      <c r="A417" s="648">
        <v>2014</v>
      </c>
      <c r="B417" s="648">
        <v>9</v>
      </c>
      <c r="C417" s="657" t="s">
        <v>157</v>
      </c>
      <c r="D417" s="648">
        <v>1611</v>
      </c>
      <c r="E417" s="648" t="s">
        <v>1083</v>
      </c>
      <c r="F417" s="655">
        <v>97569964</v>
      </c>
      <c r="G417" s="655">
        <v>201400</v>
      </c>
      <c r="H417" s="655">
        <v>1380390</v>
      </c>
      <c r="I417" s="655">
        <v>14033433</v>
      </c>
      <c r="J417" s="655">
        <v>8210478</v>
      </c>
      <c r="K417" s="655">
        <v>1020173</v>
      </c>
      <c r="L417" s="655">
        <v>1210021</v>
      </c>
      <c r="M417" s="655">
        <v>0</v>
      </c>
      <c r="N417" s="655">
        <v>4924516</v>
      </c>
      <c r="O417" s="655">
        <v>0</v>
      </c>
      <c r="P417" s="655">
        <v>883080</v>
      </c>
      <c r="Q417" s="655">
        <v>962717</v>
      </c>
      <c r="R417" s="655">
        <v>0</v>
      </c>
      <c r="S417" s="655">
        <v>439777</v>
      </c>
      <c r="T417" s="655">
        <v>51599</v>
      </c>
      <c r="U417" s="655">
        <v>4782857</v>
      </c>
      <c r="V417" s="655">
        <v>822524</v>
      </c>
      <c r="W417" s="655">
        <v>847265</v>
      </c>
      <c r="X417" s="655">
        <v>0</v>
      </c>
      <c r="Y417" s="655">
        <v>0</v>
      </c>
      <c r="Z417" s="655">
        <v>0</v>
      </c>
      <c r="AA417" s="655">
        <v>0</v>
      </c>
      <c r="AB417" s="655">
        <v>0</v>
      </c>
      <c r="AC417" s="655">
        <v>-221437</v>
      </c>
      <c r="AD417" s="655">
        <v>800370</v>
      </c>
      <c r="AE417" s="655">
        <v>136318387</v>
      </c>
      <c r="AF417" s="655">
        <v>2525332</v>
      </c>
      <c r="AG417" s="655">
        <v>6950566</v>
      </c>
      <c r="AH417" s="655">
        <v>0</v>
      </c>
      <c r="AI417" s="655">
        <v>21635724</v>
      </c>
      <c r="AJ417" s="655">
        <v>10773675</v>
      </c>
      <c r="AK417" s="655">
        <v>178203684</v>
      </c>
      <c r="AL417" s="655">
        <v>170417772</v>
      </c>
      <c r="AM417" s="655">
        <v>7785912</v>
      </c>
    </row>
    <row r="418" spans="1:39" x14ac:dyDescent="0.2">
      <c r="A418" s="648">
        <v>2014</v>
      </c>
      <c r="B418" s="648">
        <v>15</v>
      </c>
      <c r="C418" s="657" t="s">
        <v>158</v>
      </c>
      <c r="D418" s="648">
        <v>1619</v>
      </c>
      <c r="E418" s="648" t="s">
        <v>1084</v>
      </c>
      <c r="F418" s="655">
        <v>7318880</v>
      </c>
      <c r="G418" s="655">
        <v>0</v>
      </c>
      <c r="H418" s="655">
        <v>80595</v>
      </c>
      <c r="I418" s="655">
        <v>571089</v>
      </c>
      <c r="J418" s="655">
        <v>635766</v>
      </c>
      <c r="K418" s="655">
        <v>69829</v>
      </c>
      <c r="L418" s="655">
        <v>69913</v>
      </c>
      <c r="M418" s="655">
        <v>0</v>
      </c>
      <c r="N418" s="655">
        <v>343506</v>
      </c>
      <c r="O418" s="655">
        <v>0</v>
      </c>
      <c r="P418" s="655">
        <v>59872</v>
      </c>
      <c r="Q418" s="655">
        <v>65744</v>
      </c>
      <c r="R418" s="655">
        <v>0</v>
      </c>
      <c r="S418" s="655">
        <v>34352</v>
      </c>
      <c r="T418" s="655">
        <v>3699</v>
      </c>
      <c r="U418" s="655">
        <v>237375</v>
      </c>
      <c r="V418" s="655">
        <v>0</v>
      </c>
      <c r="W418" s="655">
        <v>30005</v>
      </c>
      <c r="X418" s="655">
        <v>155969</v>
      </c>
      <c r="Y418" s="655">
        <v>0</v>
      </c>
      <c r="Z418" s="655">
        <v>0</v>
      </c>
      <c r="AA418" s="655">
        <v>0</v>
      </c>
      <c r="AB418" s="655">
        <v>0</v>
      </c>
      <c r="AC418" s="655">
        <v>-6001</v>
      </c>
      <c r="AD418" s="655">
        <v>56419</v>
      </c>
      <c r="AE418" s="655">
        <v>9614174</v>
      </c>
      <c r="AF418" s="655">
        <v>146904</v>
      </c>
      <c r="AG418" s="655">
        <v>508589</v>
      </c>
      <c r="AH418" s="655">
        <v>0</v>
      </c>
      <c r="AI418" s="655">
        <v>1889674</v>
      </c>
      <c r="AJ418" s="655">
        <v>3918978</v>
      </c>
      <c r="AK418" s="655">
        <v>16078319</v>
      </c>
      <c r="AL418" s="655">
        <v>12060292</v>
      </c>
      <c r="AM418" s="655">
        <v>4018027</v>
      </c>
    </row>
    <row r="419" spans="1:39" x14ac:dyDescent="0.2">
      <c r="A419" s="648">
        <v>2014</v>
      </c>
      <c r="B419" s="648">
        <v>1</v>
      </c>
      <c r="C419" s="657" t="s">
        <v>159</v>
      </c>
      <c r="D419" s="648">
        <v>1638</v>
      </c>
      <c r="E419" s="648" t="s">
        <v>1085</v>
      </c>
      <c r="F419" s="655">
        <v>8706179</v>
      </c>
      <c r="G419" s="655">
        <v>0</v>
      </c>
      <c r="H419" s="655">
        <v>132068</v>
      </c>
      <c r="I419" s="655">
        <v>736875</v>
      </c>
      <c r="J419" s="655">
        <v>759346</v>
      </c>
      <c r="K419" s="655">
        <v>92908</v>
      </c>
      <c r="L419" s="655">
        <v>82421</v>
      </c>
      <c r="M419" s="655">
        <v>0</v>
      </c>
      <c r="N419" s="655">
        <v>436104</v>
      </c>
      <c r="O419" s="655">
        <v>0</v>
      </c>
      <c r="P419" s="655">
        <v>77806</v>
      </c>
      <c r="Q419" s="655">
        <v>86875</v>
      </c>
      <c r="R419" s="655">
        <v>0</v>
      </c>
      <c r="S419" s="655">
        <v>42821</v>
      </c>
      <c r="T419" s="655">
        <v>4556</v>
      </c>
      <c r="U419" s="655">
        <v>375499</v>
      </c>
      <c r="V419" s="655">
        <v>254229</v>
      </c>
      <c r="W419" s="655">
        <v>49358</v>
      </c>
      <c r="X419" s="655">
        <v>358209</v>
      </c>
      <c r="Y419" s="655">
        <v>0</v>
      </c>
      <c r="Z419" s="655">
        <v>0</v>
      </c>
      <c r="AA419" s="655">
        <v>0</v>
      </c>
      <c r="AB419" s="655">
        <v>0</v>
      </c>
      <c r="AC419" s="655">
        <v>0</v>
      </c>
      <c r="AD419" s="655">
        <v>75026</v>
      </c>
      <c r="AE419" s="655">
        <v>12120228</v>
      </c>
      <c r="AF419" s="655">
        <v>275445</v>
      </c>
      <c r="AG419" s="655">
        <v>693273</v>
      </c>
      <c r="AH419" s="655">
        <v>0</v>
      </c>
      <c r="AI419" s="655">
        <v>4437421</v>
      </c>
      <c r="AJ419" s="655">
        <v>2957279</v>
      </c>
      <c r="AK419" s="655">
        <v>20483646</v>
      </c>
      <c r="AL419" s="655">
        <v>18002615</v>
      </c>
      <c r="AM419" s="655">
        <v>2481031</v>
      </c>
    </row>
    <row r="420" spans="1:39" x14ac:dyDescent="0.2">
      <c r="A420" s="648">
        <v>2014</v>
      </c>
      <c r="B420" s="648">
        <v>9</v>
      </c>
      <c r="C420" s="657" t="s">
        <v>160</v>
      </c>
      <c r="D420" s="648">
        <v>1675</v>
      </c>
      <c r="E420" s="648" t="s">
        <v>1086</v>
      </c>
      <c r="F420" s="655">
        <v>1286273</v>
      </c>
      <c r="G420" s="655">
        <v>75430</v>
      </c>
      <c r="H420" s="655">
        <v>30718</v>
      </c>
      <c r="I420" s="655">
        <v>131523</v>
      </c>
      <c r="J420" s="655">
        <v>98617</v>
      </c>
      <c r="K420" s="655">
        <v>7647</v>
      </c>
      <c r="L420" s="655">
        <v>13155</v>
      </c>
      <c r="M420" s="655">
        <v>0</v>
      </c>
      <c r="N420" s="655">
        <v>60822</v>
      </c>
      <c r="O420" s="655">
        <v>14191</v>
      </c>
      <c r="P420" s="655">
        <v>10180</v>
      </c>
      <c r="Q420" s="655">
        <v>11098</v>
      </c>
      <c r="R420" s="655">
        <v>0</v>
      </c>
      <c r="S420" s="655">
        <v>5813</v>
      </c>
      <c r="T420" s="655">
        <v>683</v>
      </c>
      <c r="U420" s="655">
        <v>0</v>
      </c>
      <c r="V420" s="655">
        <v>0</v>
      </c>
      <c r="W420" s="655">
        <v>0</v>
      </c>
      <c r="X420" s="655">
        <v>89875</v>
      </c>
      <c r="Y420" s="655">
        <v>0</v>
      </c>
      <c r="Z420" s="655">
        <v>0</v>
      </c>
      <c r="AA420" s="655">
        <v>0</v>
      </c>
      <c r="AB420" s="655">
        <v>0</v>
      </c>
      <c r="AC420" s="655">
        <v>0</v>
      </c>
      <c r="AD420" s="655">
        <v>13150</v>
      </c>
      <c r="AE420" s="655">
        <v>1822875</v>
      </c>
      <c r="AF420" s="655">
        <v>48968</v>
      </c>
      <c r="AG420" s="655">
        <v>107901</v>
      </c>
      <c r="AH420" s="655">
        <v>122553</v>
      </c>
      <c r="AI420" s="655">
        <v>445876</v>
      </c>
      <c r="AJ420" s="655">
        <v>4444330</v>
      </c>
      <c r="AK420" s="655">
        <v>6992503</v>
      </c>
      <c r="AL420" s="655">
        <v>2485068</v>
      </c>
      <c r="AM420" s="655">
        <v>4507435</v>
      </c>
    </row>
    <row r="421" spans="1:39" x14ac:dyDescent="0.2">
      <c r="A421" s="648">
        <v>2014</v>
      </c>
      <c r="B421" s="648">
        <v>12</v>
      </c>
      <c r="C421" s="657" t="s">
        <v>161</v>
      </c>
      <c r="D421" s="648">
        <v>1701</v>
      </c>
      <c r="E421" s="648" t="s">
        <v>1087</v>
      </c>
      <c r="F421" s="655">
        <v>12661901</v>
      </c>
      <c r="G421" s="655">
        <v>0</v>
      </c>
      <c r="H421" s="655">
        <v>1220191</v>
      </c>
      <c r="I421" s="655">
        <v>1481588</v>
      </c>
      <c r="J421" s="655">
        <v>1017648</v>
      </c>
      <c r="K421" s="655">
        <v>125357</v>
      </c>
      <c r="L421" s="655">
        <v>154814</v>
      </c>
      <c r="M421" s="655">
        <v>0</v>
      </c>
      <c r="N421" s="655">
        <v>637069</v>
      </c>
      <c r="O421" s="655">
        <v>0</v>
      </c>
      <c r="P421" s="655">
        <v>112829</v>
      </c>
      <c r="Q421" s="655">
        <v>126784</v>
      </c>
      <c r="R421" s="655">
        <v>0</v>
      </c>
      <c r="S421" s="655">
        <v>63913</v>
      </c>
      <c r="T421" s="655">
        <v>7648</v>
      </c>
      <c r="U421" s="655">
        <v>0</v>
      </c>
      <c r="V421" s="655">
        <v>0</v>
      </c>
      <c r="W421" s="655">
        <v>96016</v>
      </c>
      <c r="X421" s="655">
        <v>0</v>
      </c>
      <c r="Y421" s="655">
        <v>0</v>
      </c>
      <c r="Z421" s="655">
        <v>0</v>
      </c>
      <c r="AA421" s="655">
        <v>0</v>
      </c>
      <c r="AB421" s="655">
        <v>0</v>
      </c>
      <c r="AC421" s="655">
        <v>-37446</v>
      </c>
      <c r="AD421" s="655">
        <v>77738</v>
      </c>
      <c r="AE421" s="655">
        <v>17590574</v>
      </c>
      <c r="AF421" s="655">
        <v>272444</v>
      </c>
      <c r="AG421" s="655">
        <v>704635</v>
      </c>
      <c r="AH421" s="655">
        <v>0</v>
      </c>
      <c r="AI421" s="655">
        <v>3070773</v>
      </c>
      <c r="AJ421" s="655">
        <v>6418465</v>
      </c>
      <c r="AK421" s="655">
        <v>28056891</v>
      </c>
      <c r="AL421" s="655">
        <v>21279192</v>
      </c>
      <c r="AM421" s="655">
        <v>6777699</v>
      </c>
    </row>
    <row r="422" spans="1:39" x14ac:dyDescent="0.2">
      <c r="A422" s="648">
        <v>2014</v>
      </c>
      <c r="B422" s="648">
        <v>7</v>
      </c>
      <c r="C422" s="657" t="s">
        <v>162</v>
      </c>
      <c r="D422" s="648">
        <v>1719</v>
      </c>
      <c r="E422" s="648" t="s">
        <v>1088</v>
      </c>
      <c r="F422" s="655">
        <v>4389369</v>
      </c>
      <c r="G422" s="655">
        <v>61836</v>
      </c>
      <c r="H422" s="655">
        <v>82083</v>
      </c>
      <c r="I422" s="655">
        <v>502779</v>
      </c>
      <c r="J422" s="655">
        <v>382711</v>
      </c>
      <c r="K422" s="655">
        <v>35518</v>
      </c>
      <c r="L422" s="655">
        <v>34607</v>
      </c>
      <c r="M422" s="655">
        <v>0</v>
      </c>
      <c r="N422" s="655">
        <v>217753</v>
      </c>
      <c r="O422" s="655">
        <v>2080</v>
      </c>
      <c r="P422" s="655">
        <v>36533</v>
      </c>
      <c r="Q422" s="655">
        <v>40832</v>
      </c>
      <c r="R422" s="655">
        <v>0</v>
      </c>
      <c r="S422" s="655">
        <v>28394</v>
      </c>
      <c r="T422" s="655">
        <v>3258</v>
      </c>
      <c r="U422" s="655">
        <v>0</v>
      </c>
      <c r="V422" s="655">
        <v>0</v>
      </c>
      <c r="W422" s="655">
        <v>36006</v>
      </c>
      <c r="X422" s="655">
        <v>0</v>
      </c>
      <c r="Y422" s="655">
        <v>30760</v>
      </c>
      <c r="Z422" s="655">
        <v>0</v>
      </c>
      <c r="AA422" s="655">
        <v>0</v>
      </c>
      <c r="AB422" s="655">
        <v>0</v>
      </c>
      <c r="AC422" s="655">
        <v>0</v>
      </c>
      <c r="AD422" s="655">
        <v>32842</v>
      </c>
      <c r="AE422" s="655">
        <v>5790157</v>
      </c>
      <c r="AF422" s="655">
        <v>122420</v>
      </c>
      <c r="AG422" s="655">
        <v>317282</v>
      </c>
      <c r="AH422" s="655">
        <v>0</v>
      </c>
      <c r="AI422" s="655">
        <v>844510</v>
      </c>
      <c r="AJ422" s="655">
        <v>1470870</v>
      </c>
      <c r="AK422" s="655">
        <v>8545239</v>
      </c>
      <c r="AL422" s="655">
        <v>7330763</v>
      </c>
      <c r="AM422" s="655">
        <v>1214476</v>
      </c>
    </row>
    <row r="423" spans="1:39" x14ac:dyDescent="0.2">
      <c r="A423" s="648">
        <v>2014</v>
      </c>
      <c r="B423" s="648">
        <v>11</v>
      </c>
      <c r="C423" s="657" t="s">
        <v>163</v>
      </c>
      <c r="D423" s="648">
        <v>1737</v>
      </c>
      <c r="E423" s="648" t="s">
        <v>1089</v>
      </c>
      <c r="F423" s="655">
        <v>198432337</v>
      </c>
      <c r="G423" s="655">
        <v>0</v>
      </c>
      <c r="H423" s="655">
        <v>8374738</v>
      </c>
      <c r="I423" s="655">
        <v>40254184</v>
      </c>
      <c r="J423" s="655">
        <v>17815306</v>
      </c>
      <c r="K423" s="655">
        <v>2237614</v>
      </c>
      <c r="L423" s="655">
        <v>2719187</v>
      </c>
      <c r="M423" s="655">
        <v>0</v>
      </c>
      <c r="N423" s="655">
        <v>10068491</v>
      </c>
      <c r="O423" s="655">
        <v>0</v>
      </c>
      <c r="P423" s="655">
        <v>1718124</v>
      </c>
      <c r="Q423" s="655">
        <v>1885260</v>
      </c>
      <c r="R423" s="655">
        <v>0</v>
      </c>
      <c r="S423" s="655">
        <v>813748</v>
      </c>
      <c r="T423" s="655">
        <v>104129</v>
      </c>
      <c r="U423" s="655">
        <v>9729244</v>
      </c>
      <c r="V423" s="655">
        <v>0</v>
      </c>
      <c r="W423" s="655">
        <v>3290426</v>
      </c>
      <c r="X423" s="655">
        <v>753191</v>
      </c>
      <c r="Y423" s="655">
        <v>0</v>
      </c>
      <c r="Z423" s="655">
        <v>0</v>
      </c>
      <c r="AA423" s="655">
        <v>0</v>
      </c>
      <c r="AB423" s="655">
        <v>0</v>
      </c>
      <c r="AC423" s="655">
        <v>685554</v>
      </c>
      <c r="AD423" s="655">
        <v>1502990</v>
      </c>
      <c r="AE423" s="655">
        <v>297378543</v>
      </c>
      <c r="AF423" s="655">
        <v>3920501</v>
      </c>
      <c r="AG423" s="655">
        <v>12667921</v>
      </c>
      <c r="AH423" s="655">
        <v>0</v>
      </c>
      <c r="AI423" s="655">
        <v>58505560</v>
      </c>
      <c r="AJ423" s="655">
        <v>74576137</v>
      </c>
      <c r="AK423" s="655">
        <v>447048662</v>
      </c>
      <c r="AL423" s="655">
        <v>381804898</v>
      </c>
      <c r="AM423" s="655">
        <v>65243764</v>
      </c>
    </row>
    <row r="424" spans="1:39" x14ac:dyDescent="0.2">
      <c r="A424" s="648">
        <v>2014</v>
      </c>
      <c r="B424" s="648">
        <v>13</v>
      </c>
      <c r="C424" s="657" t="s">
        <v>164</v>
      </c>
      <c r="D424" s="648">
        <v>1782</v>
      </c>
      <c r="E424" s="648" t="s">
        <v>1090</v>
      </c>
      <c r="F424" s="655">
        <v>686784</v>
      </c>
      <c r="G424" s="655">
        <v>0</v>
      </c>
      <c r="H424" s="655">
        <v>11964</v>
      </c>
      <c r="I424" s="655">
        <v>97621</v>
      </c>
      <c r="J424" s="655">
        <v>88552</v>
      </c>
      <c r="K424" s="655">
        <v>9905</v>
      </c>
      <c r="L424" s="655">
        <v>10922</v>
      </c>
      <c r="M424" s="655">
        <v>0</v>
      </c>
      <c r="N424" s="655">
        <v>34427</v>
      </c>
      <c r="O424" s="655">
        <v>0</v>
      </c>
      <c r="P424" s="655">
        <v>5610</v>
      </c>
      <c r="Q424" s="655">
        <v>6205</v>
      </c>
      <c r="R424" s="655">
        <v>0</v>
      </c>
      <c r="S424" s="655">
        <v>3536</v>
      </c>
      <c r="T424" s="655">
        <v>374</v>
      </c>
      <c r="U424" s="655">
        <v>33667</v>
      </c>
      <c r="V424" s="655">
        <v>0</v>
      </c>
      <c r="W424" s="655">
        <v>6001</v>
      </c>
      <c r="X424" s="655">
        <v>7355</v>
      </c>
      <c r="Y424" s="655">
        <v>0</v>
      </c>
      <c r="Z424" s="655">
        <v>0</v>
      </c>
      <c r="AA424" s="655">
        <v>0</v>
      </c>
      <c r="AB424" s="655">
        <v>0</v>
      </c>
      <c r="AC424" s="655">
        <v>0</v>
      </c>
      <c r="AD424" s="655">
        <v>5923</v>
      </c>
      <c r="AE424" s="655">
        <v>997000</v>
      </c>
      <c r="AF424" s="655">
        <v>0</v>
      </c>
      <c r="AG424" s="655">
        <v>50533</v>
      </c>
      <c r="AH424" s="655">
        <v>0</v>
      </c>
      <c r="AI424" s="655">
        <v>677529</v>
      </c>
      <c r="AJ424" s="655">
        <v>120453</v>
      </c>
      <c r="AK424" s="655">
        <v>1845515</v>
      </c>
      <c r="AL424" s="655">
        <v>1705247</v>
      </c>
      <c r="AM424" s="655">
        <v>140268</v>
      </c>
    </row>
    <row r="425" spans="1:39" x14ac:dyDescent="0.2">
      <c r="A425" s="648">
        <v>2014</v>
      </c>
      <c r="B425" s="648">
        <v>7</v>
      </c>
      <c r="C425" s="657" t="s">
        <v>165</v>
      </c>
      <c r="D425" s="648">
        <v>1791</v>
      </c>
      <c r="E425" s="648" t="s">
        <v>2007</v>
      </c>
      <c r="F425" s="655">
        <v>5182651</v>
      </c>
      <c r="G425" s="655">
        <v>0</v>
      </c>
      <c r="H425" s="655">
        <v>205745</v>
      </c>
      <c r="I425" s="655">
        <v>633891</v>
      </c>
      <c r="J425" s="655">
        <v>465660</v>
      </c>
      <c r="K425" s="655">
        <v>48787</v>
      </c>
      <c r="L425" s="655">
        <v>45544</v>
      </c>
      <c r="M425" s="655">
        <v>0</v>
      </c>
      <c r="N425" s="655">
        <v>258898</v>
      </c>
      <c r="O425" s="655">
        <v>0</v>
      </c>
      <c r="P425" s="655">
        <v>42680</v>
      </c>
      <c r="Q425" s="655">
        <v>47703</v>
      </c>
      <c r="R425" s="655">
        <v>0</v>
      </c>
      <c r="S425" s="655">
        <v>33307</v>
      </c>
      <c r="T425" s="655">
        <v>3820</v>
      </c>
      <c r="U425" s="655">
        <v>56625</v>
      </c>
      <c r="V425" s="655">
        <v>0</v>
      </c>
      <c r="W425" s="655">
        <v>206890</v>
      </c>
      <c r="X425" s="655">
        <v>0</v>
      </c>
      <c r="Y425" s="655">
        <v>41503</v>
      </c>
      <c r="Z425" s="655">
        <v>0</v>
      </c>
      <c r="AA425" s="655">
        <v>0</v>
      </c>
      <c r="AB425" s="655">
        <v>0</v>
      </c>
      <c r="AC425" s="655">
        <v>0</v>
      </c>
      <c r="AD425" s="655">
        <v>36304</v>
      </c>
      <c r="AE425" s="655">
        <v>7154394</v>
      </c>
      <c r="AF425" s="655">
        <v>153025</v>
      </c>
      <c r="AG425" s="655">
        <v>379215</v>
      </c>
      <c r="AH425" s="655">
        <v>0</v>
      </c>
      <c r="AI425" s="655">
        <v>816088</v>
      </c>
      <c r="AJ425" s="655">
        <v>1511397</v>
      </c>
      <c r="AK425" s="655">
        <v>10014119</v>
      </c>
      <c r="AL425" s="655">
        <v>8186261</v>
      </c>
      <c r="AM425" s="655">
        <v>1827858</v>
      </c>
    </row>
    <row r="426" spans="1:39" x14ac:dyDescent="0.2">
      <c r="A426" s="648">
        <v>2014</v>
      </c>
      <c r="B426" s="648">
        <v>1</v>
      </c>
      <c r="C426" s="657" t="s">
        <v>166</v>
      </c>
      <c r="D426" s="648">
        <v>1863</v>
      </c>
      <c r="E426" s="648" t="s">
        <v>1092</v>
      </c>
      <c r="F426" s="655">
        <v>64425502</v>
      </c>
      <c r="G426" s="655">
        <v>0</v>
      </c>
      <c r="H426" s="655">
        <v>560020</v>
      </c>
      <c r="I426" s="655">
        <v>12265498</v>
      </c>
      <c r="J426" s="655">
        <v>5755296</v>
      </c>
      <c r="K426" s="655">
        <v>685677</v>
      </c>
      <c r="L426" s="655">
        <v>687149</v>
      </c>
      <c r="M426" s="655">
        <v>0</v>
      </c>
      <c r="N426" s="655">
        <v>3545832</v>
      </c>
      <c r="O426" s="655">
        <v>0</v>
      </c>
      <c r="P426" s="655">
        <v>617414</v>
      </c>
      <c r="Q426" s="655">
        <v>689380</v>
      </c>
      <c r="R426" s="655">
        <v>0</v>
      </c>
      <c r="S426" s="655">
        <v>348163</v>
      </c>
      <c r="T426" s="655">
        <v>37044</v>
      </c>
      <c r="U426" s="655">
        <v>3158195</v>
      </c>
      <c r="V426" s="655">
        <v>200612</v>
      </c>
      <c r="W426" s="655">
        <v>440603</v>
      </c>
      <c r="X426" s="655">
        <v>3402370</v>
      </c>
      <c r="Y426" s="655">
        <v>0</v>
      </c>
      <c r="Z426" s="655">
        <v>0</v>
      </c>
      <c r="AA426" s="655">
        <v>0</v>
      </c>
      <c r="AB426" s="655">
        <v>0</v>
      </c>
      <c r="AC426" s="655">
        <v>-8129</v>
      </c>
      <c r="AD426" s="655">
        <v>514177</v>
      </c>
      <c r="AE426" s="655">
        <v>96296449</v>
      </c>
      <c r="AF426" s="655">
        <v>2286194</v>
      </c>
      <c r="AG426" s="655">
        <v>4794546</v>
      </c>
      <c r="AH426" s="655">
        <v>0</v>
      </c>
      <c r="AI426" s="655">
        <v>14037973</v>
      </c>
      <c r="AJ426" s="655">
        <v>15664138</v>
      </c>
      <c r="AK426" s="655">
        <v>133079300</v>
      </c>
      <c r="AL426" s="655">
        <v>119847756</v>
      </c>
      <c r="AM426" s="655">
        <v>13231544</v>
      </c>
    </row>
    <row r="427" spans="1:39" x14ac:dyDescent="0.2">
      <c r="A427" s="648">
        <v>2014</v>
      </c>
      <c r="B427" s="648">
        <v>7</v>
      </c>
      <c r="C427" s="657" t="s">
        <v>167</v>
      </c>
      <c r="D427" s="648">
        <v>1908</v>
      </c>
      <c r="E427" s="648" t="s">
        <v>1093</v>
      </c>
      <c r="F427" s="655">
        <v>2917269</v>
      </c>
      <c r="G427" s="655">
        <v>0</v>
      </c>
      <c r="H427" s="655">
        <v>25408</v>
      </c>
      <c r="I427" s="655">
        <v>504983</v>
      </c>
      <c r="J427" s="655">
        <v>265457</v>
      </c>
      <c r="K427" s="655">
        <v>27457</v>
      </c>
      <c r="L427" s="655">
        <v>29487</v>
      </c>
      <c r="M427" s="655">
        <v>0</v>
      </c>
      <c r="N427" s="655">
        <v>152327</v>
      </c>
      <c r="O427" s="655">
        <v>1355</v>
      </c>
      <c r="P427" s="655">
        <v>24792</v>
      </c>
      <c r="Q427" s="655">
        <v>27709</v>
      </c>
      <c r="R427" s="655">
        <v>0</v>
      </c>
      <c r="S427" s="655">
        <v>19596</v>
      </c>
      <c r="T427" s="655">
        <v>2248</v>
      </c>
      <c r="U427" s="655">
        <v>0</v>
      </c>
      <c r="V427" s="655">
        <v>0</v>
      </c>
      <c r="W427" s="655">
        <v>3601</v>
      </c>
      <c r="X427" s="655">
        <v>0</v>
      </c>
      <c r="Y427" s="655">
        <v>151174</v>
      </c>
      <c r="Z427" s="655">
        <v>0</v>
      </c>
      <c r="AA427" s="655">
        <v>0</v>
      </c>
      <c r="AB427" s="655">
        <v>0</v>
      </c>
      <c r="AC427" s="655">
        <v>-12722</v>
      </c>
      <c r="AD427" s="655">
        <v>22973</v>
      </c>
      <c r="AE427" s="655">
        <v>3814820</v>
      </c>
      <c r="AF427" s="655">
        <v>76513</v>
      </c>
      <c r="AG427" s="655">
        <v>219029</v>
      </c>
      <c r="AH427" s="655">
        <v>0</v>
      </c>
      <c r="AI427" s="655">
        <v>573678</v>
      </c>
      <c r="AJ427" s="655">
        <v>996295</v>
      </c>
      <c r="AK427" s="655">
        <v>5680335</v>
      </c>
      <c r="AL427" s="655">
        <v>4752706</v>
      </c>
      <c r="AM427" s="655">
        <v>927629</v>
      </c>
    </row>
    <row r="428" spans="1:39" x14ac:dyDescent="0.2">
      <c r="A428" s="648">
        <v>2014</v>
      </c>
      <c r="B428" s="648">
        <v>13</v>
      </c>
      <c r="C428" s="657" t="s">
        <v>168</v>
      </c>
      <c r="D428" s="648">
        <v>1917</v>
      </c>
      <c r="E428" s="648" t="s">
        <v>1094</v>
      </c>
      <c r="F428" s="655">
        <v>2717599</v>
      </c>
      <c r="G428" s="655">
        <v>0</v>
      </c>
      <c r="H428" s="655">
        <v>104211</v>
      </c>
      <c r="I428" s="655">
        <v>511772</v>
      </c>
      <c r="J428" s="655">
        <v>266124</v>
      </c>
      <c r="K428" s="655">
        <v>32013</v>
      </c>
      <c r="L428" s="655">
        <v>29996</v>
      </c>
      <c r="M428" s="655">
        <v>0</v>
      </c>
      <c r="N428" s="655">
        <v>141805</v>
      </c>
      <c r="O428" s="655">
        <v>0</v>
      </c>
      <c r="P428" s="655">
        <v>22290</v>
      </c>
      <c r="Q428" s="655">
        <v>24653</v>
      </c>
      <c r="R428" s="655">
        <v>0</v>
      </c>
      <c r="S428" s="655">
        <v>14564</v>
      </c>
      <c r="T428" s="655">
        <v>1539</v>
      </c>
      <c r="U428" s="655">
        <v>0</v>
      </c>
      <c r="V428" s="655">
        <v>0</v>
      </c>
      <c r="W428" s="655">
        <v>33153</v>
      </c>
      <c r="X428" s="655">
        <v>0</v>
      </c>
      <c r="Y428" s="655">
        <v>40298</v>
      </c>
      <c r="Z428" s="655">
        <v>0</v>
      </c>
      <c r="AA428" s="655">
        <v>0</v>
      </c>
      <c r="AB428" s="655">
        <v>0</v>
      </c>
      <c r="AC428" s="655">
        <v>0</v>
      </c>
      <c r="AD428" s="655">
        <v>25701</v>
      </c>
      <c r="AE428" s="655">
        <v>3833720</v>
      </c>
      <c r="AF428" s="655">
        <v>70392</v>
      </c>
      <c r="AG428" s="655">
        <v>218604</v>
      </c>
      <c r="AH428" s="655">
        <v>0</v>
      </c>
      <c r="AI428" s="655">
        <v>558932</v>
      </c>
      <c r="AJ428" s="655">
        <v>1505215</v>
      </c>
      <c r="AK428" s="655">
        <v>6186863</v>
      </c>
      <c r="AL428" s="655">
        <v>5140297</v>
      </c>
      <c r="AM428" s="655">
        <v>1046566</v>
      </c>
    </row>
    <row r="429" spans="1:39" x14ac:dyDescent="0.2">
      <c r="A429" s="648">
        <v>2014</v>
      </c>
      <c r="B429" s="648">
        <v>9</v>
      </c>
      <c r="C429" s="657" t="s">
        <v>169</v>
      </c>
      <c r="D429" s="648">
        <v>1926</v>
      </c>
      <c r="E429" s="648" t="s">
        <v>1095</v>
      </c>
      <c r="F429" s="655">
        <v>3486822</v>
      </c>
      <c r="G429" s="655">
        <v>88491</v>
      </c>
      <c r="H429" s="655">
        <v>22096</v>
      </c>
      <c r="I429" s="655">
        <v>538502</v>
      </c>
      <c r="J429" s="655">
        <v>363042</v>
      </c>
      <c r="K429" s="655">
        <v>41072</v>
      </c>
      <c r="L429" s="655">
        <v>31910</v>
      </c>
      <c r="M429" s="655">
        <v>0</v>
      </c>
      <c r="N429" s="655">
        <v>176293</v>
      </c>
      <c r="O429" s="655">
        <v>2169</v>
      </c>
      <c r="P429" s="655">
        <v>28194</v>
      </c>
      <c r="Q429" s="655">
        <v>30736</v>
      </c>
      <c r="R429" s="655">
        <v>0</v>
      </c>
      <c r="S429" s="655">
        <v>15891</v>
      </c>
      <c r="T429" s="655">
        <v>1867</v>
      </c>
      <c r="U429" s="655">
        <v>74448</v>
      </c>
      <c r="V429" s="655">
        <v>0</v>
      </c>
      <c r="W429" s="655">
        <v>41440</v>
      </c>
      <c r="X429" s="655">
        <v>0</v>
      </c>
      <c r="Y429" s="655">
        <v>57780</v>
      </c>
      <c r="Z429" s="655">
        <v>0</v>
      </c>
      <c r="AA429" s="655">
        <v>0</v>
      </c>
      <c r="AB429" s="655">
        <v>0</v>
      </c>
      <c r="AC429" s="655">
        <v>0</v>
      </c>
      <c r="AD429" s="655">
        <v>27628</v>
      </c>
      <c r="AE429" s="655">
        <v>4857565</v>
      </c>
      <c r="AF429" s="655">
        <v>48968</v>
      </c>
      <c r="AG429" s="655">
        <v>284344</v>
      </c>
      <c r="AH429" s="655">
        <v>0</v>
      </c>
      <c r="AI429" s="655">
        <v>1290546</v>
      </c>
      <c r="AJ429" s="655">
        <v>1953403</v>
      </c>
      <c r="AK429" s="655">
        <v>8434826</v>
      </c>
      <c r="AL429" s="655">
        <v>6290221</v>
      </c>
      <c r="AM429" s="655">
        <v>2144605</v>
      </c>
    </row>
    <row r="430" spans="1:39" x14ac:dyDescent="0.2">
      <c r="A430" s="648">
        <v>2014</v>
      </c>
      <c r="B430" s="648">
        <v>7</v>
      </c>
      <c r="C430" s="657" t="s">
        <v>170</v>
      </c>
      <c r="D430" s="648">
        <v>6536</v>
      </c>
      <c r="E430" s="648" t="s">
        <v>639</v>
      </c>
      <c r="F430" s="655">
        <v>7523619</v>
      </c>
      <c r="G430" s="655">
        <v>75070</v>
      </c>
      <c r="H430" s="655">
        <v>53724</v>
      </c>
      <c r="I430" s="655">
        <v>1035963</v>
      </c>
      <c r="J430" s="655">
        <v>662628</v>
      </c>
      <c r="K430" s="655">
        <v>56230</v>
      </c>
      <c r="L430" s="655">
        <v>68929</v>
      </c>
      <c r="M430" s="655">
        <v>0</v>
      </c>
      <c r="N430" s="655">
        <v>375956</v>
      </c>
      <c r="O430" s="655">
        <v>0</v>
      </c>
      <c r="P430" s="655">
        <v>61879</v>
      </c>
      <c r="Q430" s="655">
        <v>69161</v>
      </c>
      <c r="R430" s="655">
        <v>0</v>
      </c>
      <c r="S430" s="655">
        <v>48507</v>
      </c>
      <c r="T430" s="655">
        <v>5566</v>
      </c>
      <c r="U430" s="655">
        <v>265665</v>
      </c>
      <c r="V430" s="655">
        <v>0</v>
      </c>
      <c r="W430" s="655">
        <v>87918</v>
      </c>
      <c r="X430" s="655">
        <v>149479</v>
      </c>
      <c r="Y430" s="655">
        <v>0</v>
      </c>
      <c r="Z430" s="655">
        <v>0</v>
      </c>
      <c r="AA430" s="655">
        <v>0</v>
      </c>
      <c r="AB430" s="655">
        <v>0</v>
      </c>
      <c r="AC430" s="655">
        <v>0</v>
      </c>
      <c r="AD430" s="655">
        <v>54340</v>
      </c>
      <c r="AE430" s="655">
        <v>10485954</v>
      </c>
      <c r="AF430" s="655">
        <v>0</v>
      </c>
      <c r="AG430" s="655">
        <v>573625</v>
      </c>
      <c r="AH430" s="655">
        <v>0</v>
      </c>
      <c r="AI430" s="655">
        <v>987071</v>
      </c>
      <c r="AJ430" s="655">
        <v>2545875</v>
      </c>
      <c r="AK430" s="655">
        <v>14592525</v>
      </c>
      <c r="AL430" s="655">
        <v>12276618</v>
      </c>
      <c r="AM430" s="655">
        <v>2315907</v>
      </c>
    </row>
    <row r="431" spans="1:39" x14ac:dyDescent="0.2">
      <c r="A431" s="648">
        <v>2014</v>
      </c>
      <c r="B431" s="648">
        <v>5</v>
      </c>
      <c r="C431" s="657" t="s">
        <v>171</v>
      </c>
      <c r="D431" s="648">
        <v>1944</v>
      </c>
      <c r="E431" s="648" t="s">
        <v>1096</v>
      </c>
      <c r="F431" s="655">
        <v>5204574</v>
      </c>
      <c r="G431" s="655">
        <v>0</v>
      </c>
      <c r="H431" s="655">
        <v>221566</v>
      </c>
      <c r="I431" s="655">
        <v>894298</v>
      </c>
      <c r="J431" s="655">
        <v>452445</v>
      </c>
      <c r="K431" s="655">
        <v>49360</v>
      </c>
      <c r="L431" s="655">
        <v>55800</v>
      </c>
      <c r="M431" s="655">
        <v>0</v>
      </c>
      <c r="N431" s="655">
        <v>272812</v>
      </c>
      <c r="O431" s="655">
        <v>0</v>
      </c>
      <c r="P431" s="655">
        <v>42168</v>
      </c>
      <c r="Q431" s="655">
        <v>47401</v>
      </c>
      <c r="R431" s="655">
        <v>4423</v>
      </c>
      <c r="S431" s="655">
        <v>29111</v>
      </c>
      <c r="T431" s="655">
        <v>3470</v>
      </c>
      <c r="U431" s="655">
        <v>255223</v>
      </c>
      <c r="V431" s="655">
        <v>9940</v>
      </c>
      <c r="W431" s="655">
        <v>97389</v>
      </c>
      <c r="X431" s="655">
        <v>88395</v>
      </c>
      <c r="Y431" s="655">
        <v>0</v>
      </c>
      <c r="Z431" s="655">
        <v>0</v>
      </c>
      <c r="AA431" s="655">
        <v>0</v>
      </c>
      <c r="AB431" s="655">
        <v>0</v>
      </c>
      <c r="AC431" s="655">
        <v>0</v>
      </c>
      <c r="AD431" s="655">
        <v>45100</v>
      </c>
      <c r="AE431" s="655">
        <v>7683275</v>
      </c>
      <c r="AF431" s="655">
        <v>128541</v>
      </c>
      <c r="AG431" s="655">
        <v>273641</v>
      </c>
      <c r="AH431" s="655">
        <v>0</v>
      </c>
      <c r="AI431" s="655">
        <v>1220733</v>
      </c>
      <c r="AJ431" s="655">
        <v>883277</v>
      </c>
      <c r="AK431" s="655">
        <v>10189467</v>
      </c>
      <c r="AL431" s="655">
        <v>9109970</v>
      </c>
      <c r="AM431" s="655">
        <v>1079497</v>
      </c>
    </row>
    <row r="432" spans="1:39" x14ac:dyDescent="0.2">
      <c r="A432" s="648">
        <v>2014</v>
      </c>
      <c r="B432" s="648">
        <v>11</v>
      </c>
      <c r="C432" s="657" t="s">
        <v>172</v>
      </c>
      <c r="D432" s="648">
        <v>1953</v>
      </c>
      <c r="E432" s="648" t="s">
        <v>1097</v>
      </c>
      <c r="F432" s="655">
        <v>3778493</v>
      </c>
      <c r="G432" s="655">
        <v>0</v>
      </c>
      <c r="H432" s="655">
        <v>95971</v>
      </c>
      <c r="I432" s="655">
        <v>369953</v>
      </c>
      <c r="J432" s="655">
        <v>346886</v>
      </c>
      <c r="K432" s="655">
        <v>34698</v>
      </c>
      <c r="L432" s="655">
        <v>39594</v>
      </c>
      <c r="M432" s="655">
        <v>0</v>
      </c>
      <c r="N432" s="655">
        <v>176938</v>
      </c>
      <c r="O432" s="655">
        <v>0</v>
      </c>
      <c r="P432" s="655">
        <v>30875</v>
      </c>
      <c r="Q432" s="655">
        <v>33879</v>
      </c>
      <c r="R432" s="655">
        <v>0</v>
      </c>
      <c r="S432" s="655">
        <v>14300</v>
      </c>
      <c r="T432" s="655">
        <v>1830</v>
      </c>
      <c r="U432" s="655">
        <v>126212</v>
      </c>
      <c r="V432" s="655">
        <v>0</v>
      </c>
      <c r="W432" s="655">
        <v>167715</v>
      </c>
      <c r="X432" s="655">
        <v>94866</v>
      </c>
      <c r="Y432" s="655">
        <v>0</v>
      </c>
      <c r="Z432" s="655">
        <v>0</v>
      </c>
      <c r="AA432" s="655">
        <v>0</v>
      </c>
      <c r="AB432" s="655">
        <v>0</v>
      </c>
      <c r="AC432" s="655">
        <v>0</v>
      </c>
      <c r="AD432" s="655">
        <v>22833</v>
      </c>
      <c r="AE432" s="655">
        <v>5289377</v>
      </c>
      <c r="AF432" s="655">
        <v>0</v>
      </c>
      <c r="AG432" s="655">
        <v>273865</v>
      </c>
      <c r="AH432" s="655">
        <v>0</v>
      </c>
      <c r="AI432" s="655">
        <v>729290</v>
      </c>
      <c r="AJ432" s="655">
        <v>2069802</v>
      </c>
      <c r="AK432" s="655">
        <v>8362334</v>
      </c>
      <c r="AL432" s="655">
        <v>6616025</v>
      </c>
      <c r="AM432" s="655">
        <v>1746309</v>
      </c>
    </row>
    <row r="433" spans="1:39" x14ac:dyDescent="0.2">
      <c r="A433" s="648">
        <v>2014</v>
      </c>
      <c r="B433" s="648">
        <v>7</v>
      </c>
      <c r="C433" s="657" t="s">
        <v>173</v>
      </c>
      <c r="D433" s="648">
        <v>1963</v>
      </c>
      <c r="E433" s="648" t="s">
        <v>1098</v>
      </c>
      <c r="F433" s="655">
        <v>3417966</v>
      </c>
      <c r="G433" s="655">
        <v>0</v>
      </c>
      <c r="H433" s="655">
        <v>50333</v>
      </c>
      <c r="I433" s="655">
        <v>676615</v>
      </c>
      <c r="J433" s="655">
        <v>327435</v>
      </c>
      <c r="K433" s="655">
        <v>32432</v>
      </c>
      <c r="L433" s="655">
        <v>33962</v>
      </c>
      <c r="M433" s="655">
        <v>0</v>
      </c>
      <c r="N433" s="655">
        <v>182253</v>
      </c>
      <c r="O433" s="655">
        <v>1123</v>
      </c>
      <c r="P433" s="655">
        <v>28370</v>
      </c>
      <c r="Q433" s="655">
        <v>31708</v>
      </c>
      <c r="R433" s="655">
        <v>0</v>
      </c>
      <c r="S433" s="655">
        <v>23686</v>
      </c>
      <c r="T433" s="655">
        <v>2718</v>
      </c>
      <c r="U433" s="655">
        <v>68786</v>
      </c>
      <c r="V433" s="655">
        <v>0</v>
      </c>
      <c r="W433" s="655">
        <v>84242</v>
      </c>
      <c r="X433" s="655">
        <v>0</v>
      </c>
      <c r="Y433" s="655">
        <v>151599</v>
      </c>
      <c r="Z433" s="655">
        <v>0</v>
      </c>
      <c r="AA433" s="655">
        <v>0</v>
      </c>
      <c r="AB433" s="655">
        <v>0</v>
      </c>
      <c r="AC433" s="655">
        <v>-6001</v>
      </c>
      <c r="AD433" s="655">
        <v>28849</v>
      </c>
      <c r="AE433" s="655">
        <v>4775180</v>
      </c>
      <c r="AF433" s="655">
        <v>104057</v>
      </c>
      <c r="AG433" s="655">
        <v>259868</v>
      </c>
      <c r="AH433" s="655">
        <v>0</v>
      </c>
      <c r="AI433" s="655">
        <v>921468</v>
      </c>
      <c r="AJ433" s="655">
        <v>1079164</v>
      </c>
      <c r="AK433" s="655">
        <v>7139737</v>
      </c>
      <c r="AL433" s="655">
        <v>6105891</v>
      </c>
      <c r="AM433" s="655">
        <v>1033846</v>
      </c>
    </row>
    <row r="434" spans="1:39" x14ac:dyDescent="0.2">
      <c r="A434" s="648">
        <v>2014</v>
      </c>
      <c r="B434" s="648">
        <v>9</v>
      </c>
      <c r="C434" s="657" t="s">
        <v>174</v>
      </c>
      <c r="D434" s="648">
        <v>1965</v>
      </c>
      <c r="E434" s="648" t="s">
        <v>1524</v>
      </c>
      <c r="F434" s="655">
        <v>4110252</v>
      </c>
      <c r="G434" s="655">
        <v>65178</v>
      </c>
      <c r="H434" s="655">
        <v>107546</v>
      </c>
      <c r="I434" s="655">
        <v>634442</v>
      </c>
      <c r="J434" s="655">
        <v>364173</v>
      </c>
      <c r="K434" s="655">
        <v>39807</v>
      </c>
      <c r="L434" s="655">
        <v>36116</v>
      </c>
      <c r="M434" s="655">
        <v>0</v>
      </c>
      <c r="N434" s="655">
        <v>209360</v>
      </c>
      <c r="O434" s="655">
        <v>9917</v>
      </c>
      <c r="P434" s="655">
        <v>33832</v>
      </c>
      <c r="Q434" s="655">
        <v>36883</v>
      </c>
      <c r="R434" s="655">
        <v>0</v>
      </c>
      <c r="S434" s="655">
        <v>18697</v>
      </c>
      <c r="T434" s="655">
        <v>2194</v>
      </c>
      <c r="U434" s="655">
        <v>9150</v>
      </c>
      <c r="V434" s="655">
        <v>0</v>
      </c>
      <c r="W434" s="655">
        <v>114019</v>
      </c>
      <c r="X434" s="655">
        <v>118924</v>
      </c>
      <c r="Y434" s="655">
        <v>0</v>
      </c>
      <c r="Z434" s="655">
        <v>0</v>
      </c>
      <c r="AA434" s="655">
        <v>0</v>
      </c>
      <c r="AB434" s="655">
        <v>0</v>
      </c>
      <c r="AC434" s="655">
        <v>-18003</v>
      </c>
      <c r="AD434" s="655">
        <v>35711</v>
      </c>
      <c r="AE434" s="655">
        <v>5856776</v>
      </c>
      <c r="AF434" s="655">
        <v>52029</v>
      </c>
      <c r="AG434" s="655">
        <v>315370</v>
      </c>
      <c r="AH434" s="655">
        <v>0</v>
      </c>
      <c r="AI434" s="655">
        <v>506742</v>
      </c>
      <c r="AJ434" s="655">
        <v>1767059</v>
      </c>
      <c r="AK434" s="655">
        <v>8497976</v>
      </c>
      <c r="AL434" s="655">
        <v>6792429</v>
      </c>
      <c r="AM434" s="655">
        <v>1705547</v>
      </c>
    </row>
    <row r="435" spans="1:39" x14ac:dyDescent="0.2">
      <c r="A435" s="648">
        <v>2014</v>
      </c>
      <c r="B435" s="648">
        <v>13</v>
      </c>
      <c r="C435" s="657" t="s">
        <v>175</v>
      </c>
      <c r="D435" s="648">
        <v>1970</v>
      </c>
      <c r="E435" s="648" t="s">
        <v>1099</v>
      </c>
      <c r="F435" s="655">
        <v>3016581</v>
      </c>
      <c r="G435" s="655">
        <v>0</v>
      </c>
      <c r="H435" s="655">
        <v>31807</v>
      </c>
      <c r="I435" s="655">
        <v>237074</v>
      </c>
      <c r="J435" s="655">
        <v>269445</v>
      </c>
      <c r="K435" s="655">
        <v>25704</v>
      </c>
      <c r="L435" s="655">
        <v>32473</v>
      </c>
      <c r="M435" s="655">
        <v>0</v>
      </c>
      <c r="N435" s="655">
        <v>142499</v>
      </c>
      <c r="O435" s="655">
        <v>6597</v>
      </c>
      <c r="P435" s="655">
        <v>25045</v>
      </c>
      <c r="Q435" s="655">
        <v>27700</v>
      </c>
      <c r="R435" s="655">
        <v>0</v>
      </c>
      <c r="S435" s="655">
        <v>14635</v>
      </c>
      <c r="T435" s="655">
        <v>1546</v>
      </c>
      <c r="U435" s="655">
        <v>147884</v>
      </c>
      <c r="V435" s="655">
        <v>0</v>
      </c>
      <c r="W435" s="655">
        <v>153011</v>
      </c>
      <c r="X435" s="655">
        <v>283126</v>
      </c>
      <c r="Y435" s="655">
        <v>0</v>
      </c>
      <c r="Z435" s="655">
        <v>0</v>
      </c>
      <c r="AA435" s="655">
        <v>0</v>
      </c>
      <c r="AB435" s="655">
        <v>0</v>
      </c>
      <c r="AC435" s="655">
        <v>-241</v>
      </c>
      <c r="AD435" s="655">
        <v>25766</v>
      </c>
      <c r="AE435" s="655">
        <v>4389120</v>
      </c>
      <c r="AF435" s="655">
        <v>113239</v>
      </c>
      <c r="AG435" s="655">
        <v>224434</v>
      </c>
      <c r="AH435" s="655">
        <v>0</v>
      </c>
      <c r="AI435" s="655">
        <v>760556</v>
      </c>
      <c r="AJ435" s="655">
        <v>890873</v>
      </c>
      <c r="AK435" s="655">
        <v>6378222</v>
      </c>
      <c r="AL435" s="655">
        <v>5889954</v>
      </c>
      <c r="AM435" s="655">
        <v>488268</v>
      </c>
    </row>
    <row r="436" spans="1:39" x14ac:dyDescent="0.2">
      <c r="A436" s="648">
        <v>2014</v>
      </c>
      <c r="B436" s="648">
        <v>1</v>
      </c>
      <c r="C436" s="657" t="s">
        <v>176</v>
      </c>
      <c r="D436" s="648">
        <v>1972</v>
      </c>
      <c r="E436" s="648" t="s">
        <v>1100</v>
      </c>
      <c r="F436" s="655">
        <v>2307617</v>
      </c>
      <c r="G436" s="655">
        <v>19811</v>
      </c>
      <c r="H436" s="655">
        <v>141793</v>
      </c>
      <c r="I436" s="655">
        <v>206706</v>
      </c>
      <c r="J436" s="655">
        <v>227002</v>
      </c>
      <c r="K436" s="655">
        <v>21195</v>
      </c>
      <c r="L436" s="655">
        <v>26051</v>
      </c>
      <c r="M436" s="655">
        <v>0</v>
      </c>
      <c r="N436" s="655">
        <v>116383</v>
      </c>
      <c r="O436" s="655">
        <v>11844</v>
      </c>
      <c r="P436" s="655">
        <v>19086</v>
      </c>
      <c r="Q436" s="655">
        <v>21311</v>
      </c>
      <c r="R436" s="655">
        <v>0</v>
      </c>
      <c r="S436" s="655">
        <v>11806</v>
      </c>
      <c r="T436" s="655">
        <v>1255</v>
      </c>
      <c r="U436" s="655">
        <v>92757</v>
      </c>
      <c r="V436" s="655">
        <v>0</v>
      </c>
      <c r="W436" s="655">
        <v>24004</v>
      </c>
      <c r="X436" s="655">
        <v>0</v>
      </c>
      <c r="Y436" s="655">
        <v>11399</v>
      </c>
      <c r="Z436" s="655">
        <v>0</v>
      </c>
      <c r="AA436" s="655">
        <v>0</v>
      </c>
      <c r="AB436" s="655">
        <v>0</v>
      </c>
      <c r="AC436" s="655">
        <v>0</v>
      </c>
      <c r="AD436" s="655">
        <v>23749</v>
      </c>
      <c r="AE436" s="655">
        <v>3213473</v>
      </c>
      <c r="AF436" s="655">
        <v>64271</v>
      </c>
      <c r="AG436" s="655">
        <v>198041</v>
      </c>
      <c r="AH436" s="655">
        <v>0</v>
      </c>
      <c r="AI436" s="655">
        <v>515836</v>
      </c>
      <c r="AJ436" s="655">
        <v>1862787</v>
      </c>
      <c r="AK436" s="655">
        <v>5854408</v>
      </c>
      <c r="AL436" s="655">
        <v>4130696</v>
      </c>
      <c r="AM436" s="655">
        <v>1723712</v>
      </c>
    </row>
    <row r="437" spans="1:39" x14ac:dyDescent="0.2">
      <c r="A437" s="648">
        <v>2014</v>
      </c>
      <c r="B437" s="648">
        <v>12</v>
      </c>
      <c r="C437" s="657" t="s">
        <v>177</v>
      </c>
      <c r="D437" s="648">
        <v>1975</v>
      </c>
      <c r="E437" s="648" t="s">
        <v>1101</v>
      </c>
      <c r="F437" s="655">
        <v>2572761</v>
      </c>
      <c r="G437" s="655">
        <v>0</v>
      </c>
      <c r="H437" s="655">
        <v>18733</v>
      </c>
      <c r="I437" s="655">
        <v>346039</v>
      </c>
      <c r="J437" s="655">
        <v>242834</v>
      </c>
      <c r="K437" s="655">
        <v>26420</v>
      </c>
      <c r="L437" s="655">
        <v>29820</v>
      </c>
      <c r="M437" s="655">
        <v>0</v>
      </c>
      <c r="N437" s="655">
        <v>131279</v>
      </c>
      <c r="O437" s="655">
        <v>2615</v>
      </c>
      <c r="P437" s="655">
        <v>21155</v>
      </c>
      <c r="Q437" s="655">
        <v>23772</v>
      </c>
      <c r="R437" s="655">
        <v>0</v>
      </c>
      <c r="S437" s="655">
        <v>13170</v>
      </c>
      <c r="T437" s="655">
        <v>1576</v>
      </c>
      <c r="U437" s="655">
        <v>50935</v>
      </c>
      <c r="V437" s="655">
        <v>0</v>
      </c>
      <c r="W437" s="655">
        <v>79659</v>
      </c>
      <c r="X437" s="655">
        <v>0</v>
      </c>
      <c r="Y437" s="655">
        <v>36002</v>
      </c>
      <c r="Z437" s="655">
        <v>0</v>
      </c>
      <c r="AA437" s="655">
        <v>0</v>
      </c>
      <c r="AB437" s="655">
        <v>0</v>
      </c>
      <c r="AC437" s="655">
        <v>0</v>
      </c>
      <c r="AD437" s="655">
        <v>24876</v>
      </c>
      <c r="AE437" s="655">
        <v>3499890</v>
      </c>
      <c r="AF437" s="655">
        <v>79573</v>
      </c>
      <c r="AG437" s="655">
        <v>212999</v>
      </c>
      <c r="AH437" s="655">
        <v>0</v>
      </c>
      <c r="AI437" s="655">
        <v>665239</v>
      </c>
      <c r="AJ437" s="655">
        <v>1311909</v>
      </c>
      <c r="AK437" s="655">
        <v>5769610</v>
      </c>
      <c r="AL437" s="655">
        <v>4596277</v>
      </c>
      <c r="AM437" s="655">
        <v>1173333</v>
      </c>
    </row>
    <row r="438" spans="1:39" x14ac:dyDescent="0.2">
      <c r="A438" s="648">
        <v>2014</v>
      </c>
      <c r="B438" s="648">
        <v>1</v>
      </c>
      <c r="C438" s="657" t="s">
        <v>178</v>
      </c>
      <c r="D438" s="648">
        <v>1989</v>
      </c>
      <c r="E438" s="648" t="s">
        <v>1102</v>
      </c>
      <c r="F438" s="655">
        <v>2632642</v>
      </c>
      <c r="G438" s="655">
        <v>162090</v>
      </c>
      <c r="H438" s="655">
        <v>50284</v>
      </c>
      <c r="I438" s="655">
        <v>244105</v>
      </c>
      <c r="J438" s="655">
        <v>264432</v>
      </c>
      <c r="K438" s="655">
        <v>29460</v>
      </c>
      <c r="L438" s="655">
        <v>31572</v>
      </c>
      <c r="M438" s="655">
        <v>0</v>
      </c>
      <c r="N438" s="655">
        <v>133159</v>
      </c>
      <c r="O438" s="655">
        <v>10360</v>
      </c>
      <c r="P438" s="655">
        <v>22712</v>
      </c>
      <c r="Q438" s="655">
        <v>25360</v>
      </c>
      <c r="R438" s="655">
        <v>0</v>
      </c>
      <c r="S438" s="655">
        <v>13761</v>
      </c>
      <c r="T438" s="655">
        <v>1463</v>
      </c>
      <c r="U438" s="655">
        <v>0</v>
      </c>
      <c r="V438" s="655">
        <v>0</v>
      </c>
      <c r="W438" s="655">
        <v>18003</v>
      </c>
      <c r="X438" s="655">
        <v>0</v>
      </c>
      <c r="Y438" s="655">
        <v>0</v>
      </c>
      <c r="Z438" s="655">
        <v>0</v>
      </c>
      <c r="AA438" s="655">
        <v>0</v>
      </c>
      <c r="AB438" s="655">
        <v>0</v>
      </c>
      <c r="AC438" s="655">
        <v>0</v>
      </c>
      <c r="AD438" s="655">
        <v>27107</v>
      </c>
      <c r="AE438" s="655">
        <v>3612296</v>
      </c>
      <c r="AF438" s="655">
        <v>76513</v>
      </c>
      <c r="AG438" s="655">
        <v>210555</v>
      </c>
      <c r="AH438" s="655">
        <v>0</v>
      </c>
      <c r="AI438" s="655">
        <v>1500162</v>
      </c>
      <c r="AJ438" s="655">
        <v>2235550</v>
      </c>
      <c r="AK438" s="655">
        <v>7635076</v>
      </c>
      <c r="AL438" s="655">
        <v>5417569</v>
      </c>
      <c r="AM438" s="655">
        <v>2217507</v>
      </c>
    </row>
    <row r="439" spans="1:39" x14ac:dyDescent="0.2">
      <c r="A439" s="648">
        <v>2014</v>
      </c>
      <c r="B439" s="648">
        <v>7</v>
      </c>
      <c r="C439" s="657" t="s">
        <v>179</v>
      </c>
      <c r="D439" s="648">
        <v>2007</v>
      </c>
      <c r="E439" s="648" t="s">
        <v>1103</v>
      </c>
      <c r="F439" s="655">
        <v>3952330</v>
      </c>
      <c r="G439" s="655">
        <v>0</v>
      </c>
      <c r="H439" s="655">
        <v>91307</v>
      </c>
      <c r="I439" s="655">
        <v>1023125</v>
      </c>
      <c r="J439" s="655">
        <v>359293</v>
      </c>
      <c r="K439" s="655">
        <v>41938</v>
      </c>
      <c r="L439" s="655">
        <v>41299</v>
      </c>
      <c r="M439" s="655">
        <v>0</v>
      </c>
      <c r="N439" s="655">
        <v>221461</v>
      </c>
      <c r="O439" s="655">
        <v>0</v>
      </c>
      <c r="P439" s="655">
        <v>33157</v>
      </c>
      <c r="Q439" s="655">
        <v>37059</v>
      </c>
      <c r="R439" s="655">
        <v>0</v>
      </c>
      <c r="S439" s="655">
        <v>28490</v>
      </c>
      <c r="T439" s="655">
        <v>3268</v>
      </c>
      <c r="U439" s="655">
        <v>193742</v>
      </c>
      <c r="V439" s="655">
        <v>0</v>
      </c>
      <c r="W439" s="655">
        <v>93016</v>
      </c>
      <c r="X439" s="655">
        <v>0</v>
      </c>
      <c r="Y439" s="655">
        <v>0</v>
      </c>
      <c r="Z439" s="655">
        <v>0</v>
      </c>
      <c r="AA439" s="655">
        <v>0</v>
      </c>
      <c r="AB439" s="655">
        <v>0</v>
      </c>
      <c r="AC439" s="655">
        <v>0</v>
      </c>
      <c r="AD439" s="655">
        <v>31253</v>
      </c>
      <c r="AE439" s="655">
        <v>6088232</v>
      </c>
      <c r="AF439" s="655">
        <v>116299</v>
      </c>
      <c r="AG439" s="655">
        <v>287769</v>
      </c>
      <c r="AH439" s="655">
        <v>0</v>
      </c>
      <c r="AI439" s="655">
        <v>1564009</v>
      </c>
      <c r="AJ439" s="655">
        <v>335365</v>
      </c>
      <c r="AK439" s="655">
        <v>8391674</v>
      </c>
      <c r="AL439" s="655">
        <v>7878338</v>
      </c>
      <c r="AM439" s="655">
        <v>513336</v>
      </c>
    </row>
    <row r="440" spans="1:39" x14ac:dyDescent="0.2">
      <c r="A440" s="648">
        <v>2014</v>
      </c>
      <c r="B440" s="648">
        <v>5</v>
      </c>
      <c r="C440" s="657" t="s">
        <v>180</v>
      </c>
      <c r="D440" s="648">
        <v>2088</v>
      </c>
      <c r="E440" s="648" t="s">
        <v>1104</v>
      </c>
      <c r="F440" s="655">
        <v>4167870</v>
      </c>
      <c r="G440" s="655">
        <v>0</v>
      </c>
      <c r="H440" s="655">
        <v>54885</v>
      </c>
      <c r="I440" s="655">
        <v>574948</v>
      </c>
      <c r="J440" s="655">
        <v>352540</v>
      </c>
      <c r="K440" s="655">
        <v>41345</v>
      </c>
      <c r="L440" s="655">
        <v>42126</v>
      </c>
      <c r="M440" s="655">
        <v>0</v>
      </c>
      <c r="N440" s="655">
        <v>211984</v>
      </c>
      <c r="O440" s="655">
        <v>2463</v>
      </c>
      <c r="P440" s="655">
        <v>37931</v>
      </c>
      <c r="Q440" s="655">
        <v>42638</v>
      </c>
      <c r="R440" s="655">
        <v>3399</v>
      </c>
      <c r="S440" s="655">
        <v>22620</v>
      </c>
      <c r="T440" s="655">
        <v>2697</v>
      </c>
      <c r="U440" s="655">
        <v>194285</v>
      </c>
      <c r="V440" s="655">
        <v>0</v>
      </c>
      <c r="W440" s="655">
        <v>9491</v>
      </c>
      <c r="X440" s="655">
        <v>170117</v>
      </c>
      <c r="Y440" s="655">
        <v>0</v>
      </c>
      <c r="Z440" s="655">
        <v>0</v>
      </c>
      <c r="AA440" s="655">
        <v>0</v>
      </c>
      <c r="AB440" s="655">
        <v>0</v>
      </c>
      <c r="AC440" s="655">
        <v>-796</v>
      </c>
      <c r="AD440" s="655">
        <v>39116</v>
      </c>
      <c r="AE440" s="655">
        <v>5891427</v>
      </c>
      <c r="AF440" s="655">
        <v>180570</v>
      </c>
      <c r="AG440" s="655">
        <v>348101</v>
      </c>
      <c r="AH440" s="655">
        <v>0</v>
      </c>
      <c r="AI440" s="655">
        <v>1355087</v>
      </c>
      <c r="AJ440" s="655">
        <v>2063122</v>
      </c>
      <c r="AK440" s="655">
        <v>9838307</v>
      </c>
      <c r="AL440" s="655">
        <v>8133984</v>
      </c>
      <c r="AM440" s="655">
        <v>1704323</v>
      </c>
    </row>
    <row r="441" spans="1:39" x14ac:dyDescent="0.2">
      <c r="A441" s="648">
        <v>2014</v>
      </c>
      <c r="B441" s="648">
        <v>10</v>
      </c>
      <c r="C441" s="657" t="s">
        <v>181</v>
      </c>
      <c r="D441" s="648">
        <v>2097</v>
      </c>
      <c r="E441" s="648" t="s">
        <v>2008</v>
      </c>
      <c r="F441" s="655">
        <v>2891979</v>
      </c>
      <c r="G441" s="655">
        <v>158827</v>
      </c>
      <c r="H441" s="655">
        <v>46325</v>
      </c>
      <c r="I441" s="655">
        <v>333919</v>
      </c>
      <c r="J441" s="655">
        <v>306973</v>
      </c>
      <c r="K441" s="655">
        <v>32140</v>
      </c>
      <c r="L441" s="655">
        <v>32747</v>
      </c>
      <c r="M441" s="655">
        <v>0</v>
      </c>
      <c r="N441" s="655">
        <v>139666</v>
      </c>
      <c r="O441" s="655">
        <v>35520</v>
      </c>
      <c r="P441" s="655">
        <v>23788</v>
      </c>
      <c r="Q441" s="655">
        <v>26125</v>
      </c>
      <c r="R441" s="655">
        <v>0</v>
      </c>
      <c r="S441" s="655">
        <v>13581</v>
      </c>
      <c r="T441" s="655">
        <v>1580</v>
      </c>
      <c r="U441" s="655">
        <v>141798</v>
      </c>
      <c r="V441" s="655">
        <v>0</v>
      </c>
      <c r="W441" s="655">
        <v>39607</v>
      </c>
      <c r="X441" s="655">
        <v>202015</v>
      </c>
      <c r="Y441" s="655">
        <v>0</v>
      </c>
      <c r="Z441" s="655">
        <v>0</v>
      </c>
      <c r="AA441" s="655">
        <v>0</v>
      </c>
      <c r="AB441" s="655">
        <v>0</v>
      </c>
      <c r="AC441" s="655">
        <v>0</v>
      </c>
      <c r="AD441" s="655">
        <v>31450</v>
      </c>
      <c r="AE441" s="655">
        <v>4395140</v>
      </c>
      <c r="AF441" s="655">
        <v>79573</v>
      </c>
      <c r="AG441" s="655">
        <v>243394</v>
      </c>
      <c r="AH441" s="655">
        <v>0</v>
      </c>
      <c r="AI441" s="655">
        <v>711180</v>
      </c>
      <c r="AJ441" s="655">
        <v>2688957</v>
      </c>
      <c r="AK441" s="655">
        <v>8118244</v>
      </c>
      <c r="AL441" s="655">
        <v>5930905</v>
      </c>
      <c r="AM441" s="655">
        <v>2187339</v>
      </c>
    </row>
    <row r="442" spans="1:39" x14ac:dyDescent="0.2">
      <c r="A442" s="648">
        <v>2014</v>
      </c>
      <c r="B442" s="648">
        <v>13</v>
      </c>
      <c r="C442" s="657" t="s">
        <v>182</v>
      </c>
      <c r="D442" s="648">
        <v>2113</v>
      </c>
      <c r="E442" s="648" t="s">
        <v>1105</v>
      </c>
      <c r="F442" s="655">
        <v>1317239</v>
      </c>
      <c r="G442" s="655">
        <v>84672</v>
      </c>
      <c r="H442" s="655">
        <v>137765</v>
      </c>
      <c r="I442" s="655">
        <v>125603</v>
      </c>
      <c r="J442" s="655">
        <v>138724</v>
      </c>
      <c r="K442" s="655">
        <v>13212</v>
      </c>
      <c r="L442" s="655">
        <v>20107</v>
      </c>
      <c r="M442" s="655">
        <v>0</v>
      </c>
      <c r="N442" s="655">
        <v>63439</v>
      </c>
      <c r="O442" s="655">
        <v>9706</v>
      </c>
      <c r="P442" s="655">
        <v>10870</v>
      </c>
      <c r="Q442" s="655">
        <v>12022</v>
      </c>
      <c r="R442" s="655">
        <v>0</v>
      </c>
      <c r="S442" s="655">
        <v>6902</v>
      </c>
      <c r="T442" s="655">
        <v>728</v>
      </c>
      <c r="U442" s="655">
        <v>64571</v>
      </c>
      <c r="V442" s="655">
        <v>0</v>
      </c>
      <c r="W442" s="655">
        <v>132214</v>
      </c>
      <c r="X442" s="655">
        <v>121242</v>
      </c>
      <c r="Y442" s="655">
        <v>0</v>
      </c>
      <c r="Z442" s="655">
        <v>0</v>
      </c>
      <c r="AA442" s="655">
        <v>0</v>
      </c>
      <c r="AB442" s="655">
        <v>0</v>
      </c>
      <c r="AC442" s="655">
        <v>-60</v>
      </c>
      <c r="AD442" s="655">
        <v>12000</v>
      </c>
      <c r="AE442" s="655">
        <v>2246956</v>
      </c>
      <c r="AF442" s="655">
        <v>0</v>
      </c>
      <c r="AG442" s="655">
        <v>112321</v>
      </c>
      <c r="AH442" s="655">
        <v>0</v>
      </c>
      <c r="AI442" s="655">
        <v>559942</v>
      </c>
      <c r="AJ442" s="655">
        <v>386497</v>
      </c>
      <c r="AK442" s="655">
        <v>3305716</v>
      </c>
      <c r="AL442" s="655">
        <v>2854960</v>
      </c>
      <c r="AM442" s="655">
        <v>450756</v>
      </c>
    </row>
    <row r="443" spans="1:39" x14ac:dyDescent="0.2">
      <c r="A443" s="648">
        <v>2014</v>
      </c>
      <c r="B443" s="648">
        <v>5</v>
      </c>
      <c r="C443" s="657" t="s">
        <v>183</v>
      </c>
      <c r="D443" s="648">
        <v>2124</v>
      </c>
      <c r="E443" s="648" t="s">
        <v>1106</v>
      </c>
      <c r="F443" s="655">
        <v>8293789</v>
      </c>
      <c r="G443" s="655">
        <v>0</v>
      </c>
      <c r="H443" s="655">
        <v>259422</v>
      </c>
      <c r="I443" s="655">
        <v>1110791</v>
      </c>
      <c r="J443" s="655">
        <v>721448</v>
      </c>
      <c r="K443" s="655">
        <v>80736</v>
      </c>
      <c r="L443" s="655">
        <v>92125</v>
      </c>
      <c r="M443" s="655">
        <v>0</v>
      </c>
      <c r="N443" s="655">
        <v>427534</v>
      </c>
      <c r="O443" s="655">
        <v>0</v>
      </c>
      <c r="P443" s="655">
        <v>68195</v>
      </c>
      <c r="Q443" s="655">
        <v>76658</v>
      </c>
      <c r="R443" s="655">
        <v>6893</v>
      </c>
      <c r="S443" s="655">
        <v>45621</v>
      </c>
      <c r="T443" s="655">
        <v>5438</v>
      </c>
      <c r="U443" s="655">
        <v>155140</v>
      </c>
      <c r="V443" s="655">
        <v>0</v>
      </c>
      <c r="W443" s="655">
        <v>171892</v>
      </c>
      <c r="X443" s="655">
        <v>339622</v>
      </c>
      <c r="Y443" s="655">
        <v>0</v>
      </c>
      <c r="Z443" s="655">
        <v>0</v>
      </c>
      <c r="AA443" s="655">
        <v>0</v>
      </c>
      <c r="AB443" s="655">
        <v>0</v>
      </c>
      <c r="AC443" s="655">
        <v>-20043</v>
      </c>
      <c r="AD443" s="655">
        <v>70397</v>
      </c>
      <c r="AE443" s="655">
        <v>11764864</v>
      </c>
      <c r="AF443" s="655">
        <v>275445</v>
      </c>
      <c r="AG443" s="655">
        <v>577994</v>
      </c>
      <c r="AH443" s="655">
        <v>0</v>
      </c>
      <c r="AI443" s="655">
        <v>1287646</v>
      </c>
      <c r="AJ443" s="655">
        <v>2154154</v>
      </c>
      <c r="AK443" s="655">
        <v>16060103</v>
      </c>
      <c r="AL443" s="655">
        <v>13807376</v>
      </c>
      <c r="AM443" s="655">
        <v>2252727</v>
      </c>
    </row>
    <row r="444" spans="1:39" x14ac:dyDescent="0.2">
      <c r="A444" s="648">
        <v>2014</v>
      </c>
      <c r="B444" s="648">
        <v>11</v>
      </c>
      <c r="C444" s="657" t="s">
        <v>184</v>
      </c>
      <c r="D444" s="648">
        <v>2151</v>
      </c>
      <c r="E444" s="648" t="s">
        <v>1637</v>
      </c>
      <c r="F444" s="655">
        <v>2772187</v>
      </c>
      <c r="G444" s="655">
        <v>118921</v>
      </c>
      <c r="H444" s="655">
        <v>196599</v>
      </c>
      <c r="I444" s="655">
        <v>332967</v>
      </c>
      <c r="J444" s="655">
        <v>284177</v>
      </c>
      <c r="K444" s="655">
        <v>29731</v>
      </c>
      <c r="L444" s="655">
        <v>28054</v>
      </c>
      <c r="M444" s="655">
        <v>0</v>
      </c>
      <c r="N444" s="655">
        <v>132668</v>
      </c>
      <c r="O444" s="655">
        <v>22863</v>
      </c>
      <c r="P444" s="655">
        <v>22361</v>
      </c>
      <c r="Q444" s="655">
        <v>24635</v>
      </c>
      <c r="R444" s="655">
        <v>0</v>
      </c>
      <c r="S444" s="655">
        <v>12434</v>
      </c>
      <c r="T444" s="655">
        <v>1434</v>
      </c>
      <c r="U444" s="655">
        <v>55996</v>
      </c>
      <c r="V444" s="655">
        <v>0</v>
      </c>
      <c r="W444" s="655">
        <v>83414</v>
      </c>
      <c r="X444" s="655">
        <v>152970</v>
      </c>
      <c r="Y444" s="655">
        <v>0</v>
      </c>
      <c r="Z444" s="655">
        <v>0</v>
      </c>
      <c r="AA444" s="655">
        <v>0</v>
      </c>
      <c r="AB444" s="655">
        <v>0</v>
      </c>
      <c r="AC444" s="655">
        <v>0</v>
      </c>
      <c r="AD444" s="655">
        <v>29687</v>
      </c>
      <c r="AE444" s="655">
        <v>4241724</v>
      </c>
      <c r="AF444" s="655">
        <v>45908</v>
      </c>
      <c r="AG444" s="655">
        <v>236366</v>
      </c>
      <c r="AH444" s="655">
        <v>0</v>
      </c>
      <c r="AI444" s="655">
        <v>1802592</v>
      </c>
      <c r="AJ444" s="655">
        <v>548138</v>
      </c>
      <c r="AK444" s="655">
        <v>6874728</v>
      </c>
      <c r="AL444" s="655">
        <v>6105498</v>
      </c>
      <c r="AM444" s="655">
        <v>769230</v>
      </c>
    </row>
    <row r="445" spans="1:39" x14ac:dyDescent="0.2">
      <c r="A445" s="648">
        <v>2014</v>
      </c>
      <c r="B445" s="648">
        <v>15</v>
      </c>
      <c r="C445" s="657" t="s">
        <v>185</v>
      </c>
      <c r="D445" s="648">
        <v>2169</v>
      </c>
      <c r="E445" s="648" t="s">
        <v>1107</v>
      </c>
      <c r="F445" s="655">
        <v>10372647</v>
      </c>
      <c r="G445" s="655">
        <v>1984</v>
      </c>
      <c r="H445" s="655">
        <v>196894</v>
      </c>
      <c r="I445" s="655">
        <v>1630145</v>
      </c>
      <c r="J445" s="655">
        <v>922439</v>
      </c>
      <c r="K445" s="655">
        <v>95762</v>
      </c>
      <c r="L445" s="655">
        <v>105201</v>
      </c>
      <c r="M445" s="655">
        <v>0</v>
      </c>
      <c r="N445" s="655">
        <v>522566</v>
      </c>
      <c r="O445" s="655">
        <v>1618</v>
      </c>
      <c r="P445" s="655">
        <v>94363</v>
      </c>
      <c r="Q445" s="655">
        <v>103618</v>
      </c>
      <c r="R445" s="655">
        <v>0</v>
      </c>
      <c r="S445" s="655">
        <v>52259</v>
      </c>
      <c r="T445" s="655">
        <v>5628</v>
      </c>
      <c r="U445" s="655">
        <v>108154</v>
      </c>
      <c r="V445" s="655">
        <v>6190</v>
      </c>
      <c r="W445" s="655">
        <v>83399</v>
      </c>
      <c r="X445" s="655">
        <v>445034</v>
      </c>
      <c r="Y445" s="655">
        <v>0</v>
      </c>
      <c r="Z445" s="655">
        <v>0</v>
      </c>
      <c r="AA445" s="655">
        <v>0</v>
      </c>
      <c r="AB445" s="655">
        <v>0</v>
      </c>
      <c r="AC445" s="655">
        <v>0</v>
      </c>
      <c r="AD445" s="655">
        <v>91881</v>
      </c>
      <c r="AE445" s="655">
        <v>14656020</v>
      </c>
      <c r="AF445" s="655">
        <v>82634</v>
      </c>
      <c r="AG445" s="655">
        <v>830904</v>
      </c>
      <c r="AH445" s="655">
        <v>0</v>
      </c>
      <c r="AI445" s="655">
        <v>2510592</v>
      </c>
      <c r="AJ445" s="655">
        <v>996827</v>
      </c>
      <c r="AK445" s="655">
        <v>19076977</v>
      </c>
      <c r="AL445" s="655">
        <v>18163877</v>
      </c>
      <c r="AM445" s="655">
        <v>913100</v>
      </c>
    </row>
    <row r="446" spans="1:39" x14ac:dyDescent="0.2">
      <c r="A446" s="648">
        <v>2014</v>
      </c>
      <c r="B446" s="648">
        <v>7</v>
      </c>
      <c r="C446" s="657" t="s">
        <v>187</v>
      </c>
      <c r="D446" s="648">
        <v>2295</v>
      </c>
      <c r="E446" s="648" t="s">
        <v>1109</v>
      </c>
      <c r="F446" s="655">
        <v>6787986</v>
      </c>
      <c r="G446" s="655">
        <v>305683</v>
      </c>
      <c r="H446" s="655">
        <v>757697</v>
      </c>
      <c r="I446" s="655">
        <v>1226703</v>
      </c>
      <c r="J446" s="655">
        <v>644537</v>
      </c>
      <c r="K446" s="655">
        <v>75269</v>
      </c>
      <c r="L446" s="655">
        <v>71737</v>
      </c>
      <c r="M446" s="655">
        <v>0</v>
      </c>
      <c r="N446" s="655">
        <v>356332</v>
      </c>
      <c r="O446" s="655">
        <v>64437</v>
      </c>
      <c r="P446" s="655">
        <v>55832</v>
      </c>
      <c r="Q446" s="655">
        <v>62403</v>
      </c>
      <c r="R446" s="655">
        <v>0</v>
      </c>
      <c r="S446" s="655">
        <v>47574</v>
      </c>
      <c r="T446" s="655">
        <v>5459</v>
      </c>
      <c r="U446" s="655">
        <v>332755</v>
      </c>
      <c r="V446" s="655">
        <v>0</v>
      </c>
      <c r="W446" s="655">
        <v>93763</v>
      </c>
      <c r="X446" s="655">
        <v>451564</v>
      </c>
      <c r="Y446" s="655">
        <v>0</v>
      </c>
      <c r="Z446" s="655">
        <v>0</v>
      </c>
      <c r="AA446" s="655">
        <v>0</v>
      </c>
      <c r="AB446" s="655">
        <v>0</v>
      </c>
      <c r="AC446" s="655">
        <v>0</v>
      </c>
      <c r="AD446" s="655">
        <v>73519</v>
      </c>
      <c r="AE446" s="655">
        <v>11266212</v>
      </c>
      <c r="AF446" s="655">
        <v>180570</v>
      </c>
      <c r="AG446" s="655">
        <v>554370</v>
      </c>
      <c r="AH446" s="655">
        <v>0</v>
      </c>
      <c r="AI446" s="655">
        <v>1559067</v>
      </c>
      <c r="AJ446" s="655">
        <v>1830424</v>
      </c>
      <c r="AK446" s="655">
        <v>15390643</v>
      </c>
      <c r="AL446" s="655">
        <v>13523681</v>
      </c>
      <c r="AM446" s="655">
        <v>1866962</v>
      </c>
    </row>
    <row r="447" spans="1:39" x14ac:dyDescent="0.2">
      <c r="A447" s="648">
        <v>2014</v>
      </c>
      <c r="B447" s="648">
        <v>5</v>
      </c>
      <c r="C447" s="657" t="s">
        <v>188</v>
      </c>
      <c r="D447" s="648">
        <v>2313</v>
      </c>
      <c r="E447" s="648" t="s">
        <v>1110</v>
      </c>
      <c r="F447" s="655">
        <v>22820146</v>
      </c>
      <c r="G447" s="655">
        <v>0</v>
      </c>
      <c r="H447" s="655">
        <v>405897</v>
      </c>
      <c r="I447" s="655">
        <v>3358406</v>
      </c>
      <c r="J447" s="655">
        <v>2002219</v>
      </c>
      <c r="K447" s="655">
        <v>233584</v>
      </c>
      <c r="L447" s="655">
        <v>265950</v>
      </c>
      <c r="M447" s="655">
        <v>0</v>
      </c>
      <c r="N447" s="655">
        <v>1188339</v>
      </c>
      <c r="O447" s="655">
        <v>29099</v>
      </c>
      <c r="P447" s="655">
        <v>227030</v>
      </c>
      <c r="Q447" s="655">
        <v>255207</v>
      </c>
      <c r="R447" s="655">
        <v>18877</v>
      </c>
      <c r="S447" s="655">
        <v>126805</v>
      </c>
      <c r="T447" s="655">
        <v>15116</v>
      </c>
      <c r="U447" s="655">
        <v>467468</v>
      </c>
      <c r="V447" s="655">
        <v>0</v>
      </c>
      <c r="W447" s="655">
        <v>263409</v>
      </c>
      <c r="X447" s="655">
        <v>424130</v>
      </c>
      <c r="Y447" s="655">
        <v>0</v>
      </c>
      <c r="Z447" s="655">
        <v>0</v>
      </c>
      <c r="AA447" s="655">
        <v>0</v>
      </c>
      <c r="AB447" s="655">
        <v>0</v>
      </c>
      <c r="AC447" s="655">
        <v>1326</v>
      </c>
      <c r="AD447" s="655">
        <v>212765</v>
      </c>
      <c r="AE447" s="655">
        <v>31890243</v>
      </c>
      <c r="AF447" s="655">
        <v>691673</v>
      </c>
      <c r="AG447" s="655">
        <v>1261498</v>
      </c>
      <c r="AH447" s="655">
        <v>0</v>
      </c>
      <c r="AI447" s="655">
        <v>5140967</v>
      </c>
      <c r="AJ447" s="655">
        <v>4177095</v>
      </c>
      <c r="AK447" s="655">
        <v>43161476</v>
      </c>
      <c r="AL447" s="655">
        <v>38973202</v>
      </c>
      <c r="AM447" s="655">
        <v>4188274</v>
      </c>
    </row>
    <row r="448" spans="1:39" x14ac:dyDescent="0.2">
      <c r="A448" s="648">
        <v>2014</v>
      </c>
      <c r="B448" s="648">
        <v>15</v>
      </c>
      <c r="C448" s="657" t="s">
        <v>189</v>
      </c>
      <c r="D448" s="648">
        <v>2322</v>
      </c>
      <c r="E448" s="648" t="s">
        <v>1111</v>
      </c>
      <c r="F448" s="655">
        <v>13883652</v>
      </c>
      <c r="G448" s="655">
        <v>0</v>
      </c>
      <c r="H448" s="655">
        <v>134460</v>
      </c>
      <c r="I448" s="655">
        <v>1782680</v>
      </c>
      <c r="J448" s="655">
        <v>1136890</v>
      </c>
      <c r="K448" s="655">
        <v>127269</v>
      </c>
      <c r="L448" s="655">
        <v>142307</v>
      </c>
      <c r="M448" s="655">
        <v>0</v>
      </c>
      <c r="N448" s="655">
        <v>682065</v>
      </c>
      <c r="O448" s="655">
        <v>30778</v>
      </c>
      <c r="P448" s="655">
        <v>127202</v>
      </c>
      <c r="Q448" s="655">
        <v>139679</v>
      </c>
      <c r="R448" s="655">
        <v>0</v>
      </c>
      <c r="S448" s="655">
        <v>68209</v>
      </c>
      <c r="T448" s="655">
        <v>7346</v>
      </c>
      <c r="U448" s="655">
        <v>591367</v>
      </c>
      <c r="V448" s="655">
        <v>0</v>
      </c>
      <c r="W448" s="655">
        <v>279647</v>
      </c>
      <c r="X448" s="655">
        <v>831826</v>
      </c>
      <c r="Y448" s="655">
        <v>0</v>
      </c>
      <c r="Z448" s="655">
        <v>0</v>
      </c>
      <c r="AA448" s="655">
        <v>0</v>
      </c>
      <c r="AB448" s="655">
        <v>0</v>
      </c>
      <c r="AC448" s="655">
        <v>0</v>
      </c>
      <c r="AD448" s="655">
        <v>124889</v>
      </c>
      <c r="AE448" s="655">
        <v>19840488</v>
      </c>
      <c r="AF448" s="655">
        <v>0</v>
      </c>
      <c r="AG448" s="655">
        <v>0</v>
      </c>
      <c r="AH448" s="655">
        <v>0</v>
      </c>
      <c r="AI448" s="655">
        <v>2007983</v>
      </c>
      <c r="AJ448" s="655">
        <v>4703360</v>
      </c>
      <c r="AK448" s="655">
        <v>26551831</v>
      </c>
      <c r="AL448" s="655">
        <v>22315105</v>
      </c>
      <c r="AM448" s="655">
        <v>4236726</v>
      </c>
    </row>
    <row r="449" spans="1:39" x14ac:dyDescent="0.2">
      <c r="A449" s="648">
        <v>2014</v>
      </c>
      <c r="B449" s="648">
        <v>13</v>
      </c>
      <c r="C449" s="657" t="s">
        <v>190</v>
      </c>
      <c r="D449" s="648">
        <v>2369</v>
      </c>
      <c r="E449" s="648" t="s">
        <v>1112</v>
      </c>
      <c r="F449" s="655">
        <v>2733639</v>
      </c>
      <c r="G449" s="655">
        <v>0</v>
      </c>
      <c r="H449" s="655">
        <v>302096</v>
      </c>
      <c r="I449" s="655">
        <v>345041</v>
      </c>
      <c r="J449" s="655">
        <v>236104</v>
      </c>
      <c r="K449" s="655">
        <v>22562</v>
      </c>
      <c r="L449" s="655">
        <v>30521</v>
      </c>
      <c r="M449" s="655">
        <v>0</v>
      </c>
      <c r="N449" s="655">
        <v>135364</v>
      </c>
      <c r="O449" s="655">
        <v>0</v>
      </c>
      <c r="P449" s="655">
        <v>22490</v>
      </c>
      <c r="Q449" s="655">
        <v>24875</v>
      </c>
      <c r="R449" s="655">
        <v>0</v>
      </c>
      <c r="S449" s="655">
        <v>13902</v>
      </c>
      <c r="T449" s="655">
        <v>1469</v>
      </c>
      <c r="U449" s="655">
        <v>23250</v>
      </c>
      <c r="V449" s="655">
        <v>0</v>
      </c>
      <c r="W449" s="655">
        <v>54297</v>
      </c>
      <c r="X449" s="655">
        <v>77998</v>
      </c>
      <c r="Y449" s="655">
        <v>0</v>
      </c>
      <c r="Z449" s="655">
        <v>0</v>
      </c>
      <c r="AA449" s="655">
        <v>0</v>
      </c>
      <c r="AB449" s="655">
        <v>0</v>
      </c>
      <c r="AC449" s="655">
        <v>0</v>
      </c>
      <c r="AD449" s="655">
        <v>20678</v>
      </c>
      <c r="AE449" s="655">
        <v>4002930</v>
      </c>
      <c r="AF449" s="655">
        <v>88755</v>
      </c>
      <c r="AG449" s="655">
        <v>211064</v>
      </c>
      <c r="AH449" s="655">
        <v>0</v>
      </c>
      <c r="AI449" s="655">
        <v>795412</v>
      </c>
      <c r="AJ449" s="655">
        <v>1469493</v>
      </c>
      <c r="AK449" s="655">
        <v>6567654</v>
      </c>
      <c r="AL449" s="655">
        <v>4940047</v>
      </c>
      <c r="AM449" s="655">
        <v>1627607</v>
      </c>
    </row>
    <row r="450" spans="1:39" x14ac:dyDescent="0.2">
      <c r="A450" s="648">
        <v>2014</v>
      </c>
      <c r="B450" s="648">
        <v>12</v>
      </c>
      <c r="C450" s="657" t="s">
        <v>191</v>
      </c>
      <c r="D450" s="648">
        <v>2376</v>
      </c>
      <c r="E450" s="648" t="s">
        <v>1113</v>
      </c>
      <c r="F450" s="655">
        <v>2731488</v>
      </c>
      <c r="G450" s="655">
        <v>0</v>
      </c>
      <c r="H450" s="655">
        <v>86134</v>
      </c>
      <c r="I450" s="655">
        <v>160936</v>
      </c>
      <c r="J450" s="655">
        <v>255473</v>
      </c>
      <c r="K450" s="655">
        <v>26334</v>
      </c>
      <c r="L450" s="655">
        <v>27373</v>
      </c>
      <c r="M450" s="655">
        <v>0</v>
      </c>
      <c r="N450" s="655">
        <v>129628</v>
      </c>
      <c r="O450" s="655">
        <v>4702</v>
      </c>
      <c r="P450" s="655">
        <v>22616</v>
      </c>
      <c r="Q450" s="655">
        <v>25413</v>
      </c>
      <c r="R450" s="655">
        <v>0</v>
      </c>
      <c r="S450" s="655">
        <v>13005</v>
      </c>
      <c r="T450" s="655">
        <v>1556</v>
      </c>
      <c r="U450" s="655">
        <v>0</v>
      </c>
      <c r="V450" s="655">
        <v>0</v>
      </c>
      <c r="W450" s="655">
        <v>125501</v>
      </c>
      <c r="X450" s="655">
        <v>101763</v>
      </c>
      <c r="Y450" s="655">
        <v>0</v>
      </c>
      <c r="Z450" s="655">
        <v>0</v>
      </c>
      <c r="AA450" s="655">
        <v>0</v>
      </c>
      <c r="AB450" s="655">
        <v>0</v>
      </c>
      <c r="AC450" s="655">
        <v>1930</v>
      </c>
      <c r="AD450" s="655">
        <v>25821</v>
      </c>
      <c r="AE450" s="655">
        <v>3688031</v>
      </c>
      <c r="AF450" s="655">
        <v>79573</v>
      </c>
      <c r="AG450" s="655">
        <v>0</v>
      </c>
      <c r="AH450" s="655">
        <v>0</v>
      </c>
      <c r="AI450" s="655">
        <v>1344347</v>
      </c>
      <c r="AJ450" s="655">
        <v>853244</v>
      </c>
      <c r="AK450" s="655">
        <v>5965195</v>
      </c>
      <c r="AL450" s="655">
        <v>5452596</v>
      </c>
      <c r="AM450" s="655">
        <v>512599</v>
      </c>
    </row>
    <row r="451" spans="1:39" x14ac:dyDescent="0.2">
      <c r="A451" s="648">
        <v>2014</v>
      </c>
      <c r="B451" s="648">
        <v>7</v>
      </c>
      <c r="C451" s="657" t="s">
        <v>192</v>
      </c>
      <c r="D451" s="648">
        <v>2403</v>
      </c>
      <c r="E451" s="648" t="s">
        <v>1747</v>
      </c>
      <c r="F451" s="655">
        <v>6228110</v>
      </c>
      <c r="G451" s="655">
        <v>182898</v>
      </c>
      <c r="H451" s="655">
        <v>507593</v>
      </c>
      <c r="I451" s="655">
        <v>710975</v>
      </c>
      <c r="J451" s="655">
        <v>586946</v>
      </c>
      <c r="K451" s="655">
        <v>65028</v>
      </c>
      <c r="L451" s="655">
        <v>66613</v>
      </c>
      <c r="M451" s="655">
        <v>0</v>
      </c>
      <c r="N451" s="655">
        <v>307471</v>
      </c>
      <c r="O451" s="655">
        <v>13571</v>
      </c>
      <c r="P451" s="655">
        <v>51095</v>
      </c>
      <c r="Q451" s="655">
        <v>57108</v>
      </c>
      <c r="R451" s="655">
        <v>0</v>
      </c>
      <c r="S451" s="655">
        <v>40732</v>
      </c>
      <c r="T451" s="655">
        <v>4673</v>
      </c>
      <c r="U451" s="655">
        <v>107600</v>
      </c>
      <c r="V451" s="655">
        <v>0</v>
      </c>
      <c r="W451" s="655">
        <v>168712</v>
      </c>
      <c r="X451" s="655">
        <v>91432</v>
      </c>
      <c r="Y451" s="655">
        <v>0</v>
      </c>
      <c r="Z451" s="655">
        <v>0</v>
      </c>
      <c r="AA451" s="655">
        <v>0</v>
      </c>
      <c r="AB451" s="655">
        <v>0</v>
      </c>
      <c r="AC451" s="655">
        <v>6001</v>
      </c>
      <c r="AD451" s="655">
        <v>49755</v>
      </c>
      <c r="AE451" s="655">
        <v>9146803</v>
      </c>
      <c r="AF451" s="655">
        <v>226477</v>
      </c>
      <c r="AG451" s="655">
        <v>496537</v>
      </c>
      <c r="AH451" s="655">
        <v>80301</v>
      </c>
      <c r="AI451" s="655">
        <v>4078269</v>
      </c>
      <c r="AJ451" s="655">
        <v>3351424</v>
      </c>
      <c r="AK451" s="655">
        <v>17379811</v>
      </c>
      <c r="AL451" s="655">
        <v>13918109</v>
      </c>
      <c r="AM451" s="655">
        <v>3461702</v>
      </c>
    </row>
    <row r="452" spans="1:39" x14ac:dyDescent="0.2">
      <c r="A452" s="648">
        <v>2014</v>
      </c>
      <c r="B452" s="648">
        <v>12</v>
      </c>
      <c r="C452" s="657" t="s">
        <v>193</v>
      </c>
      <c r="D452" s="648">
        <v>2457</v>
      </c>
      <c r="E452" s="648" t="s">
        <v>1002</v>
      </c>
      <c r="F452" s="655">
        <v>2791176</v>
      </c>
      <c r="G452" s="655">
        <v>57499</v>
      </c>
      <c r="H452" s="655">
        <v>29870</v>
      </c>
      <c r="I452" s="655">
        <v>279913</v>
      </c>
      <c r="J452" s="655">
        <v>254599</v>
      </c>
      <c r="K452" s="655">
        <v>28242</v>
      </c>
      <c r="L452" s="655">
        <v>28524</v>
      </c>
      <c r="M452" s="655">
        <v>0</v>
      </c>
      <c r="N452" s="655">
        <v>138332</v>
      </c>
      <c r="O452" s="655">
        <v>8240</v>
      </c>
      <c r="P452" s="655">
        <v>23170</v>
      </c>
      <c r="Q452" s="655">
        <v>26036</v>
      </c>
      <c r="R452" s="655">
        <v>0</v>
      </c>
      <c r="S452" s="655">
        <v>14228</v>
      </c>
      <c r="T452" s="655">
        <v>1705</v>
      </c>
      <c r="U452" s="655">
        <v>136823</v>
      </c>
      <c r="V452" s="655">
        <v>0</v>
      </c>
      <c r="W452" s="655">
        <v>36006</v>
      </c>
      <c r="X452" s="655">
        <v>6166</v>
      </c>
      <c r="Y452" s="655">
        <v>0</v>
      </c>
      <c r="Z452" s="655">
        <v>0</v>
      </c>
      <c r="AA452" s="655">
        <v>0</v>
      </c>
      <c r="AB452" s="655">
        <v>0</v>
      </c>
      <c r="AC452" s="655">
        <v>-2160</v>
      </c>
      <c r="AD452" s="655">
        <v>24051</v>
      </c>
      <c r="AE452" s="655">
        <v>3834318</v>
      </c>
      <c r="AF452" s="655">
        <v>58150</v>
      </c>
      <c r="AG452" s="655">
        <v>233335</v>
      </c>
      <c r="AH452" s="655">
        <v>0</v>
      </c>
      <c r="AI452" s="655">
        <v>597708</v>
      </c>
      <c r="AJ452" s="655">
        <v>750013</v>
      </c>
      <c r="AK452" s="655">
        <v>5473524</v>
      </c>
      <c r="AL452" s="655">
        <v>4659181</v>
      </c>
      <c r="AM452" s="655">
        <v>814343</v>
      </c>
    </row>
    <row r="453" spans="1:39" x14ac:dyDescent="0.2">
      <c r="A453" s="648">
        <v>2014</v>
      </c>
      <c r="B453" s="648">
        <v>11</v>
      </c>
      <c r="C453" s="657" t="s">
        <v>194</v>
      </c>
      <c r="D453" s="648">
        <v>2466</v>
      </c>
      <c r="E453" s="648" t="s">
        <v>1114</v>
      </c>
      <c r="F453" s="655">
        <v>7934652</v>
      </c>
      <c r="G453" s="655">
        <v>0</v>
      </c>
      <c r="H453" s="655">
        <v>80895</v>
      </c>
      <c r="I453" s="655">
        <v>486681</v>
      </c>
      <c r="J453" s="655">
        <v>643859</v>
      </c>
      <c r="K453" s="655">
        <v>71206</v>
      </c>
      <c r="L453" s="655">
        <v>60304</v>
      </c>
      <c r="M453" s="655">
        <v>0</v>
      </c>
      <c r="N453" s="655">
        <v>359183</v>
      </c>
      <c r="O453" s="655">
        <v>0</v>
      </c>
      <c r="P453" s="655">
        <v>66946</v>
      </c>
      <c r="Q453" s="655">
        <v>73459</v>
      </c>
      <c r="R453" s="655">
        <v>0</v>
      </c>
      <c r="S453" s="655">
        <v>29030</v>
      </c>
      <c r="T453" s="655">
        <v>3715</v>
      </c>
      <c r="U453" s="655">
        <v>108922</v>
      </c>
      <c r="V453" s="655">
        <v>661067</v>
      </c>
      <c r="W453" s="655">
        <v>196220</v>
      </c>
      <c r="X453" s="655">
        <v>441641</v>
      </c>
      <c r="Y453" s="655">
        <v>0</v>
      </c>
      <c r="Z453" s="655">
        <v>0</v>
      </c>
      <c r="AA453" s="655">
        <v>0</v>
      </c>
      <c r="AB453" s="655">
        <v>0</v>
      </c>
      <c r="AC453" s="655">
        <v>0</v>
      </c>
      <c r="AD453" s="655">
        <v>38933</v>
      </c>
      <c r="AE453" s="655">
        <v>11178847</v>
      </c>
      <c r="AF453" s="655">
        <v>91815</v>
      </c>
      <c r="AG453" s="655">
        <v>595575</v>
      </c>
      <c r="AH453" s="655">
        <v>0</v>
      </c>
      <c r="AI453" s="655">
        <v>2056530</v>
      </c>
      <c r="AJ453" s="655">
        <v>2291630</v>
      </c>
      <c r="AK453" s="655">
        <v>16214397</v>
      </c>
      <c r="AL453" s="655">
        <v>14054642</v>
      </c>
      <c r="AM453" s="655">
        <v>2159755</v>
      </c>
    </row>
    <row r="454" spans="1:39" x14ac:dyDescent="0.2">
      <c r="A454" s="648">
        <v>2014</v>
      </c>
      <c r="B454" s="648">
        <v>5</v>
      </c>
      <c r="C454" s="657" t="s">
        <v>195</v>
      </c>
      <c r="D454" s="648">
        <v>2493</v>
      </c>
      <c r="E454" s="648" t="s">
        <v>1115</v>
      </c>
      <c r="F454" s="655">
        <v>811152</v>
      </c>
      <c r="G454" s="655">
        <v>4936</v>
      </c>
      <c r="H454" s="655">
        <v>59044</v>
      </c>
      <c r="I454" s="655">
        <v>86334</v>
      </c>
      <c r="J454" s="655">
        <v>77659</v>
      </c>
      <c r="K454" s="655">
        <v>9202</v>
      </c>
      <c r="L454" s="655">
        <v>5993</v>
      </c>
      <c r="M454" s="655">
        <v>0</v>
      </c>
      <c r="N454" s="655">
        <v>39833</v>
      </c>
      <c r="O454" s="655">
        <v>18226</v>
      </c>
      <c r="P454" s="655">
        <v>6809</v>
      </c>
      <c r="Q454" s="655">
        <v>7655</v>
      </c>
      <c r="R454" s="655">
        <v>631</v>
      </c>
      <c r="S454" s="655">
        <v>4250</v>
      </c>
      <c r="T454" s="655">
        <v>507</v>
      </c>
      <c r="U454" s="655">
        <v>0</v>
      </c>
      <c r="V454" s="655">
        <v>0</v>
      </c>
      <c r="W454" s="655">
        <v>48008</v>
      </c>
      <c r="X454" s="655">
        <v>57196</v>
      </c>
      <c r="Y454" s="655">
        <v>0</v>
      </c>
      <c r="Z454" s="655">
        <v>0</v>
      </c>
      <c r="AA454" s="655">
        <v>0</v>
      </c>
      <c r="AB454" s="655">
        <v>0</v>
      </c>
      <c r="AC454" s="655">
        <v>0</v>
      </c>
      <c r="AD454" s="655">
        <v>10845</v>
      </c>
      <c r="AE454" s="655">
        <v>1226590</v>
      </c>
      <c r="AF454" s="655">
        <v>24484</v>
      </c>
      <c r="AG454" s="655">
        <v>73211</v>
      </c>
      <c r="AH454" s="655">
        <v>0</v>
      </c>
      <c r="AI454" s="655">
        <v>187271</v>
      </c>
      <c r="AJ454" s="655">
        <v>934684</v>
      </c>
      <c r="AK454" s="655">
        <v>2446240</v>
      </c>
      <c r="AL454" s="655">
        <v>1421148</v>
      </c>
      <c r="AM454" s="655">
        <v>1025092</v>
      </c>
    </row>
    <row r="455" spans="1:39" x14ac:dyDescent="0.2">
      <c r="A455" s="648">
        <v>2014</v>
      </c>
      <c r="B455" s="648">
        <v>7</v>
      </c>
      <c r="C455" s="657" t="s">
        <v>196</v>
      </c>
      <c r="D455" s="648">
        <v>2502</v>
      </c>
      <c r="E455" s="648" t="s">
        <v>1116</v>
      </c>
      <c r="F455" s="655">
        <v>3799787</v>
      </c>
      <c r="G455" s="655">
        <v>68107</v>
      </c>
      <c r="H455" s="655">
        <v>63081</v>
      </c>
      <c r="I455" s="655">
        <v>519640</v>
      </c>
      <c r="J455" s="655">
        <v>355799</v>
      </c>
      <c r="K455" s="655">
        <v>36256</v>
      </c>
      <c r="L455" s="655">
        <v>29897</v>
      </c>
      <c r="M455" s="655">
        <v>0</v>
      </c>
      <c r="N455" s="655">
        <v>189170</v>
      </c>
      <c r="O455" s="655">
        <v>19445</v>
      </c>
      <c r="P455" s="655">
        <v>30889</v>
      </c>
      <c r="Q455" s="655">
        <v>34524</v>
      </c>
      <c r="R455" s="655">
        <v>0</v>
      </c>
      <c r="S455" s="655">
        <v>24634</v>
      </c>
      <c r="T455" s="655">
        <v>2827</v>
      </c>
      <c r="U455" s="655">
        <v>77580</v>
      </c>
      <c r="V455" s="655">
        <v>0</v>
      </c>
      <c r="W455" s="655">
        <v>42007</v>
      </c>
      <c r="X455" s="655">
        <v>5564</v>
      </c>
      <c r="Y455" s="655">
        <v>0</v>
      </c>
      <c r="Z455" s="655">
        <v>0</v>
      </c>
      <c r="AA455" s="655">
        <v>0</v>
      </c>
      <c r="AB455" s="655">
        <v>0</v>
      </c>
      <c r="AC455" s="655">
        <v>-2684</v>
      </c>
      <c r="AD455" s="655">
        <v>38194</v>
      </c>
      <c r="AE455" s="655">
        <v>5258329</v>
      </c>
      <c r="AF455" s="655">
        <v>0</v>
      </c>
      <c r="AG455" s="655">
        <v>318598</v>
      </c>
      <c r="AH455" s="655">
        <v>0</v>
      </c>
      <c r="AI455" s="655">
        <v>611050</v>
      </c>
      <c r="AJ455" s="655">
        <v>1156649</v>
      </c>
      <c r="AK455" s="655">
        <v>7344626</v>
      </c>
      <c r="AL455" s="655">
        <v>6458306</v>
      </c>
      <c r="AM455" s="655">
        <v>886320</v>
      </c>
    </row>
    <row r="456" spans="1:39" x14ac:dyDescent="0.2">
      <c r="A456" s="648">
        <v>2014</v>
      </c>
      <c r="B456" s="648">
        <v>13</v>
      </c>
      <c r="C456" s="657" t="s">
        <v>197</v>
      </c>
      <c r="D456" s="648">
        <v>2511</v>
      </c>
      <c r="E456" s="648" t="s">
        <v>1117</v>
      </c>
      <c r="F456" s="655">
        <v>12385844</v>
      </c>
      <c r="G456" s="655">
        <v>0</v>
      </c>
      <c r="H456" s="655">
        <v>94814</v>
      </c>
      <c r="I456" s="655">
        <v>1399934</v>
      </c>
      <c r="J456" s="655">
        <v>1018144</v>
      </c>
      <c r="K456" s="655">
        <v>109633</v>
      </c>
      <c r="L456" s="655">
        <v>126084</v>
      </c>
      <c r="M456" s="655">
        <v>0</v>
      </c>
      <c r="N456" s="655">
        <v>606137</v>
      </c>
      <c r="O456" s="655">
        <v>3311</v>
      </c>
      <c r="P456" s="655">
        <v>102584</v>
      </c>
      <c r="Q456" s="655">
        <v>113459</v>
      </c>
      <c r="R456" s="655">
        <v>0</v>
      </c>
      <c r="S456" s="655">
        <v>62251</v>
      </c>
      <c r="T456" s="655">
        <v>6576</v>
      </c>
      <c r="U456" s="655">
        <v>356581</v>
      </c>
      <c r="V456" s="655">
        <v>0</v>
      </c>
      <c r="W456" s="655">
        <v>138023</v>
      </c>
      <c r="X456" s="655">
        <v>199891</v>
      </c>
      <c r="Y456" s="655">
        <v>0</v>
      </c>
      <c r="Z456" s="655">
        <v>0</v>
      </c>
      <c r="AA456" s="655">
        <v>0</v>
      </c>
      <c r="AB456" s="655">
        <v>0</v>
      </c>
      <c r="AC456" s="655">
        <v>0</v>
      </c>
      <c r="AD456" s="655">
        <v>89118</v>
      </c>
      <c r="AE456" s="655">
        <v>16634148</v>
      </c>
      <c r="AF456" s="655">
        <v>217296</v>
      </c>
      <c r="AG456" s="655">
        <v>776407</v>
      </c>
      <c r="AH456" s="655">
        <v>0</v>
      </c>
      <c r="AI456" s="655">
        <v>3017212</v>
      </c>
      <c r="AJ456" s="655">
        <v>6492609</v>
      </c>
      <c r="AK456" s="655">
        <v>27137672</v>
      </c>
      <c r="AL456" s="655">
        <v>19923864</v>
      </c>
      <c r="AM456" s="655">
        <v>7213808</v>
      </c>
    </row>
    <row r="457" spans="1:39" x14ac:dyDescent="0.2">
      <c r="A457" s="648">
        <v>2014</v>
      </c>
      <c r="B457" s="648">
        <v>11</v>
      </c>
      <c r="C457" s="657" t="s">
        <v>198</v>
      </c>
      <c r="D457" s="648">
        <v>2520</v>
      </c>
      <c r="E457" s="648" t="s">
        <v>1118</v>
      </c>
      <c r="F457" s="655">
        <v>1868432</v>
      </c>
      <c r="G457" s="655">
        <v>102987</v>
      </c>
      <c r="H457" s="655">
        <v>58147</v>
      </c>
      <c r="I457" s="655">
        <v>165899</v>
      </c>
      <c r="J457" s="655">
        <v>185057</v>
      </c>
      <c r="K457" s="655">
        <v>19431</v>
      </c>
      <c r="L457" s="655">
        <v>19721</v>
      </c>
      <c r="M457" s="655">
        <v>0</v>
      </c>
      <c r="N457" s="655">
        <v>86725</v>
      </c>
      <c r="O457" s="655">
        <v>11305</v>
      </c>
      <c r="P457" s="655">
        <v>15637</v>
      </c>
      <c r="Q457" s="655">
        <v>17159</v>
      </c>
      <c r="R457" s="655">
        <v>0</v>
      </c>
      <c r="S457" s="655">
        <v>7059</v>
      </c>
      <c r="T457" s="655">
        <v>906</v>
      </c>
      <c r="U457" s="655">
        <v>30710</v>
      </c>
      <c r="V457" s="655">
        <v>0</v>
      </c>
      <c r="W457" s="655">
        <v>12002</v>
      </c>
      <c r="X457" s="655">
        <v>51604</v>
      </c>
      <c r="Y457" s="655">
        <v>0</v>
      </c>
      <c r="Z457" s="655">
        <v>0</v>
      </c>
      <c r="AA457" s="655">
        <v>0</v>
      </c>
      <c r="AB457" s="655">
        <v>0</v>
      </c>
      <c r="AC457" s="655">
        <v>0</v>
      </c>
      <c r="AD457" s="655">
        <v>17419</v>
      </c>
      <c r="AE457" s="655">
        <v>2635362</v>
      </c>
      <c r="AF457" s="655">
        <v>64271</v>
      </c>
      <c r="AG457" s="655">
        <v>162918</v>
      </c>
      <c r="AH457" s="655">
        <v>0</v>
      </c>
      <c r="AI457" s="655">
        <v>670627</v>
      </c>
      <c r="AJ457" s="655">
        <v>3568504</v>
      </c>
      <c r="AK457" s="655">
        <v>7101682</v>
      </c>
      <c r="AL457" s="655">
        <v>3721797</v>
      </c>
      <c r="AM457" s="655">
        <v>3379885</v>
      </c>
    </row>
    <row r="458" spans="1:39" x14ac:dyDescent="0.2">
      <c r="A458" s="648">
        <v>2014</v>
      </c>
      <c r="B458" s="648">
        <v>5</v>
      </c>
      <c r="C458" s="657" t="s">
        <v>199</v>
      </c>
      <c r="D458" s="648">
        <v>2556</v>
      </c>
      <c r="E458" s="648" t="s">
        <v>630</v>
      </c>
      <c r="F458" s="655">
        <v>2147600</v>
      </c>
      <c r="G458" s="655">
        <v>58046</v>
      </c>
      <c r="H458" s="655">
        <v>221559</v>
      </c>
      <c r="I458" s="655">
        <v>192302</v>
      </c>
      <c r="J458" s="655">
        <v>200579</v>
      </c>
      <c r="K458" s="655">
        <v>18571</v>
      </c>
      <c r="L458" s="655">
        <v>23105</v>
      </c>
      <c r="M458" s="655">
        <v>0</v>
      </c>
      <c r="N458" s="655">
        <v>106424</v>
      </c>
      <c r="O458" s="655">
        <v>16689</v>
      </c>
      <c r="P458" s="655">
        <v>18108</v>
      </c>
      <c r="Q458" s="655">
        <v>20355</v>
      </c>
      <c r="R458" s="655">
        <v>1814</v>
      </c>
      <c r="S458" s="655">
        <v>11874</v>
      </c>
      <c r="T458" s="655">
        <v>1417</v>
      </c>
      <c r="U458" s="655">
        <v>34725</v>
      </c>
      <c r="V458" s="655">
        <v>0</v>
      </c>
      <c r="W458" s="655">
        <v>84554</v>
      </c>
      <c r="X458" s="655">
        <v>56279</v>
      </c>
      <c r="Y458" s="655">
        <v>0</v>
      </c>
      <c r="Z458" s="655">
        <v>0</v>
      </c>
      <c r="AA458" s="655">
        <v>0</v>
      </c>
      <c r="AB458" s="655">
        <v>0</v>
      </c>
      <c r="AC458" s="655">
        <v>31945</v>
      </c>
      <c r="AD458" s="655">
        <v>23426</v>
      </c>
      <c r="AE458" s="655">
        <v>3222520</v>
      </c>
      <c r="AF458" s="655">
        <v>70392</v>
      </c>
      <c r="AG458" s="655">
        <v>191671</v>
      </c>
      <c r="AH458" s="655">
        <v>0</v>
      </c>
      <c r="AI458" s="655">
        <v>917262</v>
      </c>
      <c r="AJ458" s="655">
        <v>1681971</v>
      </c>
      <c r="AK458" s="655">
        <v>6083816</v>
      </c>
      <c r="AL458" s="655">
        <v>4469817</v>
      </c>
      <c r="AM458" s="655">
        <v>1613999</v>
      </c>
    </row>
    <row r="459" spans="1:39" x14ac:dyDescent="0.2">
      <c r="A459" s="648">
        <v>2014</v>
      </c>
      <c r="B459" s="648">
        <v>13</v>
      </c>
      <c r="C459" s="657" t="s">
        <v>200</v>
      </c>
      <c r="D459" s="648">
        <v>2673</v>
      </c>
      <c r="E459" s="648" t="s">
        <v>2009</v>
      </c>
      <c r="F459" s="655">
        <v>4139408</v>
      </c>
      <c r="G459" s="655">
        <v>58107</v>
      </c>
      <c r="H459" s="655">
        <v>44208</v>
      </c>
      <c r="I459" s="655">
        <v>543813</v>
      </c>
      <c r="J459" s="655">
        <v>382378</v>
      </c>
      <c r="K459" s="655">
        <v>43845</v>
      </c>
      <c r="L459" s="655">
        <v>42613</v>
      </c>
      <c r="M459" s="655">
        <v>0</v>
      </c>
      <c r="N459" s="655">
        <v>204676</v>
      </c>
      <c r="O459" s="655">
        <v>2439</v>
      </c>
      <c r="P459" s="655">
        <v>33711</v>
      </c>
      <c r="Q459" s="655">
        <v>37284</v>
      </c>
      <c r="R459" s="655">
        <v>0</v>
      </c>
      <c r="S459" s="655">
        <v>21203</v>
      </c>
      <c r="T459" s="655">
        <v>2238</v>
      </c>
      <c r="U459" s="655">
        <v>0</v>
      </c>
      <c r="V459" s="655">
        <v>0</v>
      </c>
      <c r="W459" s="655">
        <v>31406</v>
      </c>
      <c r="X459" s="655">
        <v>225673</v>
      </c>
      <c r="Y459" s="655">
        <v>0</v>
      </c>
      <c r="Z459" s="655">
        <v>0</v>
      </c>
      <c r="AA459" s="655">
        <v>0</v>
      </c>
      <c r="AB459" s="655">
        <v>0</v>
      </c>
      <c r="AC459" s="655">
        <v>0</v>
      </c>
      <c r="AD459" s="655">
        <v>39610</v>
      </c>
      <c r="AE459" s="655">
        <v>5773392</v>
      </c>
      <c r="AF459" s="655">
        <v>79573</v>
      </c>
      <c r="AG459" s="655">
        <v>329841</v>
      </c>
      <c r="AH459" s="655">
        <v>0</v>
      </c>
      <c r="AI459" s="655">
        <v>548124</v>
      </c>
      <c r="AJ459" s="655">
        <v>308276</v>
      </c>
      <c r="AK459" s="655">
        <v>7039206</v>
      </c>
      <c r="AL459" s="655">
        <v>7151801</v>
      </c>
      <c r="AM459" s="655">
        <v>-112595</v>
      </c>
    </row>
    <row r="460" spans="1:39" x14ac:dyDescent="0.2">
      <c r="A460" s="648">
        <v>2014</v>
      </c>
      <c r="B460" s="648">
        <v>7</v>
      </c>
      <c r="C460" s="657" t="s">
        <v>201</v>
      </c>
      <c r="D460" s="648">
        <v>2682</v>
      </c>
      <c r="E460" s="648" t="s">
        <v>1119</v>
      </c>
      <c r="F460" s="655">
        <v>1948314</v>
      </c>
      <c r="G460" s="655">
        <v>0</v>
      </c>
      <c r="H460" s="655">
        <v>18106</v>
      </c>
      <c r="I460" s="655">
        <v>211358</v>
      </c>
      <c r="J460" s="655">
        <v>199087</v>
      </c>
      <c r="K460" s="655">
        <v>23631</v>
      </c>
      <c r="L460" s="655">
        <v>23567</v>
      </c>
      <c r="M460" s="655">
        <v>0</v>
      </c>
      <c r="N460" s="655">
        <v>96129</v>
      </c>
      <c r="O460" s="655">
        <v>9246</v>
      </c>
      <c r="P460" s="655">
        <v>16125</v>
      </c>
      <c r="Q460" s="655">
        <v>18022</v>
      </c>
      <c r="R460" s="655">
        <v>0</v>
      </c>
      <c r="S460" s="655">
        <v>12367</v>
      </c>
      <c r="T460" s="655">
        <v>1418</v>
      </c>
      <c r="U460" s="655">
        <v>95506</v>
      </c>
      <c r="V460" s="655">
        <v>0</v>
      </c>
      <c r="W460" s="655">
        <v>36006</v>
      </c>
      <c r="X460" s="655">
        <v>39853</v>
      </c>
      <c r="Y460" s="655">
        <v>0</v>
      </c>
      <c r="Z460" s="655">
        <v>0</v>
      </c>
      <c r="AA460" s="655">
        <v>0</v>
      </c>
      <c r="AB460" s="655">
        <v>0</v>
      </c>
      <c r="AC460" s="655">
        <v>0</v>
      </c>
      <c r="AD460" s="655">
        <v>17366</v>
      </c>
      <c r="AE460" s="655">
        <v>2731369</v>
      </c>
      <c r="AF460" s="655">
        <v>79573</v>
      </c>
      <c r="AG460" s="655">
        <v>157911</v>
      </c>
      <c r="AH460" s="655">
        <v>0</v>
      </c>
      <c r="AI460" s="655">
        <v>1563388</v>
      </c>
      <c r="AJ460" s="655">
        <v>1627206</v>
      </c>
      <c r="AK460" s="655">
        <v>6159447</v>
      </c>
      <c r="AL460" s="655">
        <v>4512191</v>
      </c>
      <c r="AM460" s="655">
        <v>1647256</v>
      </c>
    </row>
    <row r="461" spans="1:39" x14ac:dyDescent="0.2">
      <c r="A461" s="648">
        <v>2014</v>
      </c>
      <c r="B461" s="648">
        <v>7</v>
      </c>
      <c r="C461" s="657" t="s">
        <v>202</v>
      </c>
      <c r="D461" s="648">
        <v>2709</v>
      </c>
      <c r="E461" s="648" t="s">
        <v>1120</v>
      </c>
      <c r="F461" s="655">
        <v>10264781</v>
      </c>
      <c r="G461" s="655">
        <v>340657</v>
      </c>
      <c r="H461" s="655">
        <v>131138</v>
      </c>
      <c r="I461" s="655">
        <v>1449984</v>
      </c>
      <c r="J461" s="655">
        <v>885355</v>
      </c>
      <c r="K461" s="655">
        <v>96428</v>
      </c>
      <c r="L461" s="655">
        <v>107584</v>
      </c>
      <c r="M461" s="655">
        <v>0</v>
      </c>
      <c r="N461" s="655">
        <v>519480</v>
      </c>
      <c r="O461" s="655">
        <v>14803</v>
      </c>
      <c r="P461" s="655">
        <v>86217</v>
      </c>
      <c r="Q461" s="655">
        <v>96364</v>
      </c>
      <c r="R461" s="655">
        <v>0</v>
      </c>
      <c r="S461" s="655">
        <v>69010</v>
      </c>
      <c r="T461" s="655">
        <v>7919</v>
      </c>
      <c r="U461" s="655">
        <v>503215</v>
      </c>
      <c r="V461" s="655">
        <v>0</v>
      </c>
      <c r="W461" s="655">
        <v>73364</v>
      </c>
      <c r="X461" s="655">
        <v>118270</v>
      </c>
      <c r="Y461" s="655">
        <v>0</v>
      </c>
      <c r="Z461" s="655">
        <v>0</v>
      </c>
      <c r="AA461" s="655">
        <v>0</v>
      </c>
      <c r="AB461" s="655">
        <v>0</v>
      </c>
      <c r="AC461" s="655">
        <v>-6024</v>
      </c>
      <c r="AD461" s="655">
        <v>81962</v>
      </c>
      <c r="AE461" s="655">
        <v>14676583</v>
      </c>
      <c r="AF461" s="655">
        <v>241780</v>
      </c>
      <c r="AG461" s="655">
        <v>813119</v>
      </c>
      <c r="AH461" s="655">
        <v>0</v>
      </c>
      <c r="AI461" s="655">
        <v>1394764</v>
      </c>
      <c r="AJ461" s="655">
        <v>5409594</v>
      </c>
      <c r="AK461" s="655">
        <v>22535840</v>
      </c>
      <c r="AL461" s="655">
        <v>16517656</v>
      </c>
      <c r="AM461" s="655">
        <v>6018184</v>
      </c>
    </row>
    <row r="462" spans="1:39" x14ac:dyDescent="0.2">
      <c r="A462" s="648">
        <v>2014</v>
      </c>
      <c r="B462" s="648">
        <v>13</v>
      </c>
      <c r="C462" s="657" t="s">
        <v>203</v>
      </c>
      <c r="D462" s="648">
        <v>2718</v>
      </c>
      <c r="E462" s="648" t="s">
        <v>1121</v>
      </c>
      <c r="F462" s="655">
        <v>3670772</v>
      </c>
      <c r="G462" s="655">
        <v>0</v>
      </c>
      <c r="H462" s="655">
        <v>176214</v>
      </c>
      <c r="I462" s="655">
        <v>515912</v>
      </c>
      <c r="J462" s="655">
        <v>306361</v>
      </c>
      <c r="K462" s="655">
        <v>31587</v>
      </c>
      <c r="L462" s="655">
        <v>31616</v>
      </c>
      <c r="M462" s="655">
        <v>0</v>
      </c>
      <c r="N462" s="655">
        <v>182147</v>
      </c>
      <c r="O462" s="655">
        <v>0</v>
      </c>
      <c r="P462" s="655">
        <v>29703</v>
      </c>
      <c r="Q462" s="655">
        <v>32852</v>
      </c>
      <c r="R462" s="655">
        <v>0</v>
      </c>
      <c r="S462" s="655">
        <v>18707</v>
      </c>
      <c r="T462" s="655">
        <v>1976</v>
      </c>
      <c r="U462" s="655">
        <v>119804</v>
      </c>
      <c r="V462" s="655">
        <v>0</v>
      </c>
      <c r="W462" s="655">
        <v>76213</v>
      </c>
      <c r="X462" s="655">
        <v>339462</v>
      </c>
      <c r="Y462" s="655">
        <v>0</v>
      </c>
      <c r="Z462" s="655">
        <v>0</v>
      </c>
      <c r="AA462" s="655">
        <v>0</v>
      </c>
      <c r="AB462" s="655">
        <v>0</v>
      </c>
      <c r="AC462" s="655">
        <v>0</v>
      </c>
      <c r="AD462" s="655">
        <v>31091</v>
      </c>
      <c r="AE462" s="655">
        <v>5502235</v>
      </c>
      <c r="AF462" s="655">
        <v>91815</v>
      </c>
      <c r="AG462" s="655">
        <v>296121</v>
      </c>
      <c r="AH462" s="655">
        <v>0</v>
      </c>
      <c r="AI462" s="655">
        <v>521158</v>
      </c>
      <c r="AJ462" s="655">
        <v>1813457</v>
      </c>
      <c r="AK462" s="655">
        <v>8224786</v>
      </c>
      <c r="AL462" s="655">
        <v>6790872</v>
      </c>
      <c r="AM462" s="655">
        <v>1433914</v>
      </c>
    </row>
    <row r="463" spans="1:39" x14ac:dyDescent="0.2">
      <c r="A463" s="648">
        <v>2014</v>
      </c>
      <c r="B463" s="648">
        <v>7</v>
      </c>
      <c r="C463" s="657" t="s">
        <v>204</v>
      </c>
      <c r="D463" s="648">
        <v>2727</v>
      </c>
      <c r="E463" s="648" t="s">
        <v>1122</v>
      </c>
      <c r="F463" s="655">
        <v>3901525</v>
      </c>
      <c r="G463" s="655">
        <v>60558</v>
      </c>
      <c r="H463" s="655">
        <v>114659</v>
      </c>
      <c r="I463" s="655">
        <v>483987</v>
      </c>
      <c r="J463" s="655">
        <v>372524</v>
      </c>
      <c r="K463" s="655">
        <v>39588</v>
      </c>
      <c r="L463" s="655">
        <v>34823</v>
      </c>
      <c r="M463" s="655">
        <v>0</v>
      </c>
      <c r="N463" s="655">
        <v>195202</v>
      </c>
      <c r="O463" s="655">
        <v>1803</v>
      </c>
      <c r="P463" s="655">
        <v>32401</v>
      </c>
      <c r="Q463" s="655">
        <v>36214</v>
      </c>
      <c r="R463" s="655">
        <v>0</v>
      </c>
      <c r="S463" s="655">
        <v>25446</v>
      </c>
      <c r="T463" s="655">
        <v>2920</v>
      </c>
      <c r="U463" s="655">
        <v>121125</v>
      </c>
      <c r="V463" s="655">
        <v>0</v>
      </c>
      <c r="W463" s="655">
        <v>24004</v>
      </c>
      <c r="X463" s="655">
        <v>39609</v>
      </c>
      <c r="Y463" s="655">
        <v>0</v>
      </c>
      <c r="Z463" s="655">
        <v>0</v>
      </c>
      <c r="AA463" s="655">
        <v>0</v>
      </c>
      <c r="AB463" s="655">
        <v>0</v>
      </c>
      <c r="AC463" s="655">
        <v>0</v>
      </c>
      <c r="AD463" s="655">
        <v>29520</v>
      </c>
      <c r="AE463" s="655">
        <v>5456868</v>
      </c>
      <c r="AF463" s="655">
        <v>0</v>
      </c>
      <c r="AG463" s="655">
        <v>298186</v>
      </c>
      <c r="AH463" s="655">
        <v>0</v>
      </c>
      <c r="AI463" s="655">
        <v>897099</v>
      </c>
      <c r="AJ463" s="655">
        <v>838031</v>
      </c>
      <c r="AK463" s="655">
        <v>7490184</v>
      </c>
      <c r="AL463" s="655">
        <v>6832507</v>
      </c>
      <c r="AM463" s="655">
        <v>657677</v>
      </c>
    </row>
    <row r="464" spans="1:39" x14ac:dyDescent="0.2">
      <c r="A464" s="648">
        <v>2014</v>
      </c>
      <c r="B464" s="648">
        <v>11</v>
      </c>
      <c r="C464" s="657" t="s">
        <v>205</v>
      </c>
      <c r="D464" s="648">
        <v>2754</v>
      </c>
      <c r="E464" s="648" t="s">
        <v>1123</v>
      </c>
      <c r="F464" s="655">
        <v>2869101</v>
      </c>
      <c r="G464" s="655">
        <v>14090</v>
      </c>
      <c r="H464" s="655">
        <v>101552</v>
      </c>
      <c r="I464" s="655">
        <v>326177</v>
      </c>
      <c r="J464" s="655">
        <v>259274</v>
      </c>
      <c r="K464" s="655">
        <v>26202</v>
      </c>
      <c r="L464" s="655">
        <v>31511</v>
      </c>
      <c r="M464" s="655">
        <v>0</v>
      </c>
      <c r="N464" s="655">
        <v>135751</v>
      </c>
      <c r="O464" s="655">
        <v>14129</v>
      </c>
      <c r="P464" s="655">
        <v>23331</v>
      </c>
      <c r="Q464" s="655">
        <v>25601</v>
      </c>
      <c r="R464" s="655">
        <v>0</v>
      </c>
      <c r="S464" s="655">
        <v>10998</v>
      </c>
      <c r="T464" s="655">
        <v>1412</v>
      </c>
      <c r="U464" s="655">
        <v>70327</v>
      </c>
      <c r="V464" s="655">
        <v>0</v>
      </c>
      <c r="W464" s="655">
        <v>52064</v>
      </c>
      <c r="X464" s="655">
        <v>108722</v>
      </c>
      <c r="Y464" s="655">
        <v>0</v>
      </c>
      <c r="Z464" s="655">
        <v>0</v>
      </c>
      <c r="AA464" s="655">
        <v>0</v>
      </c>
      <c r="AB464" s="655">
        <v>0</v>
      </c>
      <c r="AC464" s="655">
        <v>2651</v>
      </c>
      <c r="AD464" s="655">
        <v>21657</v>
      </c>
      <c r="AE464" s="655">
        <v>4051236</v>
      </c>
      <c r="AF464" s="655">
        <v>94876</v>
      </c>
      <c r="AG464" s="655">
        <v>219497</v>
      </c>
      <c r="AH464" s="655">
        <v>0</v>
      </c>
      <c r="AI464" s="655">
        <v>1031545</v>
      </c>
      <c r="AJ464" s="655">
        <v>1410546</v>
      </c>
      <c r="AK464" s="655">
        <v>6807700</v>
      </c>
      <c r="AL464" s="655">
        <v>5638038</v>
      </c>
      <c r="AM464" s="655">
        <v>1169662</v>
      </c>
    </row>
    <row r="465" spans="1:39" x14ac:dyDescent="0.2">
      <c r="A465" s="648">
        <v>2014</v>
      </c>
      <c r="B465" s="648">
        <v>1</v>
      </c>
      <c r="C465" s="657" t="s">
        <v>206</v>
      </c>
      <c r="D465" s="648">
        <v>2763</v>
      </c>
      <c r="E465" s="648" t="s">
        <v>1056</v>
      </c>
      <c r="F465" s="655">
        <v>3906734</v>
      </c>
      <c r="G465" s="655">
        <v>62551</v>
      </c>
      <c r="H465" s="655">
        <v>94456</v>
      </c>
      <c r="I465" s="655">
        <v>494182</v>
      </c>
      <c r="J465" s="655">
        <v>336348</v>
      </c>
      <c r="K465" s="655">
        <v>38061</v>
      </c>
      <c r="L465" s="655">
        <v>33301</v>
      </c>
      <c r="M465" s="655">
        <v>0</v>
      </c>
      <c r="N465" s="655">
        <v>200694</v>
      </c>
      <c r="O465" s="655">
        <v>4128</v>
      </c>
      <c r="P465" s="655">
        <v>35302</v>
      </c>
      <c r="Q465" s="655">
        <v>39417</v>
      </c>
      <c r="R465" s="655">
        <v>0</v>
      </c>
      <c r="S465" s="655">
        <v>20095</v>
      </c>
      <c r="T465" s="655">
        <v>2136</v>
      </c>
      <c r="U465" s="655">
        <v>109192</v>
      </c>
      <c r="V465" s="655">
        <v>0</v>
      </c>
      <c r="W465" s="655">
        <v>54009</v>
      </c>
      <c r="X465" s="655">
        <v>229663</v>
      </c>
      <c r="Y465" s="655">
        <v>0</v>
      </c>
      <c r="Z465" s="655">
        <v>0</v>
      </c>
      <c r="AA465" s="655">
        <v>0</v>
      </c>
      <c r="AB465" s="655">
        <v>0</v>
      </c>
      <c r="AC465" s="655">
        <v>0</v>
      </c>
      <c r="AD465" s="655">
        <v>39375</v>
      </c>
      <c r="AE465" s="655">
        <v>5620894</v>
      </c>
      <c r="AF465" s="655">
        <v>88755</v>
      </c>
      <c r="AG465" s="655">
        <v>328657</v>
      </c>
      <c r="AH465" s="655">
        <v>0</v>
      </c>
      <c r="AI465" s="655">
        <v>1663491</v>
      </c>
      <c r="AJ465" s="655">
        <v>1529940</v>
      </c>
      <c r="AK465" s="655">
        <v>9231737</v>
      </c>
      <c r="AL465" s="655">
        <v>7822817</v>
      </c>
      <c r="AM465" s="655">
        <v>1408920</v>
      </c>
    </row>
    <row r="466" spans="1:39" x14ac:dyDescent="0.2">
      <c r="A466" s="648">
        <v>2014</v>
      </c>
      <c r="B466" s="648">
        <v>10</v>
      </c>
      <c r="C466" s="657" t="s">
        <v>207</v>
      </c>
      <c r="D466" s="648">
        <v>2766</v>
      </c>
      <c r="E466" s="648" t="s">
        <v>920</v>
      </c>
      <c r="F466" s="655">
        <v>1951528</v>
      </c>
      <c r="G466" s="655">
        <v>89946</v>
      </c>
      <c r="H466" s="655">
        <v>19528</v>
      </c>
      <c r="I466" s="655">
        <v>188185</v>
      </c>
      <c r="J466" s="655">
        <v>179687</v>
      </c>
      <c r="K466" s="655">
        <v>18331</v>
      </c>
      <c r="L466" s="655">
        <v>18447</v>
      </c>
      <c r="M466" s="655">
        <v>0</v>
      </c>
      <c r="N466" s="655">
        <v>92237</v>
      </c>
      <c r="O466" s="655">
        <v>13521</v>
      </c>
      <c r="P466" s="655">
        <v>16076</v>
      </c>
      <c r="Q466" s="655">
        <v>17655</v>
      </c>
      <c r="R466" s="655">
        <v>0</v>
      </c>
      <c r="S466" s="655">
        <v>8894</v>
      </c>
      <c r="T466" s="655">
        <v>1035</v>
      </c>
      <c r="U466" s="655">
        <v>40000</v>
      </c>
      <c r="V466" s="655">
        <v>0</v>
      </c>
      <c r="W466" s="655">
        <v>69675</v>
      </c>
      <c r="X466" s="655">
        <v>46325</v>
      </c>
      <c r="Y466" s="655">
        <v>0</v>
      </c>
      <c r="Z466" s="655">
        <v>0</v>
      </c>
      <c r="AA466" s="655">
        <v>0</v>
      </c>
      <c r="AB466" s="655">
        <v>0</v>
      </c>
      <c r="AC466" s="655">
        <v>-3844</v>
      </c>
      <c r="AD466" s="655">
        <v>19800</v>
      </c>
      <c r="AE466" s="655">
        <v>2747426</v>
      </c>
      <c r="AF466" s="655">
        <v>85694</v>
      </c>
      <c r="AG466" s="655">
        <v>171749</v>
      </c>
      <c r="AH466" s="655">
        <v>0</v>
      </c>
      <c r="AI466" s="655">
        <v>612637</v>
      </c>
      <c r="AJ466" s="655">
        <v>1642324</v>
      </c>
      <c r="AK466" s="655">
        <v>5259830</v>
      </c>
      <c r="AL466" s="655">
        <v>3716525</v>
      </c>
      <c r="AM466" s="655">
        <v>1543305</v>
      </c>
    </row>
    <row r="467" spans="1:39" x14ac:dyDescent="0.2">
      <c r="A467" s="648">
        <v>2014</v>
      </c>
      <c r="B467" s="648">
        <v>13</v>
      </c>
      <c r="C467" s="657" t="s">
        <v>208</v>
      </c>
      <c r="D467" s="648">
        <v>2772</v>
      </c>
      <c r="E467" s="648" t="s">
        <v>1124</v>
      </c>
      <c r="F467" s="655">
        <v>1621858</v>
      </c>
      <c r="G467" s="655">
        <v>0</v>
      </c>
      <c r="H467" s="655">
        <v>86566</v>
      </c>
      <c r="I467" s="655">
        <v>211280</v>
      </c>
      <c r="J467" s="655">
        <v>140153</v>
      </c>
      <c r="K467" s="655">
        <v>14330</v>
      </c>
      <c r="L467" s="655">
        <v>16265</v>
      </c>
      <c r="M467" s="655">
        <v>0</v>
      </c>
      <c r="N467" s="655">
        <v>78785</v>
      </c>
      <c r="O467" s="655">
        <v>4952</v>
      </c>
      <c r="P467" s="655">
        <v>12973</v>
      </c>
      <c r="Q467" s="655">
        <v>14349</v>
      </c>
      <c r="R467" s="655">
        <v>0</v>
      </c>
      <c r="S467" s="655">
        <v>8091</v>
      </c>
      <c r="T467" s="655">
        <v>855</v>
      </c>
      <c r="U467" s="655">
        <v>0</v>
      </c>
      <c r="V467" s="655">
        <v>0</v>
      </c>
      <c r="W467" s="655">
        <v>8579</v>
      </c>
      <c r="X467" s="655">
        <v>115402</v>
      </c>
      <c r="Y467" s="655">
        <v>0</v>
      </c>
      <c r="Z467" s="655">
        <v>0</v>
      </c>
      <c r="AA467" s="655">
        <v>0</v>
      </c>
      <c r="AB467" s="655">
        <v>0</v>
      </c>
      <c r="AC467" s="655">
        <v>0</v>
      </c>
      <c r="AD467" s="655">
        <v>14801</v>
      </c>
      <c r="AE467" s="655">
        <v>2319637</v>
      </c>
      <c r="AF467" s="655">
        <v>64271</v>
      </c>
      <c r="AG467" s="655">
        <v>133755</v>
      </c>
      <c r="AH467" s="655">
        <v>0</v>
      </c>
      <c r="AI467" s="655">
        <v>748046</v>
      </c>
      <c r="AJ467" s="655">
        <v>-46350</v>
      </c>
      <c r="AK467" s="655">
        <v>3219359</v>
      </c>
      <c r="AL467" s="655">
        <v>3368310</v>
      </c>
      <c r="AM467" s="655">
        <v>-148951</v>
      </c>
    </row>
    <row r="468" spans="1:39" x14ac:dyDescent="0.2">
      <c r="A468" s="648">
        <v>2014</v>
      </c>
      <c r="B468" s="648">
        <v>7</v>
      </c>
      <c r="C468" s="657" t="s">
        <v>209</v>
      </c>
      <c r="D468" s="648">
        <v>2781</v>
      </c>
      <c r="E468" s="648" t="s">
        <v>1125</v>
      </c>
      <c r="F468" s="655">
        <v>7339079</v>
      </c>
      <c r="G468" s="655">
        <v>0</v>
      </c>
      <c r="H468" s="655">
        <v>388873</v>
      </c>
      <c r="I468" s="655">
        <v>1382489</v>
      </c>
      <c r="J468" s="655">
        <v>662136</v>
      </c>
      <c r="K468" s="655">
        <v>71400</v>
      </c>
      <c r="L468" s="655">
        <v>85729</v>
      </c>
      <c r="M468" s="655">
        <v>0</v>
      </c>
      <c r="N468" s="655">
        <v>388203</v>
      </c>
      <c r="O468" s="655">
        <v>0</v>
      </c>
      <c r="P468" s="655">
        <v>61022</v>
      </c>
      <c r="Q468" s="655">
        <v>68204</v>
      </c>
      <c r="R468" s="655">
        <v>0</v>
      </c>
      <c r="S468" s="655">
        <v>49941</v>
      </c>
      <c r="T468" s="655">
        <v>5728</v>
      </c>
      <c r="U468" s="655">
        <v>215856</v>
      </c>
      <c r="V468" s="655">
        <v>48740</v>
      </c>
      <c r="W468" s="655">
        <v>151066</v>
      </c>
      <c r="X468" s="655">
        <v>0</v>
      </c>
      <c r="Y468" s="655">
        <v>0</v>
      </c>
      <c r="Z468" s="655">
        <v>0</v>
      </c>
      <c r="AA468" s="655">
        <v>0</v>
      </c>
      <c r="AB468" s="655">
        <v>0</v>
      </c>
      <c r="AC468" s="655">
        <v>0</v>
      </c>
      <c r="AD468" s="655">
        <v>56126</v>
      </c>
      <c r="AE468" s="655">
        <v>10862340</v>
      </c>
      <c r="AF468" s="655">
        <v>119360</v>
      </c>
      <c r="AG468" s="655">
        <v>529588</v>
      </c>
      <c r="AH468" s="655">
        <v>0</v>
      </c>
      <c r="AI468" s="655">
        <v>1907358</v>
      </c>
      <c r="AJ468" s="655">
        <v>2790685</v>
      </c>
      <c r="AK468" s="655">
        <v>16209331</v>
      </c>
      <c r="AL468" s="655">
        <v>13623096</v>
      </c>
      <c r="AM468" s="655">
        <v>2586235</v>
      </c>
    </row>
    <row r="469" spans="1:39" x14ac:dyDescent="0.2">
      <c r="A469" s="648">
        <v>2014</v>
      </c>
      <c r="B469" s="648">
        <v>13</v>
      </c>
      <c r="C469" s="657" t="s">
        <v>210</v>
      </c>
      <c r="D469" s="648">
        <v>2826</v>
      </c>
      <c r="E469" s="648" t="s">
        <v>1126</v>
      </c>
      <c r="F469" s="655">
        <v>8927289</v>
      </c>
      <c r="G469" s="655">
        <v>0</v>
      </c>
      <c r="H469" s="655">
        <v>189223</v>
      </c>
      <c r="I469" s="655">
        <v>1113354</v>
      </c>
      <c r="J469" s="655">
        <v>764637</v>
      </c>
      <c r="K469" s="655">
        <v>90099</v>
      </c>
      <c r="L469" s="655">
        <v>88403</v>
      </c>
      <c r="M469" s="655">
        <v>0</v>
      </c>
      <c r="N469" s="655">
        <v>438604</v>
      </c>
      <c r="O469" s="655">
        <v>0</v>
      </c>
      <c r="P469" s="655">
        <v>78190</v>
      </c>
      <c r="Q469" s="655">
        <v>86479</v>
      </c>
      <c r="R469" s="655">
        <v>0</v>
      </c>
      <c r="S469" s="655">
        <v>45045</v>
      </c>
      <c r="T469" s="655">
        <v>4759</v>
      </c>
      <c r="U469" s="655">
        <v>437670</v>
      </c>
      <c r="V469" s="655">
        <v>0</v>
      </c>
      <c r="W469" s="655">
        <v>36006</v>
      </c>
      <c r="X469" s="655">
        <v>0</v>
      </c>
      <c r="Y469" s="655">
        <v>0</v>
      </c>
      <c r="Z469" s="655">
        <v>0</v>
      </c>
      <c r="AA469" s="655">
        <v>0</v>
      </c>
      <c r="AB469" s="655">
        <v>0</v>
      </c>
      <c r="AC469" s="655">
        <v>-6283</v>
      </c>
      <c r="AD469" s="655">
        <v>75561</v>
      </c>
      <c r="AE469" s="655">
        <v>12217914</v>
      </c>
      <c r="AF469" s="655">
        <v>100997</v>
      </c>
      <c r="AG469" s="655">
        <v>677135</v>
      </c>
      <c r="AH469" s="655">
        <v>0</v>
      </c>
      <c r="AI469" s="655">
        <v>2283905</v>
      </c>
      <c r="AJ469" s="655">
        <v>8265746</v>
      </c>
      <c r="AK469" s="655">
        <v>23545697</v>
      </c>
      <c r="AL469" s="655">
        <v>15902835</v>
      </c>
      <c r="AM469" s="655">
        <v>7642862</v>
      </c>
    </row>
    <row r="470" spans="1:39" x14ac:dyDescent="0.2">
      <c r="A470" s="648">
        <v>2014</v>
      </c>
      <c r="B470" s="648">
        <v>15</v>
      </c>
      <c r="C470" s="657" t="s">
        <v>211</v>
      </c>
      <c r="D470" s="648">
        <v>2834</v>
      </c>
      <c r="E470" s="648" t="s">
        <v>1127</v>
      </c>
      <c r="F470" s="655">
        <v>2203560</v>
      </c>
      <c r="G470" s="655">
        <v>0</v>
      </c>
      <c r="H470" s="655">
        <v>16068</v>
      </c>
      <c r="I470" s="655">
        <v>338553</v>
      </c>
      <c r="J470" s="655">
        <v>186574</v>
      </c>
      <c r="K470" s="655">
        <v>17708</v>
      </c>
      <c r="L470" s="655">
        <v>22745</v>
      </c>
      <c r="M470" s="655">
        <v>0</v>
      </c>
      <c r="N470" s="655">
        <v>110676</v>
      </c>
      <c r="O470" s="655">
        <v>10003</v>
      </c>
      <c r="P470" s="655">
        <v>18272</v>
      </c>
      <c r="Q470" s="655">
        <v>20064</v>
      </c>
      <c r="R470" s="655">
        <v>0</v>
      </c>
      <c r="S470" s="655">
        <v>11068</v>
      </c>
      <c r="T470" s="655">
        <v>1192</v>
      </c>
      <c r="U470" s="655">
        <v>0</v>
      </c>
      <c r="V470" s="655">
        <v>0</v>
      </c>
      <c r="W470" s="655">
        <v>48008</v>
      </c>
      <c r="X470" s="655">
        <v>0</v>
      </c>
      <c r="Y470" s="655">
        <v>0</v>
      </c>
      <c r="Z470" s="655">
        <v>0</v>
      </c>
      <c r="AA470" s="655">
        <v>0</v>
      </c>
      <c r="AB470" s="655">
        <v>0</v>
      </c>
      <c r="AC470" s="655">
        <v>0</v>
      </c>
      <c r="AD470" s="655">
        <v>23152</v>
      </c>
      <c r="AE470" s="655">
        <v>2981339</v>
      </c>
      <c r="AF470" s="655">
        <v>58150</v>
      </c>
      <c r="AG470" s="655">
        <v>158392</v>
      </c>
      <c r="AH470" s="655">
        <v>0</v>
      </c>
      <c r="AI470" s="655">
        <v>415906</v>
      </c>
      <c r="AJ470" s="655">
        <v>1123743</v>
      </c>
      <c r="AK470" s="655">
        <v>4737530</v>
      </c>
      <c r="AL470" s="655">
        <v>4252178</v>
      </c>
      <c r="AM470" s="655">
        <v>485352</v>
      </c>
    </row>
    <row r="471" spans="1:39" x14ac:dyDescent="0.2">
      <c r="A471" s="648">
        <v>2014</v>
      </c>
      <c r="B471" s="648">
        <v>5</v>
      </c>
      <c r="C471" s="657" t="s">
        <v>212</v>
      </c>
      <c r="D471" s="648">
        <v>2846</v>
      </c>
      <c r="E471" s="648" t="s">
        <v>1128</v>
      </c>
      <c r="F471" s="655">
        <v>2008685</v>
      </c>
      <c r="G471" s="655">
        <v>0</v>
      </c>
      <c r="H471" s="655">
        <v>28316</v>
      </c>
      <c r="I471" s="655">
        <v>143592</v>
      </c>
      <c r="J471" s="655">
        <v>179967</v>
      </c>
      <c r="K471" s="655">
        <v>18611</v>
      </c>
      <c r="L471" s="655">
        <v>24554</v>
      </c>
      <c r="M471" s="655">
        <v>0</v>
      </c>
      <c r="N471" s="655">
        <v>97005</v>
      </c>
      <c r="O471" s="655">
        <v>0</v>
      </c>
      <c r="P471" s="655">
        <v>16393</v>
      </c>
      <c r="Q471" s="655">
        <v>18428</v>
      </c>
      <c r="R471" s="655">
        <v>1524</v>
      </c>
      <c r="S471" s="655">
        <v>10351</v>
      </c>
      <c r="T471" s="655">
        <v>1234</v>
      </c>
      <c r="U471" s="655">
        <v>65148</v>
      </c>
      <c r="V471" s="655">
        <v>0</v>
      </c>
      <c r="W471" s="655">
        <v>22291</v>
      </c>
      <c r="X471" s="655">
        <v>22998</v>
      </c>
      <c r="Y471" s="655">
        <v>0</v>
      </c>
      <c r="Z471" s="655">
        <v>0</v>
      </c>
      <c r="AA471" s="655">
        <v>0</v>
      </c>
      <c r="AB471" s="655">
        <v>0</v>
      </c>
      <c r="AC471" s="655">
        <v>0</v>
      </c>
      <c r="AD471" s="655">
        <v>15519</v>
      </c>
      <c r="AE471" s="655">
        <v>2643578</v>
      </c>
      <c r="AF471" s="655">
        <v>58150</v>
      </c>
      <c r="AG471" s="655">
        <v>175057</v>
      </c>
      <c r="AH471" s="655">
        <v>0</v>
      </c>
      <c r="AI471" s="655">
        <v>647844</v>
      </c>
      <c r="AJ471" s="655">
        <v>2539831</v>
      </c>
      <c r="AK471" s="655">
        <v>6064460</v>
      </c>
      <c r="AL471" s="655">
        <v>3135496</v>
      </c>
      <c r="AM471" s="655">
        <v>2928964</v>
      </c>
    </row>
    <row r="472" spans="1:39" x14ac:dyDescent="0.2">
      <c r="A472" s="648">
        <v>2014</v>
      </c>
      <c r="B472" s="648">
        <v>12</v>
      </c>
      <c r="C472" s="657" t="s">
        <v>213</v>
      </c>
      <c r="D472" s="648">
        <v>2862</v>
      </c>
      <c r="E472" s="648" t="s">
        <v>1129</v>
      </c>
      <c r="F472" s="655">
        <v>3900026</v>
      </c>
      <c r="G472" s="655">
        <v>0</v>
      </c>
      <c r="H472" s="655">
        <v>108779</v>
      </c>
      <c r="I472" s="655">
        <v>680145</v>
      </c>
      <c r="J472" s="655">
        <v>355093</v>
      </c>
      <c r="K472" s="655">
        <v>38128</v>
      </c>
      <c r="L472" s="655">
        <v>34966</v>
      </c>
      <c r="M472" s="655">
        <v>0</v>
      </c>
      <c r="N472" s="655">
        <v>204734</v>
      </c>
      <c r="O472" s="655">
        <v>6735</v>
      </c>
      <c r="P472" s="655">
        <v>36216</v>
      </c>
      <c r="Q472" s="655">
        <v>40695</v>
      </c>
      <c r="R472" s="655">
        <v>0</v>
      </c>
      <c r="S472" s="655">
        <v>20539</v>
      </c>
      <c r="T472" s="655">
        <v>2458</v>
      </c>
      <c r="U472" s="655">
        <v>191208</v>
      </c>
      <c r="V472" s="655">
        <v>0</v>
      </c>
      <c r="W472" s="655">
        <v>19360</v>
      </c>
      <c r="X472" s="655">
        <v>258904</v>
      </c>
      <c r="Y472" s="655">
        <v>0</v>
      </c>
      <c r="Z472" s="655">
        <v>0</v>
      </c>
      <c r="AA472" s="655">
        <v>0</v>
      </c>
      <c r="AB472" s="655">
        <v>0</v>
      </c>
      <c r="AC472" s="655">
        <v>-7137</v>
      </c>
      <c r="AD472" s="655">
        <v>41896</v>
      </c>
      <c r="AE472" s="655">
        <v>5848953</v>
      </c>
      <c r="AF472" s="655">
        <v>76513</v>
      </c>
      <c r="AG472" s="655">
        <v>319529</v>
      </c>
      <c r="AH472" s="655">
        <v>0</v>
      </c>
      <c r="AI472" s="655">
        <v>697834</v>
      </c>
      <c r="AJ472" s="655">
        <v>2078725</v>
      </c>
      <c r="AK472" s="655">
        <v>9021554</v>
      </c>
      <c r="AL472" s="655">
        <v>7105543</v>
      </c>
      <c r="AM472" s="655">
        <v>1916011</v>
      </c>
    </row>
    <row r="473" spans="1:39" x14ac:dyDescent="0.2">
      <c r="A473" s="648">
        <v>2014</v>
      </c>
      <c r="B473" s="648">
        <v>10</v>
      </c>
      <c r="C473" s="657" t="s">
        <v>214</v>
      </c>
      <c r="D473" s="648">
        <v>2977</v>
      </c>
      <c r="E473" s="648" t="s">
        <v>1130</v>
      </c>
      <c r="F473" s="655">
        <v>4037412</v>
      </c>
      <c r="G473" s="655">
        <v>0</v>
      </c>
      <c r="H473" s="655">
        <v>239417</v>
      </c>
      <c r="I473" s="655">
        <v>492251</v>
      </c>
      <c r="J473" s="655">
        <v>369402</v>
      </c>
      <c r="K473" s="655">
        <v>38784</v>
      </c>
      <c r="L473" s="655">
        <v>43382</v>
      </c>
      <c r="M473" s="655">
        <v>0</v>
      </c>
      <c r="N473" s="655">
        <v>198451</v>
      </c>
      <c r="O473" s="655">
        <v>2527</v>
      </c>
      <c r="P473" s="655">
        <v>33353</v>
      </c>
      <c r="Q473" s="655">
        <v>36630</v>
      </c>
      <c r="R473" s="655">
        <v>0</v>
      </c>
      <c r="S473" s="655">
        <v>18404</v>
      </c>
      <c r="T473" s="655">
        <v>2139</v>
      </c>
      <c r="U473" s="655">
        <v>86250</v>
      </c>
      <c r="V473" s="655">
        <v>0</v>
      </c>
      <c r="W473" s="655">
        <v>111765</v>
      </c>
      <c r="X473" s="655">
        <v>289340</v>
      </c>
      <c r="Y473" s="655">
        <v>0</v>
      </c>
      <c r="Z473" s="655">
        <v>0</v>
      </c>
      <c r="AA473" s="655">
        <v>0</v>
      </c>
      <c r="AB473" s="655">
        <v>0</v>
      </c>
      <c r="AC473" s="655">
        <v>0</v>
      </c>
      <c r="AD473" s="655">
        <v>28769</v>
      </c>
      <c r="AE473" s="655">
        <v>5970738</v>
      </c>
      <c r="AF473" s="655">
        <v>113239</v>
      </c>
      <c r="AG473" s="655">
        <v>304663</v>
      </c>
      <c r="AH473" s="655">
        <v>0</v>
      </c>
      <c r="AI473" s="655">
        <v>1105797</v>
      </c>
      <c r="AJ473" s="655">
        <v>430314</v>
      </c>
      <c r="AK473" s="655">
        <v>7924751</v>
      </c>
      <c r="AL473" s="655">
        <v>7381212</v>
      </c>
      <c r="AM473" s="655">
        <v>543539</v>
      </c>
    </row>
    <row r="474" spans="1:39" x14ac:dyDescent="0.2">
      <c r="A474" s="648">
        <v>2014</v>
      </c>
      <c r="B474" s="648">
        <v>12</v>
      </c>
      <c r="C474" s="657" t="s">
        <v>215</v>
      </c>
      <c r="D474" s="648">
        <v>2988</v>
      </c>
      <c r="E474" s="648" t="s">
        <v>1131</v>
      </c>
      <c r="F474" s="655">
        <v>3242906</v>
      </c>
      <c r="G474" s="655">
        <v>0</v>
      </c>
      <c r="H474" s="655">
        <v>30917</v>
      </c>
      <c r="I474" s="655">
        <v>265284</v>
      </c>
      <c r="J474" s="655">
        <v>291824</v>
      </c>
      <c r="K474" s="655">
        <v>32736</v>
      </c>
      <c r="L474" s="655">
        <v>35211</v>
      </c>
      <c r="M474" s="655">
        <v>0</v>
      </c>
      <c r="N474" s="655">
        <v>158020</v>
      </c>
      <c r="O474" s="655">
        <v>1299</v>
      </c>
      <c r="P474" s="655">
        <v>27804</v>
      </c>
      <c r="Q474" s="655">
        <v>31243</v>
      </c>
      <c r="R474" s="655">
        <v>0</v>
      </c>
      <c r="S474" s="655">
        <v>15853</v>
      </c>
      <c r="T474" s="655">
        <v>1897</v>
      </c>
      <c r="U474" s="655">
        <v>116027</v>
      </c>
      <c r="V474" s="655">
        <v>0</v>
      </c>
      <c r="W474" s="655">
        <v>102833</v>
      </c>
      <c r="X474" s="655">
        <v>28748</v>
      </c>
      <c r="Y474" s="655">
        <v>0</v>
      </c>
      <c r="Z474" s="655">
        <v>0</v>
      </c>
      <c r="AA474" s="655">
        <v>0</v>
      </c>
      <c r="AB474" s="655">
        <v>0</v>
      </c>
      <c r="AC474" s="655">
        <v>0</v>
      </c>
      <c r="AD474" s="655">
        <v>25986</v>
      </c>
      <c r="AE474" s="655">
        <v>4356616</v>
      </c>
      <c r="AF474" s="655">
        <v>110178</v>
      </c>
      <c r="AG474" s="655">
        <v>254147</v>
      </c>
      <c r="AH474" s="655">
        <v>0</v>
      </c>
      <c r="AI474" s="655">
        <v>1865804</v>
      </c>
      <c r="AJ474" s="655">
        <v>1231470</v>
      </c>
      <c r="AK474" s="655">
        <v>7818215</v>
      </c>
      <c r="AL474" s="655">
        <v>6842909</v>
      </c>
      <c r="AM474" s="655">
        <v>975306</v>
      </c>
    </row>
    <row r="475" spans="1:39" x14ac:dyDescent="0.2">
      <c r="A475" s="648">
        <v>2014</v>
      </c>
      <c r="B475" s="648">
        <v>1</v>
      </c>
      <c r="C475" s="657" t="s">
        <v>216</v>
      </c>
      <c r="D475" s="648">
        <v>3029</v>
      </c>
      <c r="E475" s="648" t="s">
        <v>1132</v>
      </c>
      <c r="F475" s="655">
        <v>8247075</v>
      </c>
      <c r="G475" s="655">
        <v>49187</v>
      </c>
      <c r="H475" s="655">
        <v>143706</v>
      </c>
      <c r="I475" s="655">
        <v>1000414</v>
      </c>
      <c r="J475" s="655">
        <v>726163</v>
      </c>
      <c r="K475" s="655">
        <v>77769</v>
      </c>
      <c r="L475" s="655">
        <v>75603</v>
      </c>
      <c r="M475" s="655">
        <v>0</v>
      </c>
      <c r="N475" s="655">
        <v>419617</v>
      </c>
      <c r="O475" s="655">
        <v>12313</v>
      </c>
      <c r="P475" s="655">
        <v>74583</v>
      </c>
      <c r="Q475" s="655">
        <v>83277</v>
      </c>
      <c r="R475" s="655">
        <v>0</v>
      </c>
      <c r="S475" s="655">
        <v>41861</v>
      </c>
      <c r="T475" s="655">
        <v>4450</v>
      </c>
      <c r="U475" s="655">
        <v>355897</v>
      </c>
      <c r="V475" s="655">
        <v>0</v>
      </c>
      <c r="W475" s="655">
        <v>107418</v>
      </c>
      <c r="X475" s="655">
        <v>8967</v>
      </c>
      <c r="Y475" s="655">
        <v>0</v>
      </c>
      <c r="Z475" s="655">
        <v>0</v>
      </c>
      <c r="AA475" s="655">
        <v>0</v>
      </c>
      <c r="AB475" s="655">
        <v>0</v>
      </c>
      <c r="AC475" s="655">
        <v>0</v>
      </c>
      <c r="AD475" s="655">
        <v>74965</v>
      </c>
      <c r="AE475" s="655">
        <v>11353335</v>
      </c>
      <c r="AF475" s="655">
        <v>290748</v>
      </c>
      <c r="AG475" s="655">
        <v>653994</v>
      </c>
      <c r="AH475" s="655">
        <v>0</v>
      </c>
      <c r="AI475" s="655">
        <v>1760926</v>
      </c>
      <c r="AJ475" s="655">
        <v>2747505</v>
      </c>
      <c r="AK475" s="655">
        <v>16806508</v>
      </c>
      <c r="AL475" s="655">
        <v>14349184</v>
      </c>
      <c r="AM475" s="655">
        <v>2457324</v>
      </c>
    </row>
    <row r="476" spans="1:39" x14ac:dyDescent="0.2">
      <c r="A476" s="648">
        <v>2014</v>
      </c>
      <c r="B476" s="648">
        <v>7</v>
      </c>
      <c r="C476" s="657" t="s">
        <v>217</v>
      </c>
      <c r="D476" s="648">
        <v>3033</v>
      </c>
      <c r="E476" s="648" t="s">
        <v>640</v>
      </c>
      <c r="F476" s="655">
        <v>2659621</v>
      </c>
      <c r="G476" s="655">
        <v>0</v>
      </c>
      <c r="H476" s="655">
        <v>59051</v>
      </c>
      <c r="I476" s="655">
        <v>279986</v>
      </c>
      <c r="J476" s="655">
        <v>222942</v>
      </c>
      <c r="K476" s="655">
        <v>18442</v>
      </c>
      <c r="L476" s="655">
        <v>21591</v>
      </c>
      <c r="M476" s="655">
        <v>0</v>
      </c>
      <c r="N476" s="655">
        <v>128493</v>
      </c>
      <c r="O476" s="655">
        <v>0</v>
      </c>
      <c r="P476" s="655">
        <v>21517</v>
      </c>
      <c r="Q476" s="655">
        <v>24049</v>
      </c>
      <c r="R476" s="655">
        <v>0</v>
      </c>
      <c r="S476" s="655">
        <v>16530</v>
      </c>
      <c r="T476" s="655">
        <v>1896</v>
      </c>
      <c r="U476" s="655">
        <v>130421</v>
      </c>
      <c r="V476" s="655">
        <v>0</v>
      </c>
      <c r="W476" s="655">
        <v>184173</v>
      </c>
      <c r="X476" s="655">
        <v>262779</v>
      </c>
      <c r="Y476" s="655">
        <v>0</v>
      </c>
      <c r="Z476" s="655">
        <v>0</v>
      </c>
      <c r="AA476" s="655">
        <v>0</v>
      </c>
      <c r="AB476" s="655">
        <v>0</v>
      </c>
      <c r="AC476" s="655">
        <v>0</v>
      </c>
      <c r="AD476" s="655">
        <v>23920</v>
      </c>
      <c r="AE476" s="655">
        <v>4007571</v>
      </c>
      <c r="AF476" s="655">
        <v>70392</v>
      </c>
      <c r="AG476" s="655">
        <v>227717</v>
      </c>
      <c r="AH476" s="655">
        <v>0</v>
      </c>
      <c r="AI476" s="655">
        <v>1474500</v>
      </c>
      <c r="AJ476" s="655">
        <v>1271443</v>
      </c>
      <c r="AK476" s="655">
        <v>7051623</v>
      </c>
      <c r="AL476" s="655">
        <v>5617635</v>
      </c>
      <c r="AM476" s="655">
        <v>1433988</v>
      </c>
    </row>
    <row r="477" spans="1:39" x14ac:dyDescent="0.2">
      <c r="A477" s="648">
        <v>2014</v>
      </c>
      <c r="B477" s="648">
        <v>7</v>
      </c>
      <c r="C477" s="657" t="s">
        <v>218</v>
      </c>
      <c r="D477" s="648">
        <v>3042</v>
      </c>
      <c r="E477" s="648" t="s">
        <v>1134</v>
      </c>
      <c r="F477" s="655">
        <v>4356832</v>
      </c>
      <c r="G477" s="655">
        <v>0</v>
      </c>
      <c r="H477" s="655">
        <v>68765</v>
      </c>
      <c r="I477" s="655">
        <v>506135</v>
      </c>
      <c r="J477" s="655">
        <v>397367</v>
      </c>
      <c r="K477" s="655">
        <v>44973</v>
      </c>
      <c r="L477" s="655">
        <v>33749</v>
      </c>
      <c r="M477" s="655">
        <v>0</v>
      </c>
      <c r="N477" s="655">
        <v>210438</v>
      </c>
      <c r="O477" s="655">
        <v>0</v>
      </c>
      <c r="P477" s="655">
        <v>35424</v>
      </c>
      <c r="Q477" s="655">
        <v>39593</v>
      </c>
      <c r="R477" s="655">
        <v>0</v>
      </c>
      <c r="S477" s="655">
        <v>27072</v>
      </c>
      <c r="T477" s="655">
        <v>3105</v>
      </c>
      <c r="U477" s="655">
        <v>131874</v>
      </c>
      <c r="V477" s="655">
        <v>0</v>
      </c>
      <c r="W477" s="655">
        <v>72012</v>
      </c>
      <c r="X477" s="655">
        <v>82466</v>
      </c>
      <c r="Y477" s="655">
        <v>0</v>
      </c>
      <c r="Z477" s="655">
        <v>0</v>
      </c>
      <c r="AA477" s="655">
        <v>0</v>
      </c>
      <c r="AB477" s="655">
        <v>0</v>
      </c>
      <c r="AC477" s="655">
        <v>-6176</v>
      </c>
      <c r="AD477" s="655">
        <v>34532</v>
      </c>
      <c r="AE477" s="655">
        <v>5969097</v>
      </c>
      <c r="AF477" s="655">
        <v>0</v>
      </c>
      <c r="AG477" s="655">
        <v>318789</v>
      </c>
      <c r="AH477" s="655">
        <v>0</v>
      </c>
      <c r="AI477" s="655">
        <v>1158713</v>
      </c>
      <c r="AJ477" s="655">
        <v>991541</v>
      </c>
      <c r="AK477" s="655">
        <v>8438140</v>
      </c>
      <c r="AL477" s="655">
        <v>7079676</v>
      </c>
      <c r="AM477" s="655">
        <v>1358464</v>
      </c>
    </row>
    <row r="478" spans="1:39" x14ac:dyDescent="0.2">
      <c r="A478" s="648">
        <v>2014</v>
      </c>
      <c r="B478" s="648">
        <v>5</v>
      </c>
      <c r="C478" s="657" t="s">
        <v>219</v>
      </c>
      <c r="D478" s="648">
        <v>3060</v>
      </c>
      <c r="E478" s="648" t="s">
        <v>1135</v>
      </c>
      <c r="F478" s="655">
        <v>7127905</v>
      </c>
      <c r="G478" s="655">
        <v>0</v>
      </c>
      <c r="H478" s="655">
        <v>293459</v>
      </c>
      <c r="I478" s="655">
        <v>646133</v>
      </c>
      <c r="J478" s="655">
        <v>631881</v>
      </c>
      <c r="K478" s="655">
        <v>68927</v>
      </c>
      <c r="L478" s="655">
        <v>76706</v>
      </c>
      <c r="M478" s="655">
        <v>0</v>
      </c>
      <c r="N478" s="655">
        <v>354448</v>
      </c>
      <c r="O478" s="655">
        <v>0</v>
      </c>
      <c r="P478" s="655">
        <v>65622</v>
      </c>
      <c r="Q478" s="655">
        <v>73767</v>
      </c>
      <c r="R478" s="655">
        <v>5732</v>
      </c>
      <c r="S478" s="655">
        <v>37822</v>
      </c>
      <c r="T478" s="655">
        <v>4509</v>
      </c>
      <c r="U478" s="655">
        <v>297430</v>
      </c>
      <c r="V478" s="655">
        <v>0</v>
      </c>
      <c r="W478" s="655">
        <v>153025</v>
      </c>
      <c r="X478" s="655">
        <v>284742</v>
      </c>
      <c r="Y478" s="655">
        <v>0</v>
      </c>
      <c r="Z478" s="655">
        <v>0</v>
      </c>
      <c r="AA478" s="655">
        <v>0</v>
      </c>
      <c r="AB478" s="655">
        <v>0</v>
      </c>
      <c r="AC478" s="655">
        <v>-8701</v>
      </c>
      <c r="AD478" s="655">
        <v>61988</v>
      </c>
      <c r="AE478" s="655">
        <v>10051419</v>
      </c>
      <c r="AF478" s="655">
        <v>263203</v>
      </c>
      <c r="AG478" s="655">
        <v>552769</v>
      </c>
      <c r="AH478" s="655">
        <v>0</v>
      </c>
      <c r="AI478" s="655">
        <v>2435138</v>
      </c>
      <c r="AJ478" s="655">
        <v>2198687</v>
      </c>
      <c r="AK478" s="655">
        <v>15501216</v>
      </c>
      <c r="AL478" s="655">
        <v>13840638</v>
      </c>
      <c r="AM478" s="655">
        <v>1660578</v>
      </c>
    </row>
    <row r="479" spans="1:39" x14ac:dyDescent="0.2">
      <c r="A479" s="648">
        <v>2014</v>
      </c>
      <c r="B479" s="648">
        <v>7</v>
      </c>
      <c r="C479" s="657" t="s">
        <v>220</v>
      </c>
      <c r="D479" s="648">
        <v>3105</v>
      </c>
      <c r="E479" s="648" t="s">
        <v>1136</v>
      </c>
      <c r="F479" s="655">
        <v>8453713</v>
      </c>
      <c r="G479" s="655">
        <v>0</v>
      </c>
      <c r="H479" s="655">
        <v>78300</v>
      </c>
      <c r="I479" s="655">
        <v>1669258</v>
      </c>
      <c r="J479" s="655">
        <v>765516</v>
      </c>
      <c r="K479" s="655">
        <v>90421</v>
      </c>
      <c r="L479" s="655">
        <v>84399</v>
      </c>
      <c r="M479" s="655">
        <v>0</v>
      </c>
      <c r="N479" s="655">
        <v>450581</v>
      </c>
      <c r="O479" s="655">
        <v>0</v>
      </c>
      <c r="P479" s="655">
        <v>75635</v>
      </c>
      <c r="Q479" s="655">
        <v>84536</v>
      </c>
      <c r="R479" s="655">
        <v>0</v>
      </c>
      <c r="S479" s="655">
        <v>57966</v>
      </c>
      <c r="T479" s="655">
        <v>6648</v>
      </c>
      <c r="U479" s="655">
        <v>371317</v>
      </c>
      <c r="V479" s="655">
        <v>0</v>
      </c>
      <c r="W479" s="655">
        <v>171040</v>
      </c>
      <c r="X479" s="655">
        <v>0</v>
      </c>
      <c r="Y479" s="655">
        <v>0</v>
      </c>
      <c r="Z479" s="655">
        <v>0</v>
      </c>
      <c r="AA479" s="655">
        <v>0</v>
      </c>
      <c r="AB479" s="655">
        <v>0</v>
      </c>
      <c r="AC479" s="655">
        <v>0</v>
      </c>
      <c r="AD479" s="655">
        <v>73977</v>
      </c>
      <c r="AE479" s="655">
        <v>12285353</v>
      </c>
      <c r="AF479" s="655">
        <v>309111</v>
      </c>
      <c r="AG479" s="655">
        <v>628533</v>
      </c>
      <c r="AH479" s="655">
        <v>0</v>
      </c>
      <c r="AI479" s="655">
        <v>2108092</v>
      </c>
      <c r="AJ479" s="655">
        <v>2817236</v>
      </c>
      <c r="AK479" s="655">
        <v>18148325</v>
      </c>
      <c r="AL479" s="655">
        <v>16051830</v>
      </c>
      <c r="AM479" s="655">
        <v>2096495</v>
      </c>
    </row>
    <row r="480" spans="1:39" x14ac:dyDescent="0.2">
      <c r="A480" s="648">
        <v>2014</v>
      </c>
      <c r="B480" s="648">
        <v>11</v>
      </c>
      <c r="C480" s="657" t="s">
        <v>221</v>
      </c>
      <c r="D480" s="648">
        <v>3114</v>
      </c>
      <c r="E480" s="648" t="s">
        <v>1137</v>
      </c>
      <c r="F480" s="655">
        <v>20868937</v>
      </c>
      <c r="G480" s="655">
        <v>0</v>
      </c>
      <c r="H480" s="655">
        <v>291929</v>
      </c>
      <c r="I480" s="655">
        <v>2045087</v>
      </c>
      <c r="J480" s="655">
        <v>1656389</v>
      </c>
      <c r="K480" s="655">
        <v>197268</v>
      </c>
      <c r="L480" s="655">
        <v>186392</v>
      </c>
      <c r="M480" s="655">
        <v>0</v>
      </c>
      <c r="N480" s="655">
        <v>977318</v>
      </c>
      <c r="O480" s="655">
        <v>0</v>
      </c>
      <c r="P480" s="655">
        <v>171713</v>
      </c>
      <c r="Q480" s="655">
        <v>188416</v>
      </c>
      <c r="R480" s="655">
        <v>0</v>
      </c>
      <c r="S480" s="655">
        <v>78988</v>
      </c>
      <c r="T480" s="655">
        <v>10107</v>
      </c>
      <c r="U480" s="655">
        <v>1022990</v>
      </c>
      <c r="V480" s="655">
        <v>0</v>
      </c>
      <c r="W480" s="655">
        <v>98709</v>
      </c>
      <c r="X480" s="655">
        <v>485426</v>
      </c>
      <c r="Y480" s="655">
        <v>0</v>
      </c>
      <c r="Z480" s="655">
        <v>0</v>
      </c>
      <c r="AA480" s="655">
        <v>0</v>
      </c>
      <c r="AB480" s="655">
        <v>0</v>
      </c>
      <c r="AC480" s="655">
        <v>0</v>
      </c>
      <c r="AD480" s="655">
        <v>139171</v>
      </c>
      <c r="AE480" s="655">
        <v>28140498</v>
      </c>
      <c r="AF480" s="655">
        <v>370321</v>
      </c>
      <c r="AG480" s="655">
        <v>1380898</v>
      </c>
      <c r="AH480" s="655">
        <v>0</v>
      </c>
      <c r="AI480" s="655">
        <v>3347417</v>
      </c>
      <c r="AJ480" s="655">
        <v>6950130</v>
      </c>
      <c r="AK480" s="655">
        <v>40189264</v>
      </c>
      <c r="AL480" s="655">
        <v>33611057</v>
      </c>
      <c r="AM480" s="655">
        <v>6578207</v>
      </c>
    </row>
    <row r="481" spans="1:39" x14ac:dyDescent="0.2">
      <c r="A481" s="648">
        <v>2014</v>
      </c>
      <c r="B481" s="648">
        <v>11</v>
      </c>
      <c r="C481" s="657" t="s">
        <v>222</v>
      </c>
      <c r="D481" s="648">
        <v>3119</v>
      </c>
      <c r="E481" s="648" t="s">
        <v>1138</v>
      </c>
      <c r="F481" s="655">
        <v>5562153</v>
      </c>
      <c r="G481" s="655">
        <v>0</v>
      </c>
      <c r="H481" s="655">
        <v>120474</v>
      </c>
      <c r="I481" s="655">
        <v>489558</v>
      </c>
      <c r="J481" s="655">
        <v>488553</v>
      </c>
      <c r="K481" s="655">
        <v>44272</v>
      </c>
      <c r="L481" s="655">
        <v>50805</v>
      </c>
      <c r="M481" s="655">
        <v>0</v>
      </c>
      <c r="N481" s="655">
        <v>258115</v>
      </c>
      <c r="O481" s="655">
        <v>0</v>
      </c>
      <c r="P481" s="655">
        <v>45613</v>
      </c>
      <c r="Q481" s="655">
        <v>50051</v>
      </c>
      <c r="R481" s="655">
        <v>0</v>
      </c>
      <c r="S481" s="655">
        <v>20861</v>
      </c>
      <c r="T481" s="655">
        <v>2669</v>
      </c>
      <c r="U481" s="655">
        <v>0</v>
      </c>
      <c r="V481" s="655">
        <v>0</v>
      </c>
      <c r="W481" s="655">
        <v>96616</v>
      </c>
      <c r="X481" s="655">
        <v>400133</v>
      </c>
      <c r="Y481" s="655">
        <v>0</v>
      </c>
      <c r="Z481" s="655">
        <v>0</v>
      </c>
      <c r="AA481" s="655">
        <v>0</v>
      </c>
      <c r="AB481" s="655">
        <v>0</v>
      </c>
      <c r="AC481" s="655">
        <v>-30005</v>
      </c>
      <c r="AD481" s="655">
        <v>33511</v>
      </c>
      <c r="AE481" s="655">
        <v>7566357</v>
      </c>
      <c r="AF481" s="655">
        <v>137723</v>
      </c>
      <c r="AG481" s="655">
        <v>0</v>
      </c>
      <c r="AH481" s="655">
        <v>0</v>
      </c>
      <c r="AI481" s="655">
        <v>1013966</v>
      </c>
      <c r="AJ481" s="655">
        <v>2507113</v>
      </c>
      <c r="AK481" s="655">
        <v>11225159</v>
      </c>
      <c r="AL481" s="655">
        <v>9023969</v>
      </c>
      <c r="AM481" s="655">
        <v>2201190</v>
      </c>
    </row>
    <row r="482" spans="1:39" x14ac:dyDescent="0.2">
      <c r="A482" s="648">
        <v>2014</v>
      </c>
      <c r="B482" s="648">
        <v>10</v>
      </c>
      <c r="C482" s="657" t="s">
        <v>223</v>
      </c>
      <c r="D482" s="648">
        <v>3141</v>
      </c>
      <c r="E482" s="648" t="s">
        <v>1139</v>
      </c>
      <c r="F482" s="655">
        <v>78409267</v>
      </c>
      <c r="G482" s="655">
        <v>0</v>
      </c>
      <c r="H482" s="655">
        <v>943490</v>
      </c>
      <c r="I482" s="655">
        <v>9752668</v>
      </c>
      <c r="J482" s="655">
        <v>6455032</v>
      </c>
      <c r="K482" s="655">
        <v>804659</v>
      </c>
      <c r="L482" s="655">
        <v>820372</v>
      </c>
      <c r="M482" s="655">
        <v>0</v>
      </c>
      <c r="N482" s="655">
        <v>3851806</v>
      </c>
      <c r="O482" s="655">
        <v>0</v>
      </c>
      <c r="P482" s="655">
        <v>680687</v>
      </c>
      <c r="Q482" s="655">
        <v>747560</v>
      </c>
      <c r="R482" s="655">
        <v>0</v>
      </c>
      <c r="S482" s="655">
        <v>357215</v>
      </c>
      <c r="T482" s="655">
        <v>41510</v>
      </c>
      <c r="U482" s="655">
        <v>3843817</v>
      </c>
      <c r="V482" s="655">
        <v>2189267</v>
      </c>
      <c r="W482" s="655">
        <v>2367549</v>
      </c>
      <c r="X482" s="655">
        <v>5131973</v>
      </c>
      <c r="Y482" s="655">
        <v>0</v>
      </c>
      <c r="Z482" s="655">
        <v>0</v>
      </c>
      <c r="AA482" s="655">
        <v>0</v>
      </c>
      <c r="AB482" s="655">
        <v>0</v>
      </c>
      <c r="AC482" s="655">
        <v>1324</v>
      </c>
      <c r="AD482" s="655">
        <v>485100</v>
      </c>
      <c r="AE482" s="655">
        <v>115913096</v>
      </c>
      <c r="AF482" s="655">
        <v>829396</v>
      </c>
      <c r="AG482" s="655">
        <v>6296264</v>
      </c>
      <c r="AH482" s="655">
        <v>0</v>
      </c>
      <c r="AI482" s="655">
        <v>12177474</v>
      </c>
      <c r="AJ482" s="655">
        <v>6947174</v>
      </c>
      <c r="AK482" s="655">
        <v>142163404</v>
      </c>
      <c r="AL482" s="655">
        <v>137738100</v>
      </c>
      <c r="AM482" s="655">
        <v>4425304</v>
      </c>
    </row>
    <row r="483" spans="1:39" x14ac:dyDescent="0.2">
      <c r="A483" s="648">
        <v>2014</v>
      </c>
      <c r="B483" s="648">
        <v>7</v>
      </c>
      <c r="C483" s="657" t="s">
        <v>224</v>
      </c>
      <c r="D483" s="648">
        <v>3150</v>
      </c>
      <c r="E483" s="648" t="s">
        <v>1140</v>
      </c>
      <c r="F483" s="655">
        <v>6658962</v>
      </c>
      <c r="G483" s="655">
        <v>0</v>
      </c>
      <c r="H483" s="655">
        <v>94101</v>
      </c>
      <c r="I483" s="655">
        <v>914060</v>
      </c>
      <c r="J483" s="655">
        <v>583947</v>
      </c>
      <c r="K483" s="655">
        <v>68068</v>
      </c>
      <c r="L483" s="655">
        <v>73362</v>
      </c>
      <c r="M483" s="655">
        <v>0</v>
      </c>
      <c r="N483" s="655">
        <v>336805</v>
      </c>
      <c r="O483" s="655">
        <v>0</v>
      </c>
      <c r="P483" s="655">
        <v>55278</v>
      </c>
      <c r="Q483" s="655">
        <v>61783</v>
      </c>
      <c r="R483" s="655">
        <v>0</v>
      </c>
      <c r="S483" s="655">
        <v>43329</v>
      </c>
      <c r="T483" s="655">
        <v>4970</v>
      </c>
      <c r="U483" s="655">
        <v>326426</v>
      </c>
      <c r="V483" s="655">
        <v>27352</v>
      </c>
      <c r="W483" s="655">
        <v>24067</v>
      </c>
      <c r="X483" s="655">
        <v>404459</v>
      </c>
      <c r="Y483" s="655">
        <v>0</v>
      </c>
      <c r="Z483" s="655">
        <v>0</v>
      </c>
      <c r="AA483" s="655">
        <v>0</v>
      </c>
      <c r="AB483" s="655">
        <v>0</v>
      </c>
      <c r="AC483" s="655">
        <v>0</v>
      </c>
      <c r="AD483" s="655">
        <v>49711</v>
      </c>
      <c r="AE483" s="655">
        <v>9627258</v>
      </c>
      <c r="AF483" s="655">
        <v>42847</v>
      </c>
      <c r="AG483" s="655">
        <v>470456</v>
      </c>
      <c r="AH483" s="655">
        <v>0</v>
      </c>
      <c r="AI483" s="655">
        <v>1921626</v>
      </c>
      <c r="AJ483" s="655">
        <v>3751158</v>
      </c>
      <c r="AK483" s="655">
        <v>15813345</v>
      </c>
      <c r="AL483" s="655">
        <v>12371803</v>
      </c>
      <c r="AM483" s="655">
        <v>3441542</v>
      </c>
    </row>
    <row r="484" spans="1:39" x14ac:dyDescent="0.2">
      <c r="A484" s="648">
        <v>2014</v>
      </c>
      <c r="B484" s="648">
        <v>10</v>
      </c>
      <c r="C484" s="657" t="s">
        <v>225</v>
      </c>
      <c r="D484" s="648">
        <v>3154</v>
      </c>
      <c r="E484" s="648" t="s">
        <v>1141</v>
      </c>
      <c r="F484" s="655">
        <v>3431433</v>
      </c>
      <c r="G484" s="655">
        <v>101530</v>
      </c>
      <c r="H484" s="655">
        <v>56723</v>
      </c>
      <c r="I484" s="655">
        <v>414698</v>
      </c>
      <c r="J484" s="655">
        <v>285638</v>
      </c>
      <c r="K484" s="655">
        <v>33423</v>
      </c>
      <c r="L484" s="655">
        <v>27309</v>
      </c>
      <c r="M484" s="655">
        <v>0</v>
      </c>
      <c r="N484" s="655">
        <v>168505</v>
      </c>
      <c r="O484" s="655">
        <v>19103</v>
      </c>
      <c r="P484" s="655">
        <v>28295</v>
      </c>
      <c r="Q484" s="655">
        <v>31075</v>
      </c>
      <c r="R484" s="655">
        <v>0</v>
      </c>
      <c r="S484" s="655">
        <v>16021</v>
      </c>
      <c r="T484" s="655">
        <v>1864</v>
      </c>
      <c r="U484" s="655">
        <v>22708</v>
      </c>
      <c r="V484" s="655">
        <v>0</v>
      </c>
      <c r="W484" s="655">
        <v>66011</v>
      </c>
      <c r="X484" s="655">
        <v>0</v>
      </c>
      <c r="Y484" s="655">
        <v>154653</v>
      </c>
      <c r="Z484" s="655">
        <v>0</v>
      </c>
      <c r="AA484" s="655">
        <v>0</v>
      </c>
      <c r="AB484" s="655">
        <v>0</v>
      </c>
      <c r="AC484" s="655">
        <v>0</v>
      </c>
      <c r="AD484" s="655">
        <v>30923</v>
      </c>
      <c r="AE484" s="655">
        <v>4518760</v>
      </c>
      <c r="AF484" s="655">
        <v>94876</v>
      </c>
      <c r="AG484" s="655">
        <v>244587</v>
      </c>
      <c r="AH484" s="655">
        <v>0</v>
      </c>
      <c r="AI484" s="655">
        <v>629819</v>
      </c>
      <c r="AJ484" s="655">
        <v>1460347</v>
      </c>
      <c r="AK484" s="655">
        <v>6948389</v>
      </c>
      <c r="AL484" s="655">
        <v>5807982</v>
      </c>
      <c r="AM484" s="655">
        <v>1140407</v>
      </c>
    </row>
    <row r="485" spans="1:39" x14ac:dyDescent="0.2">
      <c r="A485" s="648">
        <v>2014</v>
      </c>
      <c r="B485" s="648">
        <v>13</v>
      </c>
      <c r="C485" s="657" t="s">
        <v>1484</v>
      </c>
      <c r="D485" s="648">
        <v>3168</v>
      </c>
      <c r="E485" s="648" t="s">
        <v>1481</v>
      </c>
      <c r="F485" s="655">
        <v>4551393</v>
      </c>
      <c r="G485" s="655">
        <v>1847</v>
      </c>
      <c r="H485" s="655">
        <v>179747</v>
      </c>
      <c r="I485" s="655">
        <v>422536</v>
      </c>
      <c r="J485" s="655">
        <v>423509</v>
      </c>
      <c r="K485" s="655">
        <v>48542</v>
      </c>
      <c r="L485" s="655">
        <v>42917</v>
      </c>
      <c r="M485" s="655">
        <v>0</v>
      </c>
      <c r="N485" s="655">
        <v>215145</v>
      </c>
      <c r="O485" s="655">
        <v>17105</v>
      </c>
      <c r="P485" s="655">
        <v>36816</v>
      </c>
      <c r="Q485" s="655">
        <v>40719</v>
      </c>
      <c r="R485" s="655">
        <v>0</v>
      </c>
      <c r="S485" s="655">
        <v>22096</v>
      </c>
      <c r="T485" s="655">
        <v>2334</v>
      </c>
      <c r="U485" s="655">
        <v>79633</v>
      </c>
      <c r="V485" s="655">
        <v>0</v>
      </c>
      <c r="W485" s="655">
        <v>90015</v>
      </c>
      <c r="X485" s="655">
        <v>162260</v>
      </c>
      <c r="Y485" s="655">
        <v>0</v>
      </c>
      <c r="Z485" s="655">
        <v>0</v>
      </c>
      <c r="AA485" s="655">
        <v>0</v>
      </c>
      <c r="AB485" s="655">
        <v>0</v>
      </c>
      <c r="AC485" s="655">
        <v>0</v>
      </c>
      <c r="AD485" s="655">
        <v>45080</v>
      </c>
      <c r="AE485" s="655">
        <v>6291534</v>
      </c>
      <c r="AF485" s="655">
        <v>134662</v>
      </c>
      <c r="AG485" s="655">
        <v>377555</v>
      </c>
      <c r="AH485" s="655">
        <v>0</v>
      </c>
      <c r="AI485" s="655">
        <v>948545</v>
      </c>
      <c r="AJ485" s="655">
        <v>1749321</v>
      </c>
      <c r="AK485" s="655">
        <v>9501617</v>
      </c>
      <c r="AL485" s="655">
        <v>7636395</v>
      </c>
      <c r="AM485" s="655">
        <v>1865222</v>
      </c>
    </row>
    <row r="486" spans="1:39" x14ac:dyDescent="0.2">
      <c r="A486" s="648">
        <v>2014</v>
      </c>
      <c r="B486" s="648">
        <v>7</v>
      </c>
      <c r="C486" s="657" t="s">
        <v>226</v>
      </c>
      <c r="D486" s="648">
        <v>3186</v>
      </c>
      <c r="E486" s="648" t="s">
        <v>1142</v>
      </c>
      <c r="F486" s="655">
        <v>2221266</v>
      </c>
      <c r="G486" s="655">
        <v>8219</v>
      </c>
      <c r="H486" s="655">
        <v>29003</v>
      </c>
      <c r="I486" s="655">
        <v>212089</v>
      </c>
      <c r="J486" s="655">
        <v>185427</v>
      </c>
      <c r="K486" s="655">
        <v>17459</v>
      </c>
      <c r="L486" s="655">
        <v>15018</v>
      </c>
      <c r="M486" s="655">
        <v>0</v>
      </c>
      <c r="N486" s="655">
        <v>106999</v>
      </c>
      <c r="O486" s="655">
        <v>1837</v>
      </c>
      <c r="P486" s="655">
        <v>18695</v>
      </c>
      <c r="Q486" s="655">
        <v>20895</v>
      </c>
      <c r="R486" s="655">
        <v>0</v>
      </c>
      <c r="S486" s="655">
        <v>14058</v>
      </c>
      <c r="T486" s="655">
        <v>1613</v>
      </c>
      <c r="U486" s="655">
        <v>0</v>
      </c>
      <c r="V486" s="655">
        <v>0</v>
      </c>
      <c r="W486" s="655">
        <v>117198</v>
      </c>
      <c r="X486" s="655">
        <v>0</v>
      </c>
      <c r="Y486" s="655">
        <v>54938</v>
      </c>
      <c r="Z486" s="655">
        <v>0</v>
      </c>
      <c r="AA486" s="655">
        <v>0</v>
      </c>
      <c r="AB486" s="655">
        <v>0</v>
      </c>
      <c r="AC486" s="655">
        <v>0</v>
      </c>
      <c r="AD486" s="655">
        <v>15951</v>
      </c>
      <c r="AE486" s="655">
        <v>2898887</v>
      </c>
      <c r="AF486" s="655">
        <v>70392</v>
      </c>
      <c r="AG486" s="655">
        <v>172317</v>
      </c>
      <c r="AH486" s="655">
        <v>0</v>
      </c>
      <c r="AI486" s="655">
        <v>830889</v>
      </c>
      <c r="AJ486" s="655">
        <v>1942028</v>
      </c>
      <c r="AK486" s="655">
        <v>5914513</v>
      </c>
      <c r="AL486" s="655">
        <v>3600410</v>
      </c>
      <c r="AM486" s="655">
        <v>2314103</v>
      </c>
    </row>
    <row r="487" spans="1:39" x14ac:dyDescent="0.2">
      <c r="A487" s="648">
        <v>2014</v>
      </c>
      <c r="B487" s="648">
        <v>5</v>
      </c>
      <c r="C487" s="657" t="s">
        <v>227</v>
      </c>
      <c r="D487" s="648">
        <v>3195</v>
      </c>
      <c r="E487" s="648" t="s">
        <v>1638</v>
      </c>
      <c r="F487" s="655">
        <v>8197210</v>
      </c>
      <c r="G487" s="655">
        <v>106730</v>
      </c>
      <c r="H487" s="655">
        <v>352321</v>
      </c>
      <c r="I487" s="655">
        <v>1007128</v>
      </c>
      <c r="J487" s="655">
        <v>714264</v>
      </c>
      <c r="K487" s="655">
        <v>81194</v>
      </c>
      <c r="L487" s="655">
        <v>87659</v>
      </c>
      <c r="M487" s="655">
        <v>0</v>
      </c>
      <c r="N487" s="655">
        <v>414663</v>
      </c>
      <c r="O487" s="655">
        <v>12933</v>
      </c>
      <c r="P487" s="655">
        <v>66883</v>
      </c>
      <c r="Q487" s="655">
        <v>75184</v>
      </c>
      <c r="R487" s="655">
        <v>6790</v>
      </c>
      <c r="S487" s="655">
        <v>44478</v>
      </c>
      <c r="T487" s="655">
        <v>5309</v>
      </c>
      <c r="U487" s="655">
        <v>370453</v>
      </c>
      <c r="V487" s="655">
        <v>192281</v>
      </c>
      <c r="W487" s="655">
        <v>205834</v>
      </c>
      <c r="X487" s="655">
        <v>227197</v>
      </c>
      <c r="Y487" s="655">
        <v>30945</v>
      </c>
      <c r="Z487" s="655">
        <v>0</v>
      </c>
      <c r="AA487" s="655">
        <v>0</v>
      </c>
      <c r="AB487" s="655">
        <v>0</v>
      </c>
      <c r="AC487" s="655">
        <v>0</v>
      </c>
      <c r="AD487" s="655">
        <v>79358</v>
      </c>
      <c r="AE487" s="655">
        <v>12058208</v>
      </c>
      <c r="AF487" s="655">
        <v>244840</v>
      </c>
      <c r="AG487" s="655">
        <v>646797</v>
      </c>
      <c r="AH487" s="655">
        <v>0</v>
      </c>
      <c r="AI487" s="655">
        <v>3898661</v>
      </c>
      <c r="AJ487" s="655">
        <v>742603</v>
      </c>
      <c r="AK487" s="655">
        <v>17591109</v>
      </c>
      <c r="AL487" s="655">
        <v>17020083</v>
      </c>
      <c r="AM487" s="655">
        <v>571026</v>
      </c>
    </row>
    <row r="488" spans="1:39" x14ac:dyDescent="0.2">
      <c r="A488" s="648">
        <v>2014</v>
      </c>
      <c r="B488" s="648">
        <v>7</v>
      </c>
      <c r="C488" s="657" t="s">
        <v>228</v>
      </c>
      <c r="D488" s="648">
        <v>3204</v>
      </c>
      <c r="E488" s="648" t="s">
        <v>1146</v>
      </c>
      <c r="F488" s="655">
        <v>5517469</v>
      </c>
      <c r="G488" s="655">
        <v>0</v>
      </c>
      <c r="H488" s="655">
        <v>120565</v>
      </c>
      <c r="I488" s="655">
        <v>632667</v>
      </c>
      <c r="J488" s="655">
        <v>427804</v>
      </c>
      <c r="K488" s="655">
        <v>46161</v>
      </c>
      <c r="L488" s="655">
        <v>57077</v>
      </c>
      <c r="M488" s="655">
        <v>0</v>
      </c>
      <c r="N488" s="655">
        <v>273747</v>
      </c>
      <c r="O488" s="655">
        <v>0</v>
      </c>
      <c r="P488" s="655">
        <v>51499</v>
      </c>
      <c r="Q488" s="655">
        <v>57559</v>
      </c>
      <c r="R488" s="655">
        <v>0</v>
      </c>
      <c r="S488" s="655">
        <v>35217</v>
      </c>
      <c r="T488" s="655">
        <v>4039</v>
      </c>
      <c r="U488" s="655">
        <v>84000</v>
      </c>
      <c r="V488" s="655">
        <v>0</v>
      </c>
      <c r="W488" s="655">
        <v>49093</v>
      </c>
      <c r="X488" s="655">
        <v>195950</v>
      </c>
      <c r="Y488" s="655">
        <v>0</v>
      </c>
      <c r="Z488" s="655">
        <v>0</v>
      </c>
      <c r="AA488" s="655">
        <v>0</v>
      </c>
      <c r="AB488" s="655">
        <v>0</v>
      </c>
      <c r="AC488" s="655">
        <v>-7321</v>
      </c>
      <c r="AD488" s="655">
        <v>41079</v>
      </c>
      <c r="AE488" s="655">
        <v>7504447</v>
      </c>
      <c r="AF488" s="655">
        <v>0</v>
      </c>
      <c r="AG488" s="655">
        <v>0</v>
      </c>
      <c r="AH488" s="655">
        <v>0</v>
      </c>
      <c r="AI488" s="655">
        <v>1002858</v>
      </c>
      <c r="AJ488" s="655">
        <v>3569876</v>
      </c>
      <c r="AK488" s="655">
        <v>12077181</v>
      </c>
      <c r="AL488" s="655">
        <v>8921506</v>
      </c>
      <c r="AM488" s="655">
        <v>3155675</v>
      </c>
    </row>
    <row r="489" spans="1:39" x14ac:dyDescent="0.2">
      <c r="A489" s="648">
        <v>2014</v>
      </c>
      <c r="B489" s="648">
        <v>11</v>
      </c>
      <c r="C489" s="657" t="s">
        <v>229</v>
      </c>
      <c r="D489" s="648">
        <v>3231</v>
      </c>
      <c r="E489" s="648" t="s">
        <v>1147</v>
      </c>
      <c r="F489" s="655">
        <v>38372549</v>
      </c>
      <c r="G489" s="655">
        <v>0</v>
      </c>
      <c r="H489" s="655">
        <v>510602</v>
      </c>
      <c r="I489" s="655">
        <v>3009267</v>
      </c>
      <c r="J489" s="655">
        <v>3058959</v>
      </c>
      <c r="K489" s="655">
        <v>338651</v>
      </c>
      <c r="L489" s="655">
        <v>327994</v>
      </c>
      <c r="M489" s="655">
        <v>0</v>
      </c>
      <c r="N489" s="655">
        <v>1764998</v>
      </c>
      <c r="O489" s="655">
        <v>0</v>
      </c>
      <c r="P489" s="655">
        <v>334782</v>
      </c>
      <c r="Q489" s="655">
        <v>367349</v>
      </c>
      <c r="R489" s="655">
        <v>0</v>
      </c>
      <c r="S489" s="655">
        <v>142649</v>
      </c>
      <c r="T489" s="655">
        <v>18254</v>
      </c>
      <c r="U489" s="655">
        <v>1161173</v>
      </c>
      <c r="V489" s="655">
        <v>293901</v>
      </c>
      <c r="W489" s="655">
        <v>877139</v>
      </c>
      <c r="X489" s="655">
        <v>2599405</v>
      </c>
      <c r="Y489" s="655">
        <v>0</v>
      </c>
      <c r="Z489" s="655">
        <v>0</v>
      </c>
      <c r="AA489" s="655">
        <v>0</v>
      </c>
      <c r="AB489" s="655">
        <v>0</v>
      </c>
      <c r="AC489" s="655">
        <v>3934</v>
      </c>
      <c r="AD489" s="655">
        <v>179185</v>
      </c>
      <c r="AE489" s="655">
        <v>53002421</v>
      </c>
      <c r="AF489" s="655">
        <v>746762</v>
      </c>
      <c r="AG489" s="655">
        <v>2864127</v>
      </c>
      <c r="AH489" s="655">
        <v>0</v>
      </c>
      <c r="AI489" s="655">
        <v>8076543</v>
      </c>
      <c r="AJ489" s="655">
        <v>6517814</v>
      </c>
      <c r="AK489" s="655">
        <v>71207667</v>
      </c>
      <c r="AL489" s="655">
        <v>65225022</v>
      </c>
      <c r="AM489" s="655">
        <v>5982645</v>
      </c>
    </row>
    <row r="490" spans="1:39" x14ac:dyDescent="0.2">
      <c r="A490" s="648">
        <v>2014</v>
      </c>
      <c r="B490" s="648">
        <v>15</v>
      </c>
      <c r="C490" s="657" t="s">
        <v>230</v>
      </c>
      <c r="D490" s="648">
        <v>3312</v>
      </c>
      <c r="E490" s="648" t="s">
        <v>1148</v>
      </c>
      <c r="F490" s="655">
        <v>12223025</v>
      </c>
      <c r="G490" s="655">
        <v>0</v>
      </c>
      <c r="H490" s="655">
        <v>182804</v>
      </c>
      <c r="I490" s="655">
        <v>2019257</v>
      </c>
      <c r="J490" s="655">
        <v>1032597</v>
      </c>
      <c r="K490" s="655">
        <v>123349</v>
      </c>
      <c r="L490" s="655">
        <v>133014</v>
      </c>
      <c r="M490" s="655">
        <v>0</v>
      </c>
      <c r="N490" s="655">
        <v>620066</v>
      </c>
      <c r="O490" s="655">
        <v>36939</v>
      </c>
      <c r="P490" s="655">
        <v>103524</v>
      </c>
      <c r="Q490" s="655">
        <v>113678</v>
      </c>
      <c r="R490" s="655">
        <v>0</v>
      </c>
      <c r="S490" s="655">
        <v>62009</v>
      </c>
      <c r="T490" s="655">
        <v>6678</v>
      </c>
      <c r="U490" s="655">
        <v>430058</v>
      </c>
      <c r="V490" s="655">
        <v>0</v>
      </c>
      <c r="W490" s="655">
        <v>144024</v>
      </c>
      <c r="X490" s="655">
        <v>795438</v>
      </c>
      <c r="Y490" s="655">
        <v>0</v>
      </c>
      <c r="Z490" s="655">
        <v>0</v>
      </c>
      <c r="AA490" s="655">
        <v>0</v>
      </c>
      <c r="AB490" s="655">
        <v>0</v>
      </c>
      <c r="AC490" s="655">
        <v>0</v>
      </c>
      <c r="AD490" s="655">
        <v>104456</v>
      </c>
      <c r="AE490" s="655">
        <v>17922004</v>
      </c>
      <c r="AF490" s="655">
        <v>254022</v>
      </c>
      <c r="AG490" s="655">
        <v>732526</v>
      </c>
      <c r="AH490" s="655">
        <v>0</v>
      </c>
      <c r="AI490" s="655">
        <v>2268135</v>
      </c>
      <c r="AJ490" s="655">
        <v>6514536</v>
      </c>
      <c r="AK490" s="655">
        <v>27691223</v>
      </c>
      <c r="AL490" s="655">
        <v>21519526</v>
      </c>
      <c r="AM490" s="655">
        <v>6171697</v>
      </c>
    </row>
    <row r="491" spans="1:39" x14ac:dyDescent="0.2">
      <c r="A491" s="648">
        <v>2014</v>
      </c>
      <c r="B491" s="648">
        <v>15</v>
      </c>
      <c r="C491" s="657" t="s">
        <v>231</v>
      </c>
      <c r="D491" s="648">
        <v>3330</v>
      </c>
      <c r="E491" s="648" t="s">
        <v>1149</v>
      </c>
      <c r="F491" s="655">
        <v>2107197</v>
      </c>
      <c r="G491" s="655">
        <v>0</v>
      </c>
      <c r="H491" s="655">
        <v>19975</v>
      </c>
      <c r="I491" s="655">
        <v>270767</v>
      </c>
      <c r="J491" s="655">
        <v>194778</v>
      </c>
      <c r="K491" s="655">
        <v>20248</v>
      </c>
      <c r="L491" s="655">
        <v>18286</v>
      </c>
      <c r="M491" s="655">
        <v>0</v>
      </c>
      <c r="N491" s="655">
        <v>102791</v>
      </c>
      <c r="O491" s="655">
        <v>0</v>
      </c>
      <c r="P491" s="655">
        <v>17121</v>
      </c>
      <c r="Q491" s="655">
        <v>18800</v>
      </c>
      <c r="R491" s="655">
        <v>0</v>
      </c>
      <c r="S491" s="655">
        <v>10279</v>
      </c>
      <c r="T491" s="655">
        <v>1107</v>
      </c>
      <c r="U491" s="655">
        <v>33040</v>
      </c>
      <c r="V491" s="655">
        <v>0</v>
      </c>
      <c r="W491" s="655">
        <v>70268</v>
      </c>
      <c r="X491" s="655">
        <v>69796</v>
      </c>
      <c r="Y491" s="655">
        <v>0</v>
      </c>
      <c r="Z491" s="655">
        <v>0</v>
      </c>
      <c r="AA491" s="655">
        <v>0</v>
      </c>
      <c r="AB491" s="655">
        <v>0</v>
      </c>
      <c r="AC491" s="655">
        <v>0</v>
      </c>
      <c r="AD491" s="655">
        <v>17793</v>
      </c>
      <c r="AE491" s="655">
        <v>2936660</v>
      </c>
      <c r="AF491" s="655">
        <v>70392</v>
      </c>
      <c r="AG491" s="655">
        <v>176436</v>
      </c>
      <c r="AH491" s="655">
        <v>0</v>
      </c>
      <c r="AI491" s="655">
        <v>617052</v>
      </c>
      <c r="AJ491" s="655">
        <v>718321</v>
      </c>
      <c r="AK491" s="655">
        <v>4518861</v>
      </c>
      <c r="AL491" s="655">
        <v>3845523</v>
      </c>
      <c r="AM491" s="655">
        <v>673338</v>
      </c>
    </row>
    <row r="492" spans="1:39" x14ac:dyDescent="0.2">
      <c r="A492" s="648">
        <v>2014</v>
      </c>
      <c r="B492" s="648">
        <v>12</v>
      </c>
      <c r="C492" s="657" t="s">
        <v>232</v>
      </c>
      <c r="D492" s="648">
        <v>3348</v>
      </c>
      <c r="E492" s="648" t="s">
        <v>1150</v>
      </c>
      <c r="F492" s="655">
        <v>2871131</v>
      </c>
      <c r="G492" s="655">
        <v>14108</v>
      </c>
      <c r="H492" s="655">
        <v>44713</v>
      </c>
      <c r="I492" s="655">
        <v>357880</v>
      </c>
      <c r="J492" s="655">
        <v>261566</v>
      </c>
      <c r="K492" s="655">
        <v>30381</v>
      </c>
      <c r="L492" s="655">
        <v>33135</v>
      </c>
      <c r="M492" s="655">
        <v>0</v>
      </c>
      <c r="N492" s="655">
        <v>143038</v>
      </c>
      <c r="O492" s="655">
        <v>1826</v>
      </c>
      <c r="P492" s="655">
        <v>23321</v>
      </c>
      <c r="Q492" s="655">
        <v>26206</v>
      </c>
      <c r="R492" s="655">
        <v>0</v>
      </c>
      <c r="S492" s="655">
        <v>14527</v>
      </c>
      <c r="T492" s="655">
        <v>1741</v>
      </c>
      <c r="U492" s="655">
        <v>84915</v>
      </c>
      <c r="V492" s="655">
        <v>0</v>
      </c>
      <c r="W492" s="655">
        <v>78013</v>
      </c>
      <c r="X492" s="655">
        <v>104704</v>
      </c>
      <c r="Y492" s="655">
        <v>0</v>
      </c>
      <c r="Z492" s="655">
        <v>0</v>
      </c>
      <c r="AA492" s="655">
        <v>0</v>
      </c>
      <c r="AB492" s="655">
        <v>0</v>
      </c>
      <c r="AC492" s="655">
        <v>0</v>
      </c>
      <c r="AD492" s="655">
        <v>21764</v>
      </c>
      <c r="AE492" s="655">
        <v>4069441</v>
      </c>
      <c r="AF492" s="655">
        <v>0</v>
      </c>
      <c r="AG492" s="655">
        <v>225078</v>
      </c>
      <c r="AH492" s="655">
        <v>0</v>
      </c>
      <c r="AI492" s="655">
        <v>622171</v>
      </c>
      <c r="AJ492" s="655">
        <v>467517</v>
      </c>
      <c r="AK492" s="655">
        <v>5384207</v>
      </c>
      <c r="AL492" s="655">
        <v>5021903</v>
      </c>
      <c r="AM492" s="655">
        <v>362304</v>
      </c>
    </row>
    <row r="493" spans="1:39" x14ac:dyDescent="0.2">
      <c r="A493" s="648">
        <v>2014</v>
      </c>
      <c r="B493" s="648">
        <v>11</v>
      </c>
      <c r="C493" s="657" t="s">
        <v>233</v>
      </c>
      <c r="D493" s="648">
        <v>3375</v>
      </c>
      <c r="E493" s="648" t="s">
        <v>1151</v>
      </c>
      <c r="F493" s="655">
        <v>11133487</v>
      </c>
      <c r="G493" s="655">
        <v>192723</v>
      </c>
      <c r="H493" s="655">
        <v>148453</v>
      </c>
      <c r="I493" s="655">
        <v>1497319</v>
      </c>
      <c r="J493" s="655">
        <v>972247</v>
      </c>
      <c r="K493" s="655">
        <v>103264</v>
      </c>
      <c r="L493" s="655">
        <v>114439</v>
      </c>
      <c r="M493" s="655">
        <v>0</v>
      </c>
      <c r="N493" s="655">
        <v>538723</v>
      </c>
      <c r="O493" s="655">
        <v>13693</v>
      </c>
      <c r="P493" s="655">
        <v>91926</v>
      </c>
      <c r="Q493" s="655">
        <v>100869</v>
      </c>
      <c r="R493" s="655">
        <v>0</v>
      </c>
      <c r="S493" s="655">
        <v>43648</v>
      </c>
      <c r="T493" s="655">
        <v>5605</v>
      </c>
      <c r="U493" s="655">
        <v>349287</v>
      </c>
      <c r="V493" s="655">
        <v>0</v>
      </c>
      <c r="W493" s="655">
        <v>165028</v>
      </c>
      <c r="X493" s="655">
        <v>184723</v>
      </c>
      <c r="Y493" s="655">
        <v>0</v>
      </c>
      <c r="Z493" s="655">
        <v>0</v>
      </c>
      <c r="AA493" s="655">
        <v>0</v>
      </c>
      <c r="AB493" s="655">
        <v>0</v>
      </c>
      <c r="AC493" s="655">
        <v>-1320</v>
      </c>
      <c r="AD493" s="655">
        <v>89650</v>
      </c>
      <c r="AE493" s="655">
        <v>15564464</v>
      </c>
      <c r="AF493" s="655">
        <v>299929</v>
      </c>
      <c r="AG493" s="655">
        <v>501389</v>
      </c>
      <c r="AH493" s="655">
        <v>0</v>
      </c>
      <c r="AI493" s="655">
        <v>1552624</v>
      </c>
      <c r="AJ493" s="655">
        <v>5072656</v>
      </c>
      <c r="AK493" s="655">
        <v>22991062</v>
      </c>
      <c r="AL493" s="655">
        <v>18254010</v>
      </c>
      <c r="AM493" s="655">
        <v>4737052</v>
      </c>
    </row>
    <row r="494" spans="1:39" x14ac:dyDescent="0.2">
      <c r="A494" s="648">
        <v>2014</v>
      </c>
      <c r="B494" s="648">
        <v>7</v>
      </c>
      <c r="C494" s="657" t="s">
        <v>234</v>
      </c>
      <c r="D494" s="648">
        <v>3420</v>
      </c>
      <c r="E494" s="648" t="s">
        <v>1152</v>
      </c>
      <c r="F494" s="655">
        <v>3622408</v>
      </c>
      <c r="G494" s="655">
        <v>0</v>
      </c>
      <c r="H494" s="655">
        <v>31841</v>
      </c>
      <c r="I494" s="655">
        <v>399701</v>
      </c>
      <c r="J494" s="655">
        <v>333663</v>
      </c>
      <c r="K494" s="655">
        <v>33952</v>
      </c>
      <c r="L494" s="655">
        <v>39106</v>
      </c>
      <c r="M494" s="655">
        <v>0</v>
      </c>
      <c r="N494" s="655">
        <v>179027</v>
      </c>
      <c r="O494" s="655">
        <v>0</v>
      </c>
      <c r="P494" s="655">
        <v>29831</v>
      </c>
      <c r="Q494" s="655">
        <v>33341</v>
      </c>
      <c r="R494" s="655">
        <v>0</v>
      </c>
      <c r="S494" s="655">
        <v>23031</v>
      </c>
      <c r="T494" s="655">
        <v>2642</v>
      </c>
      <c r="U494" s="655">
        <v>28512</v>
      </c>
      <c r="V494" s="655">
        <v>0</v>
      </c>
      <c r="W494" s="655">
        <v>111525</v>
      </c>
      <c r="X494" s="655">
        <v>167457</v>
      </c>
      <c r="Y494" s="655">
        <v>0</v>
      </c>
      <c r="Z494" s="655">
        <v>0</v>
      </c>
      <c r="AA494" s="655">
        <v>0</v>
      </c>
      <c r="AB494" s="655">
        <v>0</v>
      </c>
      <c r="AC494" s="655">
        <v>12002</v>
      </c>
      <c r="AD494" s="655">
        <v>32934</v>
      </c>
      <c r="AE494" s="655">
        <v>5015105</v>
      </c>
      <c r="AF494" s="655">
        <v>122420</v>
      </c>
      <c r="AG494" s="655">
        <v>294900</v>
      </c>
      <c r="AH494" s="655">
        <v>0</v>
      </c>
      <c r="AI494" s="655">
        <v>1394271</v>
      </c>
      <c r="AJ494" s="655">
        <v>2176562</v>
      </c>
      <c r="AK494" s="655">
        <v>9003258</v>
      </c>
      <c r="AL494" s="655">
        <v>6656873</v>
      </c>
      <c r="AM494" s="655">
        <v>2346385</v>
      </c>
    </row>
    <row r="495" spans="1:39" x14ac:dyDescent="0.2">
      <c r="A495" s="648">
        <v>2014</v>
      </c>
      <c r="B495" s="648">
        <v>13</v>
      </c>
      <c r="C495" s="657" t="s">
        <v>235</v>
      </c>
      <c r="D495" s="648">
        <v>3465</v>
      </c>
      <c r="E495" s="648" t="s">
        <v>1153</v>
      </c>
      <c r="F495" s="655">
        <v>1896898</v>
      </c>
      <c r="G495" s="655">
        <v>190513</v>
      </c>
      <c r="H495" s="655">
        <v>59808</v>
      </c>
      <c r="I495" s="655">
        <v>299807</v>
      </c>
      <c r="J495" s="655">
        <v>205869</v>
      </c>
      <c r="K495" s="655">
        <v>22062</v>
      </c>
      <c r="L495" s="655">
        <v>21962</v>
      </c>
      <c r="M495" s="655">
        <v>0</v>
      </c>
      <c r="N495" s="655">
        <v>96585</v>
      </c>
      <c r="O495" s="655">
        <v>9659</v>
      </c>
      <c r="P495" s="655">
        <v>15578</v>
      </c>
      <c r="Q495" s="655">
        <v>17229</v>
      </c>
      <c r="R495" s="655">
        <v>0</v>
      </c>
      <c r="S495" s="655">
        <v>10529</v>
      </c>
      <c r="T495" s="655">
        <v>1111</v>
      </c>
      <c r="U495" s="655">
        <v>43048</v>
      </c>
      <c r="V495" s="655">
        <v>0</v>
      </c>
      <c r="W495" s="655">
        <v>80430</v>
      </c>
      <c r="X495" s="655">
        <v>85392</v>
      </c>
      <c r="Y495" s="655">
        <v>0</v>
      </c>
      <c r="Z495" s="655">
        <v>0</v>
      </c>
      <c r="AA495" s="655">
        <v>0</v>
      </c>
      <c r="AB495" s="655">
        <v>0</v>
      </c>
      <c r="AC495" s="655">
        <v>0</v>
      </c>
      <c r="AD495" s="655">
        <v>16904</v>
      </c>
      <c r="AE495" s="655">
        <v>3039576</v>
      </c>
      <c r="AF495" s="655">
        <v>94876</v>
      </c>
      <c r="AG495" s="655">
        <v>101757</v>
      </c>
      <c r="AH495" s="655">
        <v>0</v>
      </c>
      <c r="AI495" s="655">
        <v>721934</v>
      </c>
      <c r="AJ495" s="655">
        <v>1874410</v>
      </c>
      <c r="AK495" s="655">
        <v>5832553</v>
      </c>
      <c r="AL495" s="655">
        <v>3969567</v>
      </c>
      <c r="AM495" s="655">
        <v>1862986</v>
      </c>
    </row>
    <row r="496" spans="1:39" x14ac:dyDescent="0.2">
      <c r="A496" s="648">
        <v>2014</v>
      </c>
      <c r="B496" s="648">
        <v>5</v>
      </c>
      <c r="C496" s="657" t="s">
        <v>236</v>
      </c>
      <c r="D496" s="648">
        <v>3537</v>
      </c>
      <c r="E496" s="648" t="s">
        <v>1154</v>
      </c>
      <c r="F496" s="655">
        <v>1964841</v>
      </c>
      <c r="G496" s="655">
        <v>41353</v>
      </c>
      <c r="H496" s="655">
        <v>28836</v>
      </c>
      <c r="I496" s="655">
        <v>219193</v>
      </c>
      <c r="J496" s="655">
        <v>193473</v>
      </c>
      <c r="K496" s="655">
        <v>21015</v>
      </c>
      <c r="L496" s="655">
        <v>19446</v>
      </c>
      <c r="M496" s="655">
        <v>0</v>
      </c>
      <c r="N496" s="655">
        <v>99579</v>
      </c>
      <c r="O496" s="655">
        <v>12686</v>
      </c>
      <c r="P496" s="655">
        <v>16242</v>
      </c>
      <c r="Q496" s="655">
        <v>18257</v>
      </c>
      <c r="R496" s="655">
        <v>1658</v>
      </c>
      <c r="S496" s="655">
        <v>10856</v>
      </c>
      <c r="T496" s="655">
        <v>1296</v>
      </c>
      <c r="U496" s="655">
        <v>90537</v>
      </c>
      <c r="V496" s="655">
        <v>0</v>
      </c>
      <c r="W496" s="655">
        <v>54009</v>
      </c>
      <c r="X496" s="655">
        <v>179902</v>
      </c>
      <c r="Y496" s="655">
        <v>0</v>
      </c>
      <c r="Z496" s="655">
        <v>0</v>
      </c>
      <c r="AA496" s="655">
        <v>0</v>
      </c>
      <c r="AB496" s="655">
        <v>0</v>
      </c>
      <c r="AC496" s="655">
        <v>-2460</v>
      </c>
      <c r="AD496" s="655">
        <v>21809</v>
      </c>
      <c r="AE496" s="655">
        <v>2948910</v>
      </c>
      <c r="AF496" s="655">
        <v>39787</v>
      </c>
      <c r="AG496" s="655">
        <v>168781</v>
      </c>
      <c r="AH496" s="655">
        <v>0</v>
      </c>
      <c r="AI496" s="655">
        <v>370690</v>
      </c>
      <c r="AJ496" s="655">
        <v>20887</v>
      </c>
      <c r="AK496" s="655">
        <v>3549055</v>
      </c>
      <c r="AL496" s="655">
        <v>3888312</v>
      </c>
      <c r="AM496" s="655">
        <v>-339257</v>
      </c>
    </row>
    <row r="497" spans="1:39" x14ac:dyDescent="0.2">
      <c r="A497" s="648">
        <v>2014</v>
      </c>
      <c r="B497" s="648">
        <v>12</v>
      </c>
      <c r="C497" s="657" t="s">
        <v>237</v>
      </c>
      <c r="D497" s="648">
        <v>3555</v>
      </c>
      <c r="E497" s="648" t="s">
        <v>1155</v>
      </c>
      <c r="F497" s="655">
        <v>3825625</v>
      </c>
      <c r="G497" s="655">
        <v>0</v>
      </c>
      <c r="H497" s="655">
        <v>36126</v>
      </c>
      <c r="I497" s="655">
        <v>293135</v>
      </c>
      <c r="J497" s="655">
        <v>324094</v>
      </c>
      <c r="K497" s="655">
        <v>34150</v>
      </c>
      <c r="L497" s="655">
        <v>32406</v>
      </c>
      <c r="M497" s="655">
        <v>0</v>
      </c>
      <c r="N497" s="655">
        <v>185523</v>
      </c>
      <c r="O497" s="655">
        <v>0</v>
      </c>
      <c r="P497" s="655">
        <v>32841</v>
      </c>
      <c r="Q497" s="655">
        <v>36903</v>
      </c>
      <c r="R497" s="655">
        <v>0</v>
      </c>
      <c r="S497" s="655">
        <v>18612</v>
      </c>
      <c r="T497" s="655">
        <v>2227</v>
      </c>
      <c r="U497" s="655">
        <v>104682</v>
      </c>
      <c r="V497" s="655">
        <v>0</v>
      </c>
      <c r="W497" s="655">
        <v>37353</v>
      </c>
      <c r="X497" s="655">
        <v>121875</v>
      </c>
      <c r="Y497" s="655">
        <v>0</v>
      </c>
      <c r="Z497" s="655">
        <v>0</v>
      </c>
      <c r="AA497" s="655">
        <v>0</v>
      </c>
      <c r="AB497" s="655">
        <v>0</v>
      </c>
      <c r="AC497" s="655">
        <v>0</v>
      </c>
      <c r="AD497" s="655">
        <v>28228</v>
      </c>
      <c r="AE497" s="655">
        <v>5057324</v>
      </c>
      <c r="AF497" s="655">
        <v>82634</v>
      </c>
      <c r="AG497" s="655">
        <v>143499</v>
      </c>
      <c r="AH497" s="655">
        <v>0</v>
      </c>
      <c r="AI497" s="655">
        <v>850398</v>
      </c>
      <c r="AJ497" s="655">
        <v>847269</v>
      </c>
      <c r="AK497" s="655">
        <v>6981124</v>
      </c>
      <c r="AL497" s="655">
        <v>6210294</v>
      </c>
      <c r="AM497" s="655">
        <v>770830</v>
      </c>
    </row>
    <row r="498" spans="1:39" x14ac:dyDescent="0.2">
      <c r="A498" s="648">
        <v>2014</v>
      </c>
      <c r="B498" s="648">
        <v>7</v>
      </c>
      <c r="C498" s="657" t="s">
        <v>238</v>
      </c>
      <c r="D498" s="648">
        <v>1968</v>
      </c>
      <c r="E498" s="648" t="s">
        <v>1157</v>
      </c>
      <c r="F498" s="655">
        <v>4049383</v>
      </c>
      <c r="G498" s="655">
        <v>5035</v>
      </c>
      <c r="H498" s="655">
        <v>42169</v>
      </c>
      <c r="I498" s="655">
        <v>636013</v>
      </c>
      <c r="J498" s="655">
        <v>376087</v>
      </c>
      <c r="K498" s="655">
        <v>42758</v>
      </c>
      <c r="L498" s="655">
        <v>42739</v>
      </c>
      <c r="M498" s="655">
        <v>0</v>
      </c>
      <c r="N498" s="655">
        <v>205727</v>
      </c>
      <c r="O498" s="655">
        <v>9876</v>
      </c>
      <c r="P498" s="655">
        <v>33157</v>
      </c>
      <c r="Q498" s="655">
        <v>37059</v>
      </c>
      <c r="R498" s="655">
        <v>0</v>
      </c>
      <c r="S498" s="655">
        <v>26466</v>
      </c>
      <c r="T498" s="655">
        <v>3036</v>
      </c>
      <c r="U498" s="655">
        <v>129487</v>
      </c>
      <c r="V498" s="655">
        <v>0</v>
      </c>
      <c r="W498" s="655">
        <v>22969</v>
      </c>
      <c r="X498" s="655">
        <v>0</v>
      </c>
      <c r="Y498" s="655">
        <v>130380</v>
      </c>
      <c r="Z498" s="655">
        <v>0</v>
      </c>
      <c r="AA498" s="655">
        <v>0</v>
      </c>
      <c r="AB498" s="655">
        <v>0</v>
      </c>
      <c r="AC498" s="655">
        <v>0</v>
      </c>
      <c r="AD498" s="655">
        <v>36691</v>
      </c>
      <c r="AE498" s="655">
        <v>5494890</v>
      </c>
      <c r="AF498" s="655">
        <v>140783</v>
      </c>
      <c r="AG498" s="655">
        <v>310487</v>
      </c>
      <c r="AH498" s="655">
        <v>0</v>
      </c>
      <c r="AI498" s="655">
        <v>2849714</v>
      </c>
      <c r="AJ498" s="655">
        <v>2102969</v>
      </c>
      <c r="AK498" s="655">
        <v>10898843</v>
      </c>
      <c r="AL498" s="655">
        <v>8833307</v>
      </c>
      <c r="AM498" s="655">
        <v>2065536</v>
      </c>
    </row>
    <row r="499" spans="1:39" x14ac:dyDescent="0.2">
      <c r="A499" s="648">
        <v>2014</v>
      </c>
      <c r="B499" s="648">
        <v>12</v>
      </c>
      <c r="C499" s="657" t="s">
        <v>239</v>
      </c>
      <c r="D499" s="648">
        <v>3600</v>
      </c>
      <c r="E499" s="648" t="s">
        <v>1158</v>
      </c>
      <c r="F499" s="655">
        <v>12811253</v>
      </c>
      <c r="G499" s="655">
        <v>0</v>
      </c>
      <c r="H499" s="655">
        <v>223643</v>
      </c>
      <c r="I499" s="655">
        <v>1596479</v>
      </c>
      <c r="J499" s="655">
        <v>1058388</v>
      </c>
      <c r="K499" s="655">
        <v>123299</v>
      </c>
      <c r="L499" s="655">
        <v>114487</v>
      </c>
      <c r="M499" s="655">
        <v>0</v>
      </c>
      <c r="N499" s="655">
        <v>648972</v>
      </c>
      <c r="O499" s="655">
        <v>0</v>
      </c>
      <c r="P499" s="655">
        <v>126781</v>
      </c>
      <c r="Q499" s="655">
        <v>142462</v>
      </c>
      <c r="R499" s="655">
        <v>0</v>
      </c>
      <c r="S499" s="655">
        <v>65107</v>
      </c>
      <c r="T499" s="655">
        <v>7791</v>
      </c>
      <c r="U499" s="655">
        <v>148444</v>
      </c>
      <c r="V499" s="655">
        <v>0</v>
      </c>
      <c r="W499" s="655">
        <v>94055</v>
      </c>
      <c r="X499" s="655">
        <v>0</v>
      </c>
      <c r="Y499" s="655">
        <v>0</v>
      </c>
      <c r="Z499" s="655">
        <v>0</v>
      </c>
      <c r="AA499" s="655">
        <v>0</v>
      </c>
      <c r="AB499" s="655">
        <v>0</v>
      </c>
      <c r="AC499" s="655">
        <v>0</v>
      </c>
      <c r="AD499" s="655">
        <v>105133</v>
      </c>
      <c r="AE499" s="655">
        <v>17056028</v>
      </c>
      <c r="AF499" s="655">
        <v>100997</v>
      </c>
      <c r="AG499" s="655">
        <v>484266</v>
      </c>
      <c r="AH499" s="655">
        <v>0</v>
      </c>
      <c r="AI499" s="655">
        <v>1511631</v>
      </c>
      <c r="AJ499" s="655">
        <v>5920438</v>
      </c>
      <c r="AK499" s="655">
        <v>25073360</v>
      </c>
      <c r="AL499" s="655">
        <v>19683284</v>
      </c>
      <c r="AM499" s="655">
        <v>5390076</v>
      </c>
    </row>
    <row r="500" spans="1:39" x14ac:dyDescent="0.2">
      <c r="A500" s="648">
        <v>2014</v>
      </c>
      <c r="B500" s="648">
        <v>13</v>
      </c>
      <c r="C500" s="657" t="s">
        <v>240</v>
      </c>
      <c r="D500" s="648">
        <v>3609</v>
      </c>
      <c r="E500" s="648" t="s">
        <v>1159</v>
      </c>
      <c r="F500" s="655">
        <v>2469824</v>
      </c>
      <c r="G500" s="655">
        <v>13978</v>
      </c>
      <c r="H500" s="655">
        <v>53326</v>
      </c>
      <c r="I500" s="655">
        <v>234496</v>
      </c>
      <c r="J500" s="655">
        <v>237549</v>
      </c>
      <c r="K500" s="655">
        <v>27458</v>
      </c>
      <c r="L500" s="655">
        <v>31622</v>
      </c>
      <c r="M500" s="655">
        <v>0</v>
      </c>
      <c r="N500" s="655">
        <v>118904</v>
      </c>
      <c r="O500" s="655">
        <v>1770</v>
      </c>
      <c r="P500" s="655">
        <v>20286</v>
      </c>
      <c r="Q500" s="655">
        <v>22437</v>
      </c>
      <c r="R500" s="655">
        <v>0</v>
      </c>
      <c r="S500" s="655">
        <v>12394</v>
      </c>
      <c r="T500" s="655">
        <v>1308</v>
      </c>
      <c r="U500" s="655">
        <v>0</v>
      </c>
      <c r="V500" s="655">
        <v>0</v>
      </c>
      <c r="W500" s="655">
        <v>32816</v>
      </c>
      <c r="X500" s="655">
        <v>20458</v>
      </c>
      <c r="Y500" s="655">
        <v>0</v>
      </c>
      <c r="Z500" s="655">
        <v>0</v>
      </c>
      <c r="AA500" s="655">
        <v>0</v>
      </c>
      <c r="AB500" s="655">
        <v>0</v>
      </c>
      <c r="AC500" s="655">
        <v>0</v>
      </c>
      <c r="AD500" s="655">
        <v>17856</v>
      </c>
      <c r="AE500" s="655">
        <v>3280770</v>
      </c>
      <c r="AF500" s="655">
        <v>116299</v>
      </c>
      <c r="AG500" s="655">
        <v>174611</v>
      </c>
      <c r="AH500" s="655">
        <v>0</v>
      </c>
      <c r="AI500" s="655">
        <v>967492</v>
      </c>
      <c r="AJ500" s="655">
        <v>1676962</v>
      </c>
      <c r="AK500" s="655">
        <v>6216134</v>
      </c>
      <c r="AL500" s="655">
        <v>4597107</v>
      </c>
      <c r="AM500" s="655">
        <v>1619027</v>
      </c>
    </row>
    <row r="501" spans="1:39" x14ac:dyDescent="0.2">
      <c r="A501" s="648">
        <v>2014</v>
      </c>
      <c r="B501" s="648">
        <v>13</v>
      </c>
      <c r="C501" s="657" t="s">
        <v>241</v>
      </c>
      <c r="D501" s="648">
        <v>3645</v>
      </c>
      <c r="E501" s="648" t="s">
        <v>1160</v>
      </c>
      <c r="F501" s="655">
        <v>15887668</v>
      </c>
      <c r="G501" s="655">
        <v>0</v>
      </c>
      <c r="H501" s="655">
        <v>246793</v>
      </c>
      <c r="I501" s="655">
        <v>1861090</v>
      </c>
      <c r="J501" s="655">
        <v>1323964</v>
      </c>
      <c r="K501" s="655">
        <v>155606</v>
      </c>
      <c r="L501" s="655">
        <v>201185</v>
      </c>
      <c r="M501" s="655">
        <v>0</v>
      </c>
      <c r="N501" s="655">
        <v>780383</v>
      </c>
      <c r="O501" s="655">
        <v>0</v>
      </c>
      <c r="P501" s="655">
        <v>140052</v>
      </c>
      <c r="Q501" s="655">
        <v>154898</v>
      </c>
      <c r="R501" s="655">
        <v>0</v>
      </c>
      <c r="S501" s="655">
        <v>80146</v>
      </c>
      <c r="T501" s="655">
        <v>8467</v>
      </c>
      <c r="U501" s="655">
        <v>250644</v>
      </c>
      <c r="V501" s="655">
        <v>0</v>
      </c>
      <c r="W501" s="655">
        <v>265523</v>
      </c>
      <c r="X501" s="655">
        <v>96614</v>
      </c>
      <c r="Y501" s="655">
        <v>0</v>
      </c>
      <c r="Z501" s="655">
        <v>0</v>
      </c>
      <c r="AA501" s="655">
        <v>0</v>
      </c>
      <c r="AB501" s="655">
        <v>0</v>
      </c>
      <c r="AC501" s="655">
        <v>1320</v>
      </c>
      <c r="AD501" s="655">
        <v>112825</v>
      </c>
      <c r="AE501" s="655">
        <v>21341528</v>
      </c>
      <c r="AF501" s="655">
        <v>189751</v>
      </c>
      <c r="AG501" s="655">
        <v>1274191</v>
      </c>
      <c r="AH501" s="655">
        <v>0</v>
      </c>
      <c r="AI501" s="655">
        <v>6060709</v>
      </c>
      <c r="AJ501" s="655">
        <v>6598834</v>
      </c>
      <c r="AK501" s="655">
        <v>35465013</v>
      </c>
      <c r="AL501" s="655">
        <v>29514766</v>
      </c>
      <c r="AM501" s="655">
        <v>5950247</v>
      </c>
    </row>
    <row r="502" spans="1:39" x14ac:dyDescent="0.2">
      <c r="A502" s="648">
        <v>2014</v>
      </c>
      <c r="B502" s="648">
        <v>10</v>
      </c>
      <c r="C502" s="657" t="s">
        <v>242</v>
      </c>
      <c r="D502" s="648">
        <v>3691</v>
      </c>
      <c r="E502" s="648" t="s">
        <v>1161</v>
      </c>
      <c r="F502" s="655">
        <v>5267894</v>
      </c>
      <c r="G502" s="655">
        <v>205977</v>
      </c>
      <c r="H502" s="655">
        <v>36294</v>
      </c>
      <c r="I502" s="655">
        <v>816157</v>
      </c>
      <c r="J502" s="655">
        <v>462305</v>
      </c>
      <c r="K502" s="655">
        <v>49165</v>
      </c>
      <c r="L502" s="655">
        <v>47245</v>
      </c>
      <c r="M502" s="655">
        <v>0</v>
      </c>
      <c r="N502" s="655">
        <v>264778</v>
      </c>
      <c r="O502" s="655">
        <v>16246</v>
      </c>
      <c r="P502" s="655">
        <v>42868</v>
      </c>
      <c r="Q502" s="655">
        <v>47080</v>
      </c>
      <c r="R502" s="655">
        <v>0</v>
      </c>
      <c r="S502" s="655">
        <v>25342</v>
      </c>
      <c r="T502" s="655">
        <v>2948</v>
      </c>
      <c r="U502" s="655">
        <v>78250</v>
      </c>
      <c r="V502" s="655">
        <v>0</v>
      </c>
      <c r="W502" s="655">
        <v>113608</v>
      </c>
      <c r="X502" s="655">
        <v>420622</v>
      </c>
      <c r="Y502" s="655">
        <v>0</v>
      </c>
      <c r="Z502" s="655">
        <v>0</v>
      </c>
      <c r="AA502" s="655">
        <v>0</v>
      </c>
      <c r="AB502" s="655">
        <v>0</v>
      </c>
      <c r="AC502" s="655">
        <v>0</v>
      </c>
      <c r="AD502" s="655">
        <v>44471</v>
      </c>
      <c r="AE502" s="655">
        <v>7852308</v>
      </c>
      <c r="AF502" s="655">
        <v>125481</v>
      </c>
      <c r="AG502" s="655">
        <v>424225</v>
      </c>
      <c r="AH502" s="655">
        <v>0</v>
      </c>
      <c r="AI502" s="655">
        <v>804474</v>
      </c>
      <c r="AJ502" s="655">
        <v>2546182</v>
      </c>
      <c r="AK502" s="655">
        <v>11752670</v>
      </c>
      <c r="AL502" s="655">
        <v>9507907</v>
      </c>
      <c r="AM502" s="655">
        <v>2244763</v>
      </c>
    </row>
    <row r="503" spans="1:39" x14ac:dyDescent="0.2">
      <c r="A503" s="648">
        <v>2014</v>
      </c>
      <c r="B503" s="648">
        <v>10</v>
      </c>
      <c r="C503" s="657" t="s">
        <v>243</v>
      </c>
      <c r="D503" s="648">
        <v>3715</v>
      </c>
      <c r="E503" s="648" t="s">
        <v>1162</v>
      </c>
      <c r="F503" s="655">
        <v>42118748</v>
      </c>
      <c r="G503" s="655">
        <v>0</v>
      </c>
      <c r="H503" s="655">
        <v>449422</v>
      </c>
      <c r="I503" s="655">
        <v>4057356</v>
      </c>
      <c r="J503" s="655">
        <v>3373009</v>
      </c>
      <c r="K503" s="655">
        <v>376331</v>
      </c>
      <c r="L503" s="655">
        <v>366836</v>
      </c>
      <c r="M503" s="655">
        <v>0</v>
      </c>
      <c r="N503" s="655">
        <v>2022712</v>
      </c>
      <c r="O503" s="655">
        <v>0</v>
      </c>
      <c r="P503" s="655">
        <v>367487</v>
      </c>
      <c r="Q503" s="655">
        <v>403590</v>
      </c>
      <c r="R503" s="655">
        <v>0</v>
      </c>
      <c r="S503" s="655">
        <v>187586</v>
      </c>
      <c r="T503" s="655">
        <v>21798</v>
      </c>
      <c r="U503" s="655">
        <v>875427</v>
      </c>
      <c r="V503" s="655">
        <v>155759</v>
      </c>
      <c r="W503" s="655">
        <v>730742</v>
      </c>
      <c r="X503" s="655">
        <v>1683857</v>
      </c>
      <c r="Y503" s="655">
        <v>0</v>
      </c>
      <c r="Z503" s="655">
        <v>0</v>
      </c>
      <c r="AA503" s="655">
        <v>0</v>
      </c>
      <c r="AB503" s="655">
        <v>0</v>
      </c>
      <c r="AC503" s="655">
        <v>-9963</v>
      </c>
      <c r="AD503" s="655">
        <v>225812</v>
      </c>
      <c r="AE503" s="655">
        <v>56954885</v>
      </c>
      <c r="AF503" s="655">
        <v>578435</v>
      </c>
      <c r="AG503" s="655">
        <v>3003909</v>
      </c>
      <c r="AH503" s="655">
        <v>0</v>
      </c>
      <c r="AI503" s="655">
        <v>7759848</v>
      </c>
      <c r="AJ503" s="655">
        <v>12191131</v>
      </c>
      <c r="AK503" s="655">
        <v>80488208</v>
      </c>
      <c r="AL503" s="655">
        <v>68501215</v>
      </c>
      <c r="AM503" s="655">
        <v>11986993</v>
      </c>
    </row>
    <row r="504" spans="1:39" x14ac:dyDescent="0.2">
      <c r="A504" s="648">
        <v>2014</v>
      </c>
      <c r="B504" s="648">
        <v>10</v>
      </c>
      <c r="C504" s="657" t="s">
        <v>244</v>
      </c>
      <c r="D504" s="648">
        <v>3744</v>
      </c>
      <c r="E504" s="648" t="s">
        <v>1163</v>
      </c>
      <c r="F504" s="655">
        <v>4153099</v>
      </c>
      <c r="G504" s="655">
        <v>0</v>
      </c>
      <c r="H504" s="655">
        <v>28059</v>
      </c>
      <c r="I504" s="655">
        <v>281199</v>
      </c>
      <c r="J504" s="655">
        <v>336170</v>
      </c>
      <c r="K504" s="655">
        <v>32846</v>
      </c>
      <c r="L504" s="655">
        <v>31869</v>
      </c>
      <c r="M504" s="655">
        <v>0</v>
      </c>
      <c r="N504" s="655">
        <v>194273</v>
      </c>
      <c r="O504" s="655">
        <v>0</v>
      </c>
      <c r="P504" s="655">
        <v>34004</v>
      </c>
      <c r="Q504" s="655">
        <v>37345</v>
      </c>
      <c r="R504" s="655">
        <v>0</v>
      </c>
      <c r="S504" s="655">
        <v>18017</v>
      </c>
      <c r="T504" s="655">
        <v>2094</v>
      </c>
      <c r="U504" s="655">
        <v>17812</v>
      </c>
      <c r="V504" s="655">
        <v>0</v>
      </c>
      <c r="W504" s="655">
        <v>139943</v>
      </c>
      <c r="X504" s="655">
        <v>243646</v>
      </c>
      <c r="Y504" s="655">
        <v>0</v>
      </c>
      <c r="Z504" s="655">
        <v>0</v>
      </c>
      <c r="AA504" s="655">
        <v>0</v>
      </c>
      <c r="AB504" s="655">
        <v>0</v>
      </c>
      <c r="AC504" s="655">
        <v>0</v>
      </c>
      <c r="AD504" s="655">
        <v>27550</v>
      </c>
      <c r="AE504" s="655">
        <v>5522826</v>
      </c>
      <c r="AF504" s="655">
        <v>131602</v>
      </c>
      <c r="AG504" s="655">
        <v>255789</v>
      </c>
      <c r="AH504" s="655">
        <v>0</v>
      </c>
      <c r="AI504" s="655">
        <v>828105</v>
      </c>
      <c r="AJ504" s="655">
        <v>1487301</v>
      </c>
      <c r="AK504" s="655">
        <v>8225623</v>
      </c>
      <c r="AL504" s="655">
        <v>6955577</v>
      </c>
      <c r="AM504" s="655">
        <v>1270046</v>
      </c>
    </row>
    <row r="505" spans="1:39" x14ac:dyDescent="0.2">
      <c r="A505" s="648">
        <v>2014</v>
      </c>
      <c r="B505" s="648">
        <v>13</v>
      </c>
      <c r="C505" s="657" t="s">
        <v>245</v>
      </c>
      <c r="D505" s="648">
        <v>3798</v>
      </c>
      <c r="E505" s="648" t="s">
        <v>1164</v>
      </c>
      <c r="F505" s="655">
        <v>3486263</v>
      </c>
      <c r="G505" s="655">
        <v>482</v>
      </c>
      <c r="H505" s="655">
        <v>197976</v>
      </c>
      <c r="I505" s="655">
        <v>371603</v>
      </c>
      <c r="J505" s="655">
        <v>302492</v>
      </c>
      <c r="K505" s="655">
        <v>33673</v>
      </c>
      <c r="L505" s="655">
        <v>33998</v>
      </c>
      <c r="M505" s="655">
        <v>0</v>
      </c>
      <c r="N505" s="655">
        <v>169458</v>
      </c>
      <c r="O505" s="655">
        <v>11641</v>
      </c>
      <c r="P505" s="655">
        <v>28501</v>
      </c>
      <c r="Q505" s="655">
        <v>31523</v>
      </c>
      <c r="R505" s="655">
        <v>0</v>
      </c>
      <c r="S505" s="655">
        <v>17404</v>
      </c>
      <c r="T505" s="655">
        <v>1839</v>
      </c>
      <c r="U505" s="655">
        <v>29420</v>
      </c>
      <c r="V505" s="655">
        <v>0</v>
      </c>
      <c r="W505" s="655">
        <v>36006</v>
      </c>
      <c r="X505" s="655">
        <v>301346</v>
      </c>
      <c r="Y505" s="655">
        <v>0</v>
      </c>
      <c r="Z505" s="655">
        <v>0</v>
      </c>
      <c r="AA505" s="655">
        <v>0</v>
      </c>
      <c r="AB505" s="655">
        <v>0</v>
      </c>
      <c r="AC505" s="655">
        <v>0</v>
      </c>
      <c r="AD505" s="655">
        <v>28459</v>
      </c>
      <c r="AE505" s="655">
        <v>5025166</v>
      </c>
      <c r="AF505" s="655">
        <v>97936</v>
      </c>
      <c r="AG505" s="655">
        <v>249198</v>
      </c>
      <c r="AH505" s="655">
        <v>0</v>
      </c>
      <c r="AI505" s="655">
        <v>994084</v>
      </c>
      <c r="AJ505" s="655">
        <v>1338752</v>
      </c>
      <c r="AK505" s="655">
        <v>7705136</v>
      </c>
      <c r="AL505" s="655">
        <v>6098129</v>
      </c>
      <c r="AM505" s="655">
        <v>1607007</v>
      </c>
    </row>
    <row r="506" spans="1:39" x14ac:dyDescent="0.2">
      <c r="A506" s="648">
        <v>2014</v>
      </c>
      <c r="B506" s="648">
        <v>10</v>
      </c>
      <c r="C506" s="657" t="s">
        <v>246</v>
      </c>
      <c r="D506" s="648">
        <v>3816</v>
      </c>
      <c r="E506" s="648" t="s">
        <v>1165</v>
      </c>
      <c r="F506" s="655">
        <v>2602037</v>
      </c>
      <c r="G506" s="655">
        <v>0</v>
      </c>
      <c r="H506" s="655">
        <v>22078</v>
      </c>
      <c r="I506" s="655">
        <v>333227</v>
      </c>
      <c r="J506" s="655">
        <v>255634</v>
      </c>
      <c r="K506" s="655">
        <v>26097</v>
      </c>
      <c r="L506" s="655">
        <v>28664</v>
      </c>
      <c r="M506" s="655">
        <v>0</v>
      </c>
      <c r="N506" s="655">
        <v>128598</v>
      </c>
      <c r="O506" s="655">
        <v>0</v>
      </c>
      <c r="P506" s="655">
        <v>21635</v>
      </c>
      <c r="Q506" s="655">
        <v>23760</v>
      </c>
      <c r="R506" s="655">
        <v>0</v>
      </c>
      <c r="S506" s="655">
        <v>11926</v>
      </c>
      <c r="T506" s="655">
        <v>1386</v>
      </c>
      <c r="U506" s="655">
        <v>40178</v>
      </c>
      <c r="V506" s="655">
        <v>0</v>
      </c>
      <c r="W506" s="655">
        <v>24004</v>
      </c>
      <c r="X506" s="655">
        <v>0</v>
      </c>
      <c r="Y506" s="655">
        <v>0</v>
      </c>
      <c r="Z506" s="655">
        <v>0</v>
      </c>
      <c r="AA506" s="655">
        <v>0</v>
      </c>
      <c r="AB506" s="655">
        <v>0</v>
      </c>
      <c r="AC506" s="655">
        <v>0</v>
      </c>
      <c r="AD506" s="655">
        <v>18559</v>
      </c>
      <c r="AE506" s="655">
        <v>3500665</v>
      </c>
      <c r="AF506" s="655">
        <v>91815</v>
      </c>
      <c r="AG506" s="655">
        <v>198354</v>
      </c>
      <c r="AH506" s="655">
        <v>0</v>
      </c>
      <c r="AI506" s="655">
        <v>950521</v>
      </c>
      <c r="AJ506" s="655">
        <v>2061531</v>
      </c>
      <c r="AK506" s="655">
        <v>6802886</v>
      </c>
      <c r="AL506" s="655">
        <v>4697704</v>
      </c>
      <c r="AM506" s="655">
        <v>2105182</v>
      </c>
    </row>
    <row r="507" spans="1:39" x14ac:dyDescent="0.2">
      <c r="A507" s="648">
        <v>2014</v>
      </c>
      <c r="B507" s="648">
        <v>9</v>
      </c>
      <c r="C507" s="657" t="s">
        <v>247</v>
      </c>
      <c r="D507" s="648">
        <v>3841</v>
      </c>
      <c r="E507" s="648" t="s">
        <v>1166</v>
      </c>
      <c r="F507" s="655">
        <v>4652572</v>
      </c>
      <c r="G507" s="655">
        <v>0</v>
      </c>
      <c r="H507" s="655">
        <v>43324</v>
      </c>
      <c r="I507" s="655">
        <v>545259</v>
      </c>
      <c r="J507" s="655">
        <v>438372</v>
      </c>
      <c r="K507" s="655">
        <v>50858</v>
      </c>
      <c r="L507" s="655">
        <v>45697</v>
      </c>
      <c r="M507" s="655">
        <v>0</v>
      </c>
      <c r="N507" s="655">
        <v>229355</v>
      </c>
      <c r="O507" s="655">
        <v>17816</v>
      </c>
      <c r="P507" s="655">
        <v>37924</v>
      </c>
      <c r="Q507" s="655">
        <v>41344</v>
      </c>
      <c r="R507" s="655">
        <v>0</v>
      </c>
      <c r="S507" s="655">
        <v>20482</v>
      </c>
      <c r="T507" s="655">
        <v>2404</v>
      </c>
      <c r="U507" s="655">
        <v>141262</v>
      </c>
      <c r="V507" s="655">
        <v>0</v>
      </c>
      <c r="W507" s="655">
        <v>110514</v>
      </c>
      <c r="X507" s="655">
        <v>0</v>
      </c>
      <c r="Y507" s="655">
        <v>10747</v>
      </c>
      <c r="Z507" s="655">
        <v>0</v>
      </c>
      <c r="AA507" s="655">
        <v>0</v>
      </c>
      <c r="AB507" s="655">
        <v>0</v>
      </c>
      <c r="AC507" s="655">
        <v>-8341</v>
      </c>
      <c r="AD507" s="655">
        <v>39308</v>
      </c>
      <c r="AE507" s="655">
        <v>6318787</v>
      </c>
      <c r="AF507" s="655">
        <v>128541</v>
      </c>
      <c r="AG507" s="655">
        <v>362249</v>
      </c>
      <c r="AH507" s="655">
        <v>0</v>
      </c>
      <c r="AI507" s="655">
        <v>1084571</v>
      </c>
      <c r="AJ507" s="655">
        <v>2417295</v>
      </c>
      <c r="AK507" s="655">
        <v>10311443</v>
      </c>
      <c r="AL507" s="655">
        <v>8126246</v>
      </c>
      <c r="AM507" s="655">
        <v>2185197</v>
      </c>
    </row>
    <row r="508" spans="1:39" x14ac:dyDescent="0.2">
      <c r="A508" s="648">
        <v>2014</v>
      </c>
      <c r="B508" s="648">
        <v>5</v>
      </c>
      <c r="C508" s="657" t="s">
        <v>248</v>
      </c>
      <c r="D508" s="648">
        <v>3897</v>
      </c>
      <c r="E508" s="648" t="s">
        <v>1167</v>
      </c>
      <c r="F508" s="655">
        <v>478496</v>
      </c>
      <c r="G508" s="655">
        <v>0</v>
      </c>
      <c r="H508" s="655">
        <v>6334</v>
      </c>
      <c r="I508" s="655">
        <v>45520</v>
      </c>
      <c r="J508" s="655">
        <v>46198</v>
      </c>
      <c r="K508" s="655">
        <v>4885</v>
      </c>
      <c r="L508" s="655">
        <v>426</v>
      </c>
      <c r="M508" s="655">
        <v>0</v>
      </c>
      <c r="N508" s="655">
        <v>23228</v>
      </c>
      <c r="O508" s="655">
        <v>5763</v>
      </c>
      <c r="P508" s="655">
        <v>4187</v>
      </c>
      <c r="Q508" s="655">
        <v>4706</v>
      </c>
      <c r="R508" s="655">
        <v>349</v>
      </c>
      <c r="S508" s="655">
        <v>2479</v>
      </c>
      <c r="T508" s="655">
        <v>295</v>
      </c>
      <c r="U508" s="655">
        <v>19875</v>
      </c>
      <c r="V508" s="655">
        <v>0</v>
      </c>
      <c r="W508" s="655">
        <v>12002</v>
      </c>
      <c r="X508" s="655">
        <v>26508</v>
      </c>
      <c r="Y508" s="655">
        <v>0</v>
      </c>
      <c r="Z508" s="655">
        <v>0</v>
      </c>
      <c r="AA508" s="655">
        <v>0</v>
      </c>
      <c r="AB508" s="655">
        <v>0</v>
      </c>
      <c r="AC508" s="655">
        <v>0</v>
      </c>
      <c r="AD508" s="655">
        <v>5119</v>
      </c>
      <c r="AE508" s="655">
        <v>676132</v>
      </c>
      <c r="AF508" s="655">
        <v>24484</v>
      </c>
      <c r="AG508" s="655">
        <v>44687</v>
      </c>
      <c r="AH508" s="655">
        <v>117344</v>
      </c>
      <c r="AI508" s="655">
        <v>332943</v>
      </c>
      <c r="AJ508" s="655">
        <v>244374</v>
      </c>
      <c r="AK508" s="655">
        <v>1439964</v>
      </c>
      <c r="AL508" s="655">
        <v>1364699</v>
      </c>
      <c r="AM508" s="655">
        <v>75265</v>
      </c>
    </row>
    <row r="509" spans="1:39" x14ac:dyDescent="0.2">
      <c r="A509" s="648">
        <v>2014</v>
      </c>
      <c r="B509" s="648">
        <v>11</v>
      </c>
      <c r="C509" s="657" t="s">
        <v>249</v>
      </c>
      <c r="D509" s="648">
        <v>3906</v>
      </c>
      <c r="E509" s="648" t="s">
        <v>1168</v>
      </c>
      <c r="F509" s="655">
        <v>2667532</v>
      </c>
      <c r="G509" s="655">
        <v>35678</v>
      </c>
      <c r="H509" s="655">
        <v>33243</v>
      </c>
      <c r="I509" s="655">
        <v>227946</v>
      </c>
      <c r="J509" s="655">
        <v>236063</v>
      </c>
      <c r="K509" s="655">
        <v>23308</v>
      </c>
      <c r="L509" s="655">
        <v>23272</v>
      </c>
      <c r="M509" s="655">
        <v>0</v>
      </c>
      <c r="N509" s="655">
        <v>123497</v>
      </c>
      <c r="O509" s="655">
        <v>4545</v>
      </c>
      <c r="P509" s="655">
        <v>25380</v>
      </c>
      <c r="Q509" s="655">
        <v>27849</v>
      </c>
      <c r="R509" s="655">
        <v>0</v>
      </c>
      <c r="S509" s="655">
        <v>9981</v>
      </c>
      <c r="T509" s="655">
        <v>1281</v>
      </c>
      <c r="U509" s="655">
        <v>74506</v>
      </c>
      <c r="V509" s="655">
        <v>0</v>
      </c>
      <c r="W509" s="655">
        <v>24004</v>
      </c>
      <c r="X509" s="655">
        <v>107436</v>
      </c>
      <c r="Y509" s="655">
        <v>0</v>
      </c>
      <c r="Z509" s="655">
        <v>0</v>
      </c>
      <c r="AA509" s="655">
        <v>0</v>
      </c>
      <c r="AB509" s="655">
        <v>0</v>
      </c>
      <c r="AC509" s="655">
        <v>12722</v>
      </c>
      <c r="AD509" s="655">
        <v>23232</v>
      </c>
      <c r="AE509" s="655">
        <v>3635011</v>
      </c>
      <c r="AF509" s="655">
        <v>64271</v>
      </c>
      <c r="AG509" s="655">
        <v>219636</v>
      </c>
      <c r="AH509" s="655">
        <v>0</v>
      </c>
      <c r="AI509" s="655">
        <v>711928</v>
      </c>
      <c r="AJ509" s="655">
        <v>2142263</v>
      </c>
      <c r="AK509" s="655">
        <v>6773109</v>
      </c>
      <c r="AL509" s="655">
        <v>5035164</v>
      </c>
      <c r="AM509" s="655">
        <v>1737945</v>
      </c>
    </row>
    <row r="510" spans="1:39" x14ac:dyDescent="0.2">
      <c r="A510" s="648">
        <v>2014</v>
      </c>
      <c r="B510" s="648">
        <v>11</v>
      </c>
      <c r="C510" s="657" t="s">
        <v>250</v>
      </c>
      <c r="D510" s="648">
        <v>3942</v>
      </c>
      <c r="E510" s="648" t="s">
        <v>1169</v>
      </c>
      <c r="F510" s="655">
        <v>4138408</v>
      </c>
      <c r="G510" s="655">
        <v>0</v>
      </c>
      <c r="H510" s="655">
        <v>24949</v>
      </c>
      <c r="I510" s="655">
        <v>350672</v>
      </c>
      <c r="J510" s="655">
        <v>350767</v>
      </c>
      <c r="K510" s="655">
        <v>38524</v>
      </c>
      <c r="L510" s="655">
        <v>42101</v>
      </c>
      <c r="M510" s="655">
        <v>0</v>
      </c>
      <c r="N510" s="655">
        <v>191466</v>
      </c>
      <c r="O510" s="655">
        <v>0</v>
      </c>
      <c r="P510" s="655">
        <v>34023</v>
      </c>
      <c r="Q510" s="655">
        <v>37332</v>
      </c>
      <c r="R510" s="655">
        <v>0</v>
      </c>
      <c r="S510" s="655">
        <v>15475</v>
      </c>
      <c r="T510" s="655">
        <v>1980</v>
      </c>
      <c r="U510" s="655">
        <v>0</v>
      </c>
      <c r="V510" s="655">
        <v>0</v>
      </c>
      <c r="W510" s="655">
        <v>42007</v>
      </c>
      <c r="X510" s="655">
        <v>151914</v>
      </c>
      <c r="Y510" s="655">
        <v>0</v>
      </c>
      <c r="Z510" s="655">
        <v>0</v>
      </c>
      <c r="AA510" s="655">
        <v>0</v>
      </c>
      <c r="AB510" s="655">
        <v>0</v>
      </c>
      <c r="AC510" s="655">
        <v>0</v>
      </c>
      <c r="AD510" s="655">
        <v>25816</v>
      </c>
      <c r="AE510" s="655">
        <v>5393802</v>
      </c>
      <c r="AF510" s="655">
        <v>12242</v>
      </c>
      <c r="AG510" s="655">
        <v>230551</v>
      </c>
      <c r="AH510" s="655">
        <v>0</v>
      </c>
      <c r="AI510" s="655">
        <v>761632</v>
      </c>
      <c r="AJ510" s="655">
        <v>1874563</v>
      </c>
      <c r="AK510" s="655">
        <v>8272790</v>
      </c>
      <c r="AL510" s="655">
        <v>6252856</v>
      </c>
      <c r="AM510" s="655">
        <v>2019934</v>
      </c>
    </row>
    <row r="511" spans="1:39" x14ac:dyDescent="0.2">
      <c r="A511" s="648">
        <v>2014</v>
      </c>
      <c r="B511" s="648">
        <v>13</v>
      </c>
      <c r="C511" s="657" t="s">
        <v>251</v>
      </c>
      <c r="D511" s="648">
        <v>3978</v>
      </c>
      <c r="E511" s="648" t="s">
        <v>1480</v>
      </c>
      <c r="F511" s="655">
        <v>3439479</v>
      </c>
      <c r="G511" s="655">
        <v>1911</v>
      </c>
      <c r="H511" s="655">
        <v>41761</v>
      </c>
      <c r="I511" s="655">
        <v>474513</v>
      </c>
      <c r="J511" s="655">
        <v>324379</v>
      </c>
      <c r="K511" s="655">
        <v>36046</v>
      </c>
      <c r="L511" s="655">
        <v>31842</v>
      </c>
      <c r="M511" s="655">
        <v>0</v>
      </c>
      <c r="N511" s="655">
        <v>170311</v>
      </c>
      <c r="O511" s="655">
        <v>7136</v>
      </c>
      <c r="P511" s="655">
        <v>28301</v>
      </c>
      <c r="Q511" s="655">
        <v>31301</v>
      </c>
      <c r="R511" s="655">
        <v>0</v>
      </c>
      <c r="S511" s="655">
        <v>17668</v>
      </c>
      <c r="T511" s="655">
        <v>1865</v>
      </c>
      <c r="U511" s="655">
        <v>10067</v>
      </c>
      <c r="V511" s="655">
        <v>157854</v>
      </c>
      <c r="W511" s="655">
        <v>126021</v>
      </c>
      <c r="X511" s="655">
        <v>128034</v>
      </c>
      <c r="Y511" s="655">
        <v>0</v>
      </c>
      <c r="Z511" s="655">
        <v>0</v>
      </c>
      <c r="AA511" s="655">
        <v>0</v>
      </c>
      <c r="AB511" s="655">
        <v>0</v>
      </c>
      <c r="AC511" s="655">
        <v>-18195</v>
      </c>
      <c r="AD511" s="655">
        <v>31373</v>
      </c>
      <c r="AE511" s="655">
        <v>4978921</v>
      </c>
      <c r="AF511" s="655">
        <v>70392</v>
      </c>
      <c r="AG511" s="655">
        <v>293654</v>
      </c>
      <c r="AH511" s="655">
        <v>0</v>
      </c>
      <c r="AI511" s="655">
        <v>553383</v>
      </c>
      <c r="AJ511" s="655">
        <v>-157854</v>
      </c>
      <c r="AK511" s="655">
        <v>5738496</v>
      </c>
      <c r="AL511" s="655">
        <v>5166419</v>
      </c>
      <c r="AM511" s="655">
        <v>572077</v>
      </c>
    </row>
    <row r="512" spans="1:39" x14ac:dyDescent="0.2">
      <c r="A512" s="648">
        <v>2014</v>
      </c>
      <c r="B512" s="648">
        <v>5</v>
      </c>
      <c r="C512" s="657" t="s">
        <v>252</v>
      </c>
      <c r="D512" s="648">
        <v>4023</v>
      </c>
      <c r="E512" s="648" t="s">
        <v>1170</v>
      </c>
      <c r="F512" s="655">
        <v>3907010</v>
      </c>
      <c r="G512" s="655">
        <v>0</v>
      </c>
      <c r="H512" s="655">
        <v>125450</v>
      </c>
      <c r="I512" s="655">
        <v>222083</v>
      </c>
      <c r="J512" s="655">
        <v>353906</v>
      </c>
      <c r="K512" s="655">
        <v>38236</v>
      </c>
      <c r="L512" s="655">
        <v>29715</v>
      </c>
      <c r="M512" s="655">
        <v>0</v>
      </c>
      <c r="N512" s="655">
        <v>186434</v>
      </c>
      <c r="O512" s="655">
        <v>4344</v>
      </c>
      <c r="P512" s="655">
        <v>34854</v>
      </c>
      <c r="Q512" s="655">
        <v>39180</v>
      </c>
      <c r="R512" s="655">
        <v>2930</v>
      </c>
      <c r="S512" s="655">
        <v>19894</v>
      </c>
      <c r="T512" s="655">
        <v>2372</v>
      </c>
      <c r="U512" s="655">
        <v>191307</v>
      </c>
      <c r="V512" s="655">
        <v>0</v>
      </c>
      <c r="W512" s="655">
        <v>240441</v>
      </c>
      <c r="X512" s="655">
        <v>195402</v>
      </c>
      <c r="Y512" s="655">
        <v>0</v>
      </c>
      <c r="Z512" s="655">
        <v>0</v>
      </c>
      <c r="AA512" s="655">
        <v>0</v>
      </c>
      <c r="AB512" s="655">
        <v>0</v>
      </c>
      <c r="AC512" s="655">
        <v>-3273</v>
      </c>
      <c r="AD512" s="655">
        <v>38009</v>
      </c>
      <c r="AE512" s="655">
        <v>5552276</v>
      </c>
      <c r="AF512" s="655">
        <v>119360</v>
      </c>
      <c r="AG512" s="655">
        <v>331471</v>
      </c>
      <c r="AH512" s="655">
        <v>0</v>
      </c>
      <c r="AI512" s="655">
        <v>2500200</v>
      </c>
      <c r="AJ512" s="655">
        <v>785281</v>
      </c>
      <c r="AK512" s="655">
        <v>9288588</v>
      </c>
      <c r="AL512" s="655">
        <v>8384767</v>
      </c>
      <c r="AM512" s="655">
        <v>903821</v>
      </c>
    </row>
    <row r="513" spans="1:39" x14ac:dyDescent="0.2">
      <c r="A513" s="648">
        <v>2014</v>
      </c>
      <c r="B513" s="648">
        <v>12</v>
      </c>
      <c r="C513" s="657" t="s">
        <v>253</v>
      </c>
      <c r="D513" s="648">
        <v>4033</v>
      </c>
      <c r="E513" s="648" t="s">
        <v>1494</v>
      </c>
      <c r="F513" s="655">
        <v>4329706</v>
      </c>
      <c r="G513" s="655">
        <v>50958</v>
      </c>
      <c r="H513" s="655">
        <v>121359</v>
      </c>
      <c r="I513" s="655">
        <v>575592</v>
      </c>
      <c r="J513" s="655">
        <v>375238</v>
      </c>
      <c r="K513" s="655">
        <v>38935</v>
      </c>
      <c r="L513" s="655">
        <v>36463</v>
      </c>
      <c r="M513" s="655">
        <v>0</v>
      </c>
      <c r="N513" s="655">
        <v>217155</v>
      </c>
      <c r="O513" s="655">
        <v>18222</v>
      </c>
      <c r="P513" s="655">
        <v>36317</v>
      </c>
      <c r="Q513" s="655">
        <v>40809</v>
      </c>
      <c r="R513" s="655">
        <v>0</v>
      </c>
      <c r="S513" s="655">
        <v>22099</v>
      </c>
      <c r="T513" s="655">
        <v>2648</v>
      </c>
      <c r="U513" s="655">
        <v>70500</v>
      </c>
      <c r="V513" s="655">
        <v>0</v>
      </c>
      <c r="W513" s="655">
        <v>131422</v>
      </c>
      <c r="X513" s="655">
        <v>189214</v>
      </c>
      <c r="Y513" s="655">
        <v>0</v>
      </c>
      <c r="Z513" s="655">
        <v>0</v>
      </c>
      <c r="AA513" s="655">
        <v>0</v>
      </c>
      <c r="AB513" s="655">
        <v>0</v>
      </c>
      <c r="AC513" s="655">
        <v>0</v>
      </c>
      <c r="AD513" s="655">
        <v>42589</v>
      </c>
      <c r="AE513" s="655">
        <v>6214048</v>
      </c>
      <c r="AF513" s="655">
        <v>119360</v>
      </c>
      <c r="AG513" s="655">
        <v>361799</v>
      </c>
      <c r="AH513" s="655">
        <v>0</v>
      </c>
      <c r="AI513" s="655">
        <v>1746893</v>
      </c>
      <c r="AJ513" s="655">
        <v>1655369</v>
      </c>
      <c r="AK513" s="655">
        <v>10097469</v>
      </c>
      <c r="AL513" s="655">
        <v>7969880</v>
      </c>
      <c r="AM513" s="655">
        <v>2127589</v>
      </c>
    </row>
    <row r="514" spans="1:39" x14ac:dyDescent="0.2">
      <c r="A514" s="648">
        <v>2014</v>
      </c>
      <c r="B514" s="648">
        <v>9</v>
      </c>
      <c r="C514" s="657" t="s">
        <v>254</v>
      </c>
      <c r="D514" s="648">
        <v>4041</v>
      </c>
      <c r="E514" s="648" t="s">
        <v>1171</v>
      </c>
      <c r="F514" s="655">
        <v>8432290</v>
      </c>
      <c r="G514" s="655">
        <v>76156</v>
      </c>
      <c r="H514" s="655">
        <v>200438</v>
      </c>
      <c r="I514" s="655">
        <v>1585278</v>
      </c>
      <c r="J514" s="655">
        <v>770083</v>
      </c>
      <c r="K514" s="655">
        <v>90306</v>
      </c>
      <c r="L514" s="655">
        <v>92148</v>
      </c>
      <c r="M514" s="655">
        <v>0</v>
      </c>
      <c r="N514" s="655">
        <v>442027</v>
      </c>
      <c r="O514" s="655">
        <v>17644</v>
      </c>
      <c r="P514" s="655">
        <v>73603</v>
      </c>
      <c r="Q514" s="655">
        <v>80240</v>
      </c>
      <c r="R514" s="655">
        <v>0</v>
      </c>
      <c r="S514" s="655">
        <v>39509</v>
      </c>
      <c r="T514" s="655">
        <v>4641</v>
      </c>
      <c r="U514" s="655">
        <v>150165</v>
      </c>
      <c r="V514" s="655">
        <v>0</v>
      </c>
      <c r="W514" s="655">
        <v>163374</v>
      </c>
      <c r="X514" s="655">
        <v>0</v>
      </c>
      <c r="Y514" s="655">
        <v>35993</v>
      </c>
      <c r="Z514" s="655">
        <v>0</v>
      </c>
      <c r="AA514" s="655">
        <v>0</v>
      </c>
      <c r="AB514" s="655">
        <v>0</v>
      </c>
      <c r="AC514" s="655">
        <v>0</v>
      </c>
      <c r="AD514" s="655">
        <v>74194</v>
      </c>
      <c r="AE514" s="655">
        <v>12107715</v>
      </c>
      <c r="AF514" s="655">
        <v>278506</v>
      </c>
      <c r="AG514" s="655">
        <v>593464</v>
      </c>
      <c r="AH514" s="655">
        <v>0</v>
      </c>
      <c r="AI514" s="655">
        <v>3104036</v>
      </c>
      <c r="AJ514" s="655">
        <v>3117264</v>
      </c>
      <c r="AK514" s="655">
        <v>19200985</v>
      </c>
      <c r="AL514" s="655">
        <v>15819070</v>
      </c>
      <c r="AM514" s="655">
        <v>3381915</v>
      </c>
    </row>
    <row r="515" spans="1:39" x14ac:dyDescent="0.2">
      <c r="A515" s="648">
        <v>2014</v>
      </c>
      <c r="B515" s="648">
        <v>1</v>
      </c>
      <c r="C515" s="657" t="s">
        <v>255</v>
      </c>
      <c r="D515" s="648">
        <v>4043</v>
      </c>
      <c r="E515" s="648" t="s">
        <v>1172</v>
      </c>
      <c r="F515" s="655">
        <v>4427084</v>
      </c>
      <c r="G515" s="655">
        <v>0</v>
      </c>
      <c r="H515" s="655">
        <v>71393</v>
      </c>
      <c r="I515" s="655">
        <v>507069</v>
      </c>
      <c r="J515" s="655">
        <v>388760</v>
      </c>
      <c r="K515" s="655">
        <v>42753</v>
      </c>
      <c r="L515" s="655">
        <v>41163</v>
      </c>
      <c r="M515" s="655">
        <v>0</v>
      </c>
      <c r="N515" s="655">
        <v>227205</v>
      </c>
      <c r="O515" s="655">
        <v>7595</v>
      </c>
      <c r="P515" s="655">
        <v>37669</v>
      </c>
      <c r="Q515" s="655">
        <v>42060</v>
      </c>
      <c r="R515" s="655">
        <v>0</v>
      </c>
      <c r="S515" s="655">
        <v>22309</v>
      </c>
      <c r="T515" s="655">
        <v>2374</v>
      </c>
      <c r="U515" s="655">
        <v>128839</v>
      </c>
      <c r="V515" s="655">
        <v>0</v>
      </c>
      <c r="W515" s="655">
        <v>48008</v>
      </c>
      <c r="X515" s="655">
        <v>0</v>
      </c>
      <c r="Y515" s="655">
        <v>0</v>
      </c>
      <c r="Z515" s="655">
        <v>0</v>
      </c>
      <c r="AA515" s="655">
        <v>0</v>
      </c>
      <c r="AB515" s="655">
        <v>0</v>
      </c>
      <c r="AC515" s="655">
        <v>0</v>
      </c>
      <c r="AD515" s="655">
        <v>45215</v>
      </c>
      <c r="AE515" s="655">
        <v>5949066</v>
      </c>
      <c r="AF515" s="655">
        <v>116299</v>
      </c>
      <c r="AG515" s="655">
        <v>351200</v>
      </c>
      <c r="AH515" s="655">
        <v>0</v>
      </c>
      <c r="AI515" s="655">
        <v>791977</v>
      </c>
      <c r="AJ515" s="655">
        <v>1626123</v>
      </c>
      <c r="AK515" s="655">
        <v>8834665</v>
      </c>
      <c r="AL515" s="655">
        <v>7376892</v>
      </c>
      <c r="AM515" s="655">
        <v>1457773</v>
      </c>
    </row>
    <row r="516" spans="1:39" x14ac:dyDescent="0.2">
      <c r="A516" s="648">
        <v>2014</v>
      </c>
      <c r="B516" s="648">
        <v>12</v>
      </c>
      <c r="C516" s="657" t="s">
        <v>256</v>
      </c>
      <c r="D516" s="648">
        <v>4068</v>
      </c>
      <c r="E516" s="648" t="s">
        <v>1173</v>
      </c>
      <c r="F516" s="655">
        <v>2778818</v>
      </c>
      <c r="G516" s="655">
        <v>0</v>
      </c>
      <c r="H516" s="655">
        <v>21497</v>
      </c>
      <c r="I516" s="655">
        <v>343689</v>
      </c>
      <c r="J516" s="655">
        <v>255443</v>
      </c>
      <c r="K516" s="655">
        <v>26836</v>
      </c>
      <c r="L516" s="655">
        <v>19871</v>
      </c>
      <c r="M516" s="655">
        <v>0</v>
      </c>
      <c r="N516" s="655">
        <v>139848</v>
      </c>
      <c r="O516" s="655">
        <v>8701</v>
      </c>
      <c r="P516" s="655">
        <v>22717</v>
      </c>
      <c r="Q516" s="655">
        <v>25527</v>
      </c>
      <c r="R516" s="655">
        <v>0</v>
      </c>
      <c r="S516" s="655">
        <v>14030</v>
      </c>
      <c r="T516" s="655">
        <v>1679</v>
      </c>
      <c r="U516" s="655">
        <v>103537</v>
      </c>
      <c r="V516" s="655">
        <v>0</v>
      </c>
      <c r="W516" s="655">
        <v>42007</v>
      </c>
      <c r="X516" s="655">
        <v>711</v>
      </c>
      <c r="Y516" s="655">
        <v>0</v>
      </c>
      <c r="Z516" s="655">
        <v>0</v>
      </c>
      <c r="AA516" s="655">
        <v>0</v>
      </c>
      <c r="AB516" s="655">
        <v>0</v>
      </c>
      <c r="AC516" s="655">
        <v>0</v>
      </c>
      <c r="AD516" s="655">
        <v>28045</v>
      </c>
      <c r="AE516" s="655">
        <v>3776866</v>
      </c>
      <c r="AF516" s="655">
        <v>79573</v>
      </c>
      <c r="AG516" s="655">
        <v>244203</v>
      </c>
      <c r="AH516" s="655">
        <v>0</v>
      </c>
      <c r="AI516" s="655">
        <v>402325</v>
      </c>
      <c r="AJ516" s="655">
        <v>677055</v>
      </c>
      <c r="AK516" s="655">
        <v>5180022</v>
      </c>
      <c r="AL516" s="655">
        <v>4700972</v>
      </c>
      <c r="AM516" s="655">
        <v>479050</v>
      </c>
    </row>
    <row r="517" spans="1:39" x14ac:dyDescent="0.2">
      <c r="A517" s="648">
        <v>2014</v>
      </c>
      <c r="B517" s="648">
        <v>10</v>
      </c>
      <c r="C517" s="657" t="s">
        <v>257</v>
      </c>
      <c r="D517" s="648">
        <v>4086</v>
      </c>
      <c r="E517" s="648" t="s">
        <v>1174</v>
      </c>
      <c r="F517" s="655">
        <v>11604650</v>
      </c>
      <c r="G517" s="655">
        <v>0</v>
      </c>
      <c r="H517" s="655">
        <v>164349</v>
      </c>
      <c r="I517" s="655">
        <v>1427556</v>
      </c>
      <c r="J517" s="655">
        <v>1019971</v>
      </c>
      <c r="K517" s="655">
        <v>123357</v>
      </c>
      <c r="L517" s="655">
        <v>124886</v>
      </c>
      <c r="M517" s="655">
        <v>0</v>
      </c>
      <c r="N517" s="655">
        <v>561602</v>
      </c>
      <c r="O517" s="655">
        <v>0</v>
      </c>
      <c r="P517" s="655">
        <v>98007</v>
      </c>
      <c r="Q517" s="655">
        <v>107635</v>
      </c>
      <c r="R517" s="655">
        <v>0</v>
      </c>
      <c r="S517" s="655">
        <v>52083</v>
      </c>
      <c r="T517" s="655">
        <v>6052</v>
      </c>
      <c r="U517" s="655">
        <v>117323</v>
      </c>
      <c r="V517" s="655">
        <v>0</v>
      </c>
      <c r="W517" s="655">
        <v>306051</v>
      </c>
      <c r="X517" s="655">
        <v>553091</v>
      </c>
      <c r="Y517" s="655">
        <v>0</v>
      </c>
      <c r="Z517" s="655">
        <v>0</v>
      </c>
      <c r="AA517" s="655">
        <v>0</v>
      </c>
      <c r="AB517" s="655">
        <v>0</v>
      </c>
      <c r="AC517" s="655">
        <v>-6103</v>
      </c>
      <c r="AD517" s="655">
        <v>80131</v>
      </c>
      <c r="AE517" s="655">
        <v>16180379</v>
      </c>
      <c r="AF517" s="655">
        <v>260143</v>
      </c>
      <c r="AG517" s="655">
        <v>772057</v>
      </c>
      <c r="AH517" s="655">
        <v>0</v>
      </c>
      <c r="AI517" s="655">
        <v>5989392</v>
      </c>
      <c r="AJ517" s="655">
        <v>7323414</v>
      </c>
      <c r="AK517" s="655">
        <v>30525385</v>
      </c>
      <c r="AL517" s="655">
        <v>23446726</v>
      </c>
      <c r="AM517" s="655">
        <v>7078659</v>
      </c>
    </row>
    <row r="518" spans="1:39" x14ac:dyDescent="0.2">
      <c r="A518" s="648">
        <v>2014</v>
      </c>
      <c r="B518" s="648">
        <v>7</v>
      </c>
      <c r="C518" s="657" t="s">
        <v>258</v>
      </c>
      <c r="D518" s="648">
        <v>4104</v>
      </c>
      <c r="E518" s="648" t="s">
        <v>1175</v>
      </c>
      <c r="F518" s="655">
        <v>32709128</v>
      </c>
      <c r="G518" s="655">
        <v>0</v>
      </c>
      <c r="H518" s="655">
        <v>1818739</v>
      </c>
      <c r="I518" s="655">
        <v>4607266</v>
      </c>
      <c r="J518" s="655">
        <v>2702458</v>
      </c>
      <c r="K518" s="655">
        <v>302249</v>
      </c>
      <c r="L518" s="655">
        <v>428319</v>
      </c>
      <c r="M518" s="655">
        <v>0</v>
      </c>
      <c r="N518" s="655">
        <v>1649927</v>
      </c>
      <c r="O518" s="655">
        <v>0</v>
      </c>
      <c r="P518" s="655">
        <v>276087</v>
      </c>
      <c r="Q518" s="655">
        <v>308577</v>
      </c>
      <c r="R518" s="655">
        <v>0</v>
      </c>
      <c r="S518" s="655">
        <v>212259</v>
      </c>
      <c r="T518" s="655">
        <v>24345</v>
      </c>
      <c r="U518" s="655">
        <v>1603607</v>
      </c>
      <c r="V518" s="655">
        <v>0</v>
      </c>
      <c r="W518" s="655">
        <v>1273509</v>
      </c>
      <c r="X518" s="655">
        <v>1139997</v>
      </c>
      <c r="Y518" s="655">
        <v>0</v>
      </c>
      <c r="Z518" s="655">
        <v>0</v>
      </c>
      <c r="AA518" s="655">
        <v>0</v>
      </c>
      <c r="AB518" s="655">
        <v>0</v>
      </c>
      <c r="AC518" s="655">
        <v>-157575</v>
      </c>
      <c r="AD518" s="655">
        <v>232815</v>
      </c>
      <c r="AE518" s="655">
        <v>48666077</v>
      </c>
      <c r="AF518" s="655">
        <v>658008</v>
      </c>
      <c r="AG518" s="655">
        <v>1937689</v>
      </c>
      <c r="AH518" s="655">
        <v>0</v>
      </c>
      <c r="AI518" s="655">
        <v>7374440</v>
      </c>
      <c r="AJ518" s="655">
        <v>17174816</v>
      </c>
      <c r="AK518" s="655">
        <v>75811030</v>
      </c>
      <c r="AL518" s="655">
        <v>57178329</v>
      </c>
      <c r="AM518" s="655">
        <v>18632701</v>
      </c>
    </row>
    <row r="519" spans="1:39" x14ac:dyDescent="0.2">
      <c r="A519" s="648">
        <v>2014</v>
      </c>
      <c r="B519" s="648">
        <v>11</v>
      </c>
      <c r="C519" s="657" t="s">
        <v>259</v>
      </c>
      <c r="D519" s="648">
        <v>4122</v>
      </c>
      <c r="E519" s="648" t="s">
        <v>1176</v>
      </c>
      <c r="F519" s="655">
        <v>3252699</v>
      </c>
      <c r="G519" s="655">
        <v>0</v>
      </c>
      <c r="H519" s="655">
        <v>19281</v>
      </c>
      <c r="I519" s="655">
        <v>397375</v>
      </c>
      <c r="J519" s="655">
        <v>279171</v>
      </c>
      <c r="K519" s="655">
        <v>26299</v>
      </c>
      <c r="L519" s="655">
        <v>29992</v>
      </c>
      <c r="M519" s="655">
        <v>0</v>
      </c>
      <c r="N519" s="655">
        <v>155681</v>
      </c>
      <c r="O519" s="655">
        <v>0</v>
      </c>
      <c r="P519" s="655">
        <v>27328</v>
      </c>
      <c r="Q519" s="655">
        <v>29987</v>
      </c>
      <c r="R519" s="655">
        <v>0</v>
      </c>
      <c r="S519" s="655">
        <v>12582</v>
      </c>
      <c r="T519" s="655">
        <v>1610</v>
      </c>
      <c r="U519" s="655">
        <v>96818</v>
      </c>
      <c r="V519" s="655">
        <v>0</v>
      </c>
      <c r="W519" s="655">
        <v>90015</v>
      </c>
      <c r="X519" s="655">
        <v>0</v>
      </c>
      <c r="Y519" s="655">
        <v>0</v>
      </c>
      <c r="Z519" s="655">
        <v>0</v>
      </c>
      <c r="AA519" s="655">
        <v>0</v>
      </c>
      <c r="AB519" s="655">
        <v>0</v>
      </c>
      <c r="AC519" s="655">
        <v>0</v>
      </c>
      <c r="AD519" s="655">
        <v>22923</v>
      </c>
      <c r="AE519" s="655">
        <v>4395915</v>
      </c>
      <c r="AF519" s="655">
        <v>76513</v>
      </c>
      <c r="AG519" s="655">
        <v>232275</v>
      </c>
      <c r="AH519" s="655">
        <v>0</v>
      </c>
      <c r="AI519" s="655">
        <v>1090519</v>
      </c>
      <c r="AJ519" s="655">
        <v>1656394</v>
      </c>
      <c r="AK519" s="655">
        <v>7451616</v>
      </c>
      <c r="AL519" s="655">
        <v>5551030</v>
      </c>
      <c r="AM519" s="655">
        <v>1900586</v>
      </c>
    </row>
    <row r="520" spans="1:39" x14ac:dyDescent="0.2">
      <c r="A520" s="648">
        <v>2014</v>
      </c>
      <c r="B520" s="648">
        <v>7</v>
      </c>
      <c r="C520" s="657" t="s">
        <v>260</v>
      </c>
      <c r="D520" s="648">
        <v>4131</v>
      </c>
      <c r="E520" s="648" t="s">
        <v>1177</v>
      </c>
      <c r="F520" s="655">
        <v>23230562</v>
      </c>
      <c r="G520" s="655">
        <v>54917</v>
      </c>
      <c r="H520" s="655">
        <v>332304</v>
      </c>
      <c r="I520" s="655">
        <v>3938438</v>
      </c>
      <c r="J520" s="655">
        <v>1930504</v>
      </c>
      <c r="K520" s="655">
        <v>230280</v>
      </c>
      <c r="L520" s="655">
        <v>261602</v>
      </c>
      <c r="M520" s="655">
        <v>0</v>
      </c>
      <c r="N520" s="655">
        <v>1195252</v>
      </c>
      <c r="O520" s="655">
        <v>58175</v>
      </c>
      <c r="P520" s="655">
        <v>212243</v>
      </c>
      <c r="Q520" s="655">
        <v>237220</v>
      </c>
      <c r="R520" s="655">
        <v>0</v>
      </c>
      <c r="S520" s="655">
        <v>155409</v>
      </c>
      <c r="T520" s="655">
        <v>17833</v>
      </c>
      <c r="U520" s="655">
        <v>1139022</v>
      </c>
      <c r="V520" s="655">
        <v>0</v>
      </c>
      <c r="W520" s="655">
        <v>110192</v>
      </c>
      <c r="X520" s="655">
        <v>2459614</v>
      </c>
      <c r="Y520" s="655">
        <v>0</v>
      </c>
      <c r="Z520" s="655">
        <v>0</v>
      </c>
      <c r="AA520" s="655">
        <v>0</v>
      </c>
      <c r="AB520" s="655">
        <v>0</v>
      </c>
      <c r="AC520" s="655">
        <v>0</v>
      </c>
      <c r="AD520" s="655">
        <v>218724</v>
      </c>
      <c r="AE520" s="655">
        <v>35344843</v>
      </c>
      <c r="AF520" s="655">
        <v>462136</v>
      </c>
      <c r="AG520" s="655">
        <v>0</v>
      </c>
      <c r="AH520" s="655">
        <v>0</v>
      </c>
      <c r="AI520" s="655">
        <v>5237422</v>
      </c>
      <c r="AJ520" s="655">
        <v>5063846</v>
      </c>
      <c r="AK520" s="655">
        <v>46108247</v>
      </c>
      <c r="AL520" s="655">
        <v>41177022</v>
      </c>
      <c r="AM520" s="655">
        <v>4931225</v>
      </c>
    </row>
    <row r="521" spans="1:39" x14ac:dyDescent="0.2">
      <c r="A521" s="648">
        <v>2014</v>
      </c>
      <c r="B521" s="648">
        <v>12</v>
      </c>
      <c r="C521" s="657" t="s">
        <v>261</v>
      </c>
      <c r="D521" s="648">
        <v>4149</v>
      </c>
      <c r="E521" s="648" t="s">
        <v>641</v>
      </c>
      <c r="F521" s="655">
        <v>8276071</v>
      </c>
      <c r="G521" s="655">
        <v>0</v>
      </c>
      <c r="H521" s="655">
        <v>273610</v>
      </c>
      <c r="I521" s="655">
        <v>829209</v>
      </c>
      <c r="J521" s="655">
        <v>696380</v>
      </c>
      <c r="K521" s="655">
        <v>83714</v>
      </c>
      <c r="L521" s="655">
        <v>79698</v>
      </c>
      <c r="M521" s="655">
        <v>0</v>
      </c>
      <c r="N521" s="655">
        <v>407469</v>
      </c>
      <c r="O521" s="655">
        <v>0</v>
      </c>
      <c r="P521" s="655">
        <v>92731</v>
      </c>
      <c r="Q521" s="655">
        <v>104201</v>
      </c>
      <c r="R521" s="655">
        <v>0</v>
      </c>
      <c r="S521" s="655">
        <v>40878</v>
      </c>
      <c r="T521" s="655">
        <v>4892</v>
      </c>
      <c r="U521" s="655">
        <v>281250</v>
      </c>
      <c r="V521" s="655">
        <v>0</v>
      </c>
      <c r="W521" s="655">
        <v>227094</v>
      </c>
      <c r="X521" s="655">
        <v>0</v>
      </c>
      <c r="Y521" s="655">
        <v>0</v>
      </c>
      <c r="Z521" s="655">
        <v>0</v>
      </c>
      <c r="AA521" s="655">
        <v>0</v>
      </c>
      <c r="AB521" s="655">
        <v>0</v>
      </c>
      <c r="AC521" s="655">
        <v>-1329</v>
      </c>
      <c r="AD521" s="655">
        <v>71335</v>
      </c>
      <c r="AE521" s="655">
        <v>11324533</v>
      </c>
      <c r="AF521" s="655">
        <v>333595</v>
      </c>
      <c r="AG521" s="655">
        <v>647934</v>
      </c>
      <c r="AH521" s="655">
        <v>0</v>
      </c>
      <c r="AI521" s="655">
        <v>1505808</v>
      </c>
      <c r="AJ521" s="655">
        <v>3588780</v>
      </c>
      <c r="AK521" s="655">
        <v>17400650</v>
      </c>
      <c r="AL521" s="655">
        <v>13429696</v>
      </c>
      <c r="AM521" s="655">
        <v>3970954</v>
      </c>
    </row>
    <row r="522" spans="1:39" x14ac:dyDescent="0.2">
      <c r="A522" s="648">
        <v>2014</v>
      </c>
      <c r="B522" s="648">
        <v>15</v>
      </c>
      <c r="C522" s="657" t="s">
        <v>262</v>
      </c>
      <c r="D522" s="648">
        <v>4203</v>
      </c>
      <c r="E522" s="648" t="s">
        <v>1178</v>
      </c>
      <c r="F522" s="655">
        <v>4617070</v>
      </c>
      <c r="G522" s="655">
        <v>355989</v>
      </c>
      <c r="H522" s="655">
        <v>149236</v>
      </c>
      <c r="I522" s="655">
        <v>546850</v>
      </c>
      <c r="J522" s="655">
        <v>430943</v>
      </c>
      <c r="K522" s="655">
        <v>41657</v>
      </c>
      <c r="L522" s="655">
        <v>43798</v>
      </c>
      <c r="M522" s="655">
        <v>0</v>
      </c>
      <c r="N522" s="655">
        <v>224822</v>
      </c>
      <c r="O522" s="655">
        <v>30651</v>
      </c>
      <c r="P522" s="655">
        <v>37845</v>
      </c>
      <c r="Q522" s="655">
        <v>41557</v>
      </c>
      <c r="R522" s="655">
        <v>0</v>
      </c>
      <c r="S522" s="655">
        <v>24146</v>
      </c>
      <c r="T522" s="655">
        <v>2599</v>
      </c>
      <c r="U522" s="655">
        <v>136974</v>
      </c>
      <c r="V522" s="655">
        <v>0</v>
      </c>
      <c r="W522" s="655">
        <v>33606</v>
      </c>
      <c r="X522" s="655">
        <v>148545</v>
      </c>
      <c r="Y522" s="655">
        <v>0</v>
      </c>
      <c r="Z522" s="655">
        <v>0</v>
      </c>
      <c r="AA522" s="655">
        <v>0</v>
      </c>
      <c r="AB522" s="655">
        <v>0</v>
      </c>
      <c r="AC522" s="655">
        <v>0</v>
      </c>
      <c r="AD522" s="655">
        <v>41596</v>
      </c>
      <c r="AE522" s="655">
        <v>6824692</v>
      </c>
      <c r="AF522" s="655">
        <v>0</v>
      </c>
      <c r="AG522" s="655">
        <v>394563</v>
      </c>
      <c r="AH522" s="655">
        <v>0</v>
      </c>
      <c r="AI522" s="655">
        <v>1145965</v>
      </c>
      <c r="AJ522" s="655">
        <v>3526341</v>
      </c>
      <c r="AK522" s="655">
        <v>11891561</v>
      </c>
      <c r="AL522" s="655">
        <v>8191798</v>
      </c>
      <c r="AM522" s="655">
        <v>3699763</v>
      </c>
    </row>
    <row r="523" spans="1:39" x14ac:dyDescent="0.2">
      <c r="A523" s="648">
        <v>2014</v>
      </c>
      <c r="B523" s="648">
        <v>11</v>
      </c>
      <c r="C523" s="657" t="s">
        <v>263</v>
      </c>
      <c r="D523" s="648">
        <v>4212</v>
      </c>
      <c r="E523" s="648" t="s">
        <v>1179</v>
      </c>
      <c r="F523" s="655">
        <v>1928115</v>
      </c>
      <c r="G523" s="655">
        <v>0</v>
      </c>
      <c r="H523" s="655">
        <v>77327</v>
      </c>
      <c r="I523" s="655">
        <v>251328</v>
      </c>
      <c r="J523" s="655">
        <v>194553</v>
      </c>
      <c r="K523" s="655">
        <v>20003</v>
      </c>
      <c r="L523" s="655">
        <v>24006</v>
      </c>
      <c r="M523" s="655">
        <v>0</v>
      </c>
      <c r="N523" s="655">
        <v>92957</v>
      </c>
      <c r="O523" s="655">
        <v>16982</v>
      </c>
      <c r="P523" s="655">
        <v>15737</v>
      </c>
      <c r="Q523" s="655">
        <v>17268</v>
      </c>
      <c r="R523" s="655">
        <v>0</v>
      </c>
      <c r="S523" s="655">
        <v>7513</v>
      </c>
      <c r="T523" s="655">
        <v>961</v>
      </c>
      <c r="U523" s="655">
        <v>80998</v>
      </c>
      <c r="V523" s="655">
        <v>0</v>
      </c>
      <c r="W523" s="655">
        <v>18003</v>
      </c>
      <c r="X523" s="655">
        <v>38044</v>
      </c>
      <c r="Y523" s="655">
        <v>0</v>
      </c>
      <c r="Z523" s="655">
        <v>0</v>
      </c>
      <c r="AA523" s="655">
        <v>0</v>
      </c>
      <c r="AB523" s="655">
        <v>0</v>
      </c>
      <c r="AC523" s="655">
        <v>32285</v>
      </c>
      <c r="AD523" s="655">
        <v>20816</v>
      </c>
      <c r="AE523" s="655">
        <v>2795264</v>
      </c>
      <c r="AF523" s="655">
        <v>79573</v>
      </c>
      <c r="AG523" s="655">
        <v>123303</v>
      </c>
      <c r="AH523" s="655">
        <v>0</v>
      </c>
      <c r="AI523" s="655">
        <v>337027</v>
      </c>
      <c r="AJ523" s="655">
        <v>1216564</v>
      </c>
      <c r="AK523" s="655">
        <v>4551731</v>
      </c>
      <c r="AL523" s="655">
        <v>3446903</v>
      </c>
      <c r="AM523" s="655">
        <v>1104828</v>
      </c>
    </row>
    <row r="524" spans="1:39" x14ac:dyDescent="0.2">
      <c r="A524" s="648">
        <v>2014</v>
      </c>
      <c r="B524" s="648">
        <v>10</v>
      </c>
      <c r="C524" s="657" t="s">
        <v>264</v>
      </c>
      <c r="D524" s="648">
        <v>4269</v>
      </c>
      <c r="E524" s="648" t="s">
        <v>642</v>
      </c>
      <c r="F524" s="655">
        <v>3446550</v>
      </c>
      <c r="G524" s="655">
        <v>0</v>
      </c>
      <c r="H524" s="655">
        <v>78488</v>
      </c>
      <c r="I524" s="655">
        <v>601439</v>
      </c>
      <c r="J524" s="655">
        <v>318470</v>
      </c>
      <c r="K524" s="655">
        <v>31269</v>
      </c>
      <c r="L524" s="655">
        <v>33067</v>
      </c>
      <c r="M524" s="655">
        <v>0</v>
      </c>
      <c r="N524" s="655">
        <v>174807</v>
      </c>
      <c r="O524" s="655">
        <v>6441</v>
      </c>
      <c r="P524" s="655">
        <v>28345</v>
      </c>
      <c r="Q524" s="655">
        <v>31130</v>
      </c>
      <c r="R524" s="655">
        <v>0</v>
      </c>
      <c r="S524" s="655">
        <v>16212</v>
      </c>
      <c r="T524" s="655">
        <v>1884</v>
      </c>
      <c r="U524" s="655">
        <v>0</v>
      </c>
      <c r="V524" s="655">
        <v>0</v>
      </c>
      <c r="W524" s="655">
        <v>72012</v>
      </c>
      <c r="X524" s="655">
        <v>107000</v>
      </c>
      <c r="Y524" s="655">
        <v>0</v>
      </c>
      <c r="Z524" s="655">
        <v>0</v>
      </c>
      <c r="AA524" s="655">
        <v>0</v>
      </c>
      <c r="AB524" s="655">
        <v>0</v>
      </c>
      <c r="AC524" s="655">
        <v>-914</v>
      </c>
      <c r="AD524" s="655">
        <v>35327</v>
      </c>
      <c r="AE524" s="655">
        <v>4910873</v>
      </c>
      <c r="AF524" s="655">
        <v>88755</v>
      </c>
      <c r="AG524" s="655">
        <v>280618</v>
      </c>
      <c r="AH524" s="655">
        <v>0</v>
      </c>
      <c r="AI524" s="655">
        <v>751603</v>
      </c>
      <c r="AJ524" s="655">
        <v>1621320</v>
      </c>
      <c r="AK524" s="655">
        <v>7653169</v>
      </c>
      <c r="AL524" s="655">
        <v>5953576</v>
      </c>
      <c r="AM524" s="655">
        <v>1699593</v>
      </c>
    </row>
    <row r="525" spans="1:39" x14ac:dyDescent="0.2">
      <c r="A525" s="648">
        <v>2014</v>
      </c>
      <c r="B525" s="648">
        <v>10</v>
      </c>
      <c r="C525" s="657" t="s">
        <v>265</v>
      </c>
      <c r="D525" s="648">
        <v>4271</v>
      </c>
      <c r="E525" s="648" t="s">
        <v>1180</v>
      </c>
      <c r="F525" s="655">
        <v>7512263</v>
      </c>
      <c r="G525" s="655">
        <v>0</v>
      </c>
      <c r="H525" s="655">
        <v>310667</v>
      </c>
      <c r="I525" s="655">
        <v>1002925</v>
      </c>
      <c r="J525" s="655">
        <v>665663</v>
      </c>
      <c r="K525" s="655">
        <v>72189</v>
      </c>
      <c r="L525" s="655">
        <v>73839</v>
      </c>
      <c r="M525" s="655">
        <v>0</v>
      </c>
      <c r="N525" s="655">
        <v>371606</v>
      </c>
      <c r="O525" s="655">
        <v>0</v>
      </c>
      <c r="P525" s="655">
        <v>63802</v>
      </c>
      <c r="Q525" s="655">
        <v>70070</v>
      </c>
      <c r="R525" s="655">
        <v>0</v>
      </c>
      <c r="S525" s="655">
        <v>34463</v>
      </c>
      <c r="T525" s="655">
        <v>4005</v>
      </c>
      <c r="U525" s="655">
        <v>206236</v>
      </c>
      <c r="V525" s="655">
        <v>0</v>
      </c>
      <c r="W525" s="655">
        <v>144408</v>
      </c>
      <c r="X525" s="655">
        <v>0</v>
      </c>
      <c r="Y525" s="655">
        <v>0</v>
      </c>
      <c r="Z525" s="655">
        <v>0</v>
      </c>
      <c r="AA525" s="655">
        <v>0</v>
      </c>
      <c r="AB525" s="655">
        <v>0</v>
      </c>
      <c r="AC525" s="655">
        <v>0</v>
      </c>
      <c r="AD525" s="655">
        <v>55121</v>
      </c>
      <c r="AE525" s="655">
        <v>10477015</v>
      </c>
      <c r="AF525" s="655">
        <v>312171</v>
      </c>
      <c r="AG525" s="655">
        <v>228433</v>
      </c>
      <c r="AH525" s="655">
        <v>0</v>
      </c>
      <c r="AI525" s="655">
        <v>2695154</v>
      </c>
      <c r="AJ525" s="655">
        <v>3383887</v>
      </c>
      <c r="AK525" s="655">
        <v>17096660</v>
      </c>
      <c r="AL525" s="655">
        <v>13861073</v>
      </c>
      <c r="AM525" s="655">
        <v>3235587</v>
      </c>
    </row>
    <row r="526" spans="1:39" x14ac:dyDescent="0.2">
      <c r="A526" s="648">
        <v>2014</v>
      </c>
      <c r="B526" s="648">
        <v>13</v>
      </c>
      <c r="C526" s="657" t="s">
        <v>266</v>
      </c>
      <c r="D526" s="648">
        <v>4356</v>
      </c>
      <c r="E526" s="648" t="s">
        <v>1181</v>
      </c>
      <c r="F526" s="655">
        <v>5368117</v>
      </c>
      <c r="G526" s="655">
        <v>0</v>
      </c>
      <c r="H526" s="655">
        <v>56901</v>
      </c>
      <c r="I526" s="655">
        <v>773144</v>
      </c>
      <c r="J526" s="655">
        <v>441684</v>
      </c>
      <c r="K526" s="655">
        <v>43429</v>
      </c>
      <c r="L526" s="655">
        <v>51682</v>
      </c>
      <c r="M526" s="655">
        <v>0</v>
      </c>
      <c r="N526" s="655">
        <v>270021</v>
      </c>
      <c r="O526" s="655">
        <v>0</v>
      </c>
      <c r="P526" s="655">
        <v>44680</v>
      </c>
      <c r="Q526" s="655">
        <v>49417</v>
      </c>
      <c r="R526" s="655">
        <v>0</v>
      </c>
      <c r="S526" s="655">
        <v>27731</v>
      </c>
      <c r="T526" s="655">
        <v>2930</v>
      </c>
      <c r="U526" s="655">
        <v>141700</v>
      </c>
      <c r="V526" s="655">
        <v>0</v>
      </c>
      <c r="W526" s="655">
        <v>72012</v>
      </c>
      <c r="X526" s="655">
        <v>0</v>
      </c>
      <c r="Y526" s="655">
        <v>143679</v>
      </c>
      <c r="Z526" s="655">
        <v>0</v>
      </c>
      <c r="AA526" s="655">
        <v>0</v>
      </c>
      <c r="AB526" s="655">
        <v>0</v>
      </c>
      <c r="AC526" s="655">
        <v>0</v>
      </c>
      <c r="AD526" s="655">
        <v>44838</v>
      </c>
      <c r="AE526" s="655">
        <v>7154931</v>
      </c>
      <c r="AF526" s="655">
        <v>125481</v>
      </c>
      <c r="AG526" s="655">
        <v>396704</v>
      </c>
      <c r="AH526" s="655">
        <v>0</v>
      </c>
      <c r="AI526" s="655">
        <v>721297</v>
      </c>
      <c r="AJ526" s="655">
        <v>1919749</v>
      </c>
      <c r="AK526" s="655">
        <v>10318162</v>
      </c>
      <c r="AL526" s="655">
        <v>8209978</v>
      </c>
      <c r="AM526" s="655">
        <v>2108184</v>
      </c>
    </row>
    <row r="527" spans="1:39" x14ac:dyDescent="0.2">
      <c r="A527" s="648">
        <v>2014</v>
      </c>
      <c r="B527" s="648">
        <v>1</v>
      </c>
      <c r="C527" s="657" t="s">
        <v>267</v>
      </c>
      <c r="D527" s="648">
        <v>4419</v>
      </c>
      <c r="E527" s="648" t="s">
        <v>643</v>
      </c>
      <c r="F527" s="655">
        <v>4908542</v>
      </c>
      <c r="G527" s="655">
        <v>61638</v>
      </c>
      <c r="H527" s="655">
        <v>121380</v>
      </c>
      <c r="I527" s="655">
        <v>575711</v>
      </c>
      <c r="J527" s="655">
        <v>434819</v>
      </c>
      <c r="K527" s="655">
        <v>53162</v>
      </c>
      <c r="L527" s="655">
        <v>53488</v>
      </c>
      <c r="M527" s="655">
        <v>0</v>
      </c>
      <c r="N527" s="655">
        <v>252331</v>
      </c>
      <c r="O527" s="655">
        <v>13156</v>
      </c>
      <c r="P527" s="655">
        <v>40187</v>
      </c>
      <c r="Q527" s="655">
        <v>44872</v>
      </c>
      <c r="R527" s="655">
        <v>0</v>
      </c>
      <c r="S527" s="655">
        <v>24831</v>
      </c>
      <c r="T527" s="655">
        <v>2640</v>
      </c>
      <c r="U527" s="655">
        <v>206670</v>
      </c>
      <c r="V527" s="655">
        <v>0</v>
      </c>
      <c r="W527" s="655">
        <v>36006</v>
      </c>
      <c r="X527" s="655">
        <v>220588</v>
      </c>
      <c r="Y527" s="655">
        <v>0</v>
      </c>
      <c r="Z527" s="655">
        <v>0</v>
      </c>
      <c r="AA527" s="655">
        <v>0</v>
      </c>
      <c r="AB527" s="655">
        <v>0</v>
      </c>
      <c r="AC527" s="655">
        <v>-36228</v>
      </c>
      <c r="AD527" s="655">
        <v>49021</v>
      </c>
      <c r="AE527" s="655">
        <v>6964772</v>
      </c>
      <c r="AF527" s="655">
        <v>140783</v>
      </c>
      <c r="AG527" s="655">
        <v>325199</v>
      </c>
      <c r="AH527" s="655">
        <v>0</v>
      </c>
      <c r="AI527" s="655">
        <v>868703</v>
      </c>
      <c r="AJ527" s="655">
        <v>1644824</v>
      </c>
      <c r="AK527" s="655">
        <v>9944281</v>
      </c>
      <c r="AL527" s="655">
        <v>8699124</v>
      </c>
      <c r="AM527" s="655">
        <v>1245157</v>
      </c>
    </row>
    <row r="528" spans="1:39" x14ac:dyDescent="0.2">
      <c r="A528" s="648">
        <v>2014</v>
      </c>
      <c r="B528" s="648">
        <v>7</v>
      </c>
      <c r="C528" s="657" t="s">
        <v>268</v>
      </c>
      <c r="D528" s="648">
        <v>4437</v>
      </c>
      <c r="E528" s="648" t="s">
        <v>1182</v>
      </c>
      <c r="F528" s="655">
        <v>3232500</v>
      </c>
      <c r="G528" s="655">
        <v>0</v>
      </c>
      <c r="H528" s="655">
        <v>34871</v>
      </c>
      <c r="I528" s="655">
        <v>319883</v>
      </c>
      <c r="J528" s="655">
        <v>262460</v>
      </c>
      <c r="K528" s="655">
        <v>25185</v>
      </c>
      <c r="L528" s="655">
        <v>33909</v>
      </c>
      <c r="M528" s="655">
        <v>0</v>
      </c>
      <c r="N528" s="655">
        <v>158119</v>
      </c>
      <c r="O528" s="655">
        <v>631</v>
      </c>
      <c r="P528" s="655">
        <v>26707</v>
      </c>
      <c r="Q528" s="655">
        <v>29850</v>
      </c>
      <c r="R528" s="655">
        <v>0</v>
      </c>
      <c r="S528" s="655">
        <v>20505</v>
      </c>
      <c r="T528" s="655">
        <v>2353</v>
      </c>
      <c r="U528" s="655">
        <v>155287</v>
      </c>
      <c r="V528" s="655">
        <v>233373</v>
      </c>
      <c r="W528" s="655">
        <v>139559</v>
      </c>
      <c r="X528" s="655">
        <v>116848</v>
      </c>
      <c r="Y528" s="655">
        <v>0</v>
      </c>
      <c r="Z528" s="655">
        <v>0</v>
      </c>
      <c r="AA528" s="655">
        <v>0</v>
      </c>
      <c r="AB528" s="655">
        <v>0</v>
      </c>
      <c r="AC528" s="655">
        <v>0</v>
      </c>
      <c r="AD528" s="655">
        <v>24738</v>
      </c>
      <c r="AE528" s="655">
        <v>4767302</v>
      </c>
      <c r="AF528" s="655">
        <v>119360</v>
      </c>
      <c r="AG528" s="655">
        <v>274245</v>
      </c>
      <c r="AH528" s="655">
        <v>0</v>
      </c>
      <c r="AI528" s="655">
        <v>507039</v>
      </c>
      <c r="AJ528" s="655">
        <v>1170231</v>
      </c>
      <c r="AK528" s="655">
        <v>6838177</v>
      </c>
      <c r="AL528" s="655">
        <v>5611091</v>
      </c>
      <c r="AM528" s="655">
        <v>1227086</v>
      </c>
    </row>
    <row r="529" spans="1:39" x14ac:dyDescent="0.2">
      <c r="A529" s="648">
        <v>2014</v>
      </c>
      <c r="B529" s="648">
        <v>10</v>
      </c>
      <c r="C529" s="657" t="s">
        <v>269</v>
      </c>
      <c r="D529" s="648">
        <v>4446</v>
      </c>
      <c r="E529" s="648" t="s">
        <v>1183</v>
      </c>
      <c r="F529" s="655">
        <v>6215876</v>
      </c>
      <c r="G529" s="655">
        <v>0</v>
      </c>
      <c r="H529" s="655">
        <v>76225</v>
      </c>
      <c r="I529" s="655">
        <v>952428</v>
      </c>
      <c r="J529" s="655">
        <v>541932</v>
      </c>
      <c r="K529" s="655">
        <v>52044</v>
      </c>
      <c r="L529" s="655">
        <v>56269</v>
      </c>
      <c r="M529" s="655">
        <v>0</v>
      </c>
      <c r="N529" s="655">
        <v>314054</v>
      </c>
      <c r="O529" s="655">
        <v>0</v>
      </c>
      <c r="P529" s="655">
        <v>55639</v>
      </c>
      <c r="Q529" s="655">
        <v>61105</v>
      </c>
      <c r="R529" s="655">
        <v>0</v>
      </c>
      <c r="S529" s="655">
        <v>29125</v>
      </c>
      <c r="T529" s="655">
        <v>3384</v>
      </c>
      <c r="U529" s="655">
        <v>220719</v>
      </c>
      <c r="V529" s="655">
        <v>1225</v>
      </c>
      <c r="W529" s="655">
        <v>84626</v>
      </c>
      <c r="X529" s="655">
        <v>123740</v>
      </c>
      <c r="Y529" s="655">
        <v>0</v>
      </c>
      <c r="Z529" s="655">
        <v>0</v>
      </c>
      <c r="AA529" s="655">
        <v>0</v>
      </c>
      <c r="AB529" s="655">
        <v>0</v>
      </c>
      <c r="AC529" s="655">
        <v>-6001</v>
      </c>
      <c r="AD529" s="655">
        <v>48152</v>
      </c>
      <c r="AE529" s="655">
        <v>8734238</v>
      </c>
      <c r="AF529" s="655">
        <v>220356</v>
      </c>
      <c r="AG529" s="655">
        <v>466688</v>
      </c>
      <c r="AH529" s="655">
        <v>0</v>
      </c>
      <c r="AI529" s="655">
        <v>1790623</v>
      </c>
      <c r="AJ529" s="655">
        <v>942430</v>
      </c>
      <c r="AK529" s="655">
        <v>12154335</v>
      </c>
      <c r="AL529" s="655">
        <v>11489423</v>
      </c>
      <c r="AM529" s="655">
        <v>664912</v>
      </c>
    </row>
    <row r="530" spans="1:39" x14ac:dyDescent="0.2">
      <c r="A530" s="648">
        <v>2014</v>
      </c>
      <c r="B530" s="648">
        <v>15</v>
      </c>
      <c r="C530" s="657" t="s">
        <v>270</v>
      </c>
      <c r="D530" s="648">
        <v>4491</v>
      </c>
      <c r="E530" s="648" t="s">
        <v>1184</v>
      </c>
      <c r="F530" s="655">
        <v>2084201</v>
      </c>
      <c r="G530" s="655">
        <v>42002</v>
      </c>
      <c r="H530" s="655">
        <v>32362</v>
      </c>
      <c r="I530" s="655">
        <v>222009</v>
      </c>
      <c r="J530" s="655">
        <v>212974</v>
      </c>
      <c r="K530" s="655">
        <v>23854</v>
      </c>
      <c r="L530" s="655">
        <v>26601</v>
      </c>
      <c r="M530" s="655">
        <v>0</v>
      </c>
      <c r="N530" s="655">
        <v>100405</v>
      </c>
      <c r="O530" s="655">
        <v>1398</v>
      </c>
      <c r="P530" s="655">
        <v>17070</v>
      </c>
      <c r="Q530" s="655">
        <v>18745</v>
      </c>
      <c r="R530" s="655">
        <v>0</v>
      </c>
      <c r="S530" s="655">
        <v>10176</v>
      </c>
      <c r="T530" s="655">
        <v>1095</v>
      </c>
      <c r="U530" s="655">
        <v>100124</v>
      </c>
      <c r="V530" s="655">
        <v>31186</v>
      </c>
      <c r="W530" s="655">
        <v>75900</v>
      </c>
      <c r="X530" s="655">
        <v>6936</v>
      </c>
      <c r="Y530" s="655">
        <v>0</v>
      </c>
      <c r="Z530" s="655">
        <v>0</v>
      </c>
      <c r="AA530" s="655">
        <v>0</v>
      </c>
      <c r="AB530" s="655">
        <v>0</v>
      </c>
      <c r="AC530" s="655">
        <v>0</v>
      </c>
      <c r="AD530" s="655">
        <v>14721</v>
      </c>
      <c r="AE530" s="655">
        <v>2992317</v>
      </c>
      <c r="AF530" s="655">
        <v>76513</v>
      </c>
      <c r="AG530" s="655">
        <v>152895</v>
      </c>
      <c r="AH530" s="655">
        <v>0</v>
      </c>
      <c r="AI530" s="655">
        <v>935543</v>
      </c>
      <c r="AJ530" s="655">
        <v>1083501</v>
      </c>
      <c r="AK530" s="655">
        <v>5240769</v>
      </c>
      <c r="AL530" s="655">
        <v>4207054</v>
      </c>
      <c r="AM530" s="655">
        <v>1033715</v>
      </c>
    </row>
    <row r="531" spans="1:39" x14ac:dyDescent="0.2">
      <c r="A531" s="648">
        <v>2014</v>
      </c>
      <c r="B531" s="648">
        <v>13</v>
      </c>
      <c r="C531" s="657" t="s">
        <v>271</v>
      </c>
      <c r="D531" s="648">
        <v>4505</v>
      </c>
      <c r="E531" s="648" t="s">
        <v>1185</v>
      </c>
      <c r="F531" s="655">
        <v>1483083</v>
      </c>
      <c r="G531" s="655">
        <v>44106</v>
      </c>
      <c r="H531" s="655">
        <v>21416</v>
      </c>
      <c r="I531" s="655">
        <v>200656</v>
      </c>
      <c r="J531" s="655">
        <v>132788</v>
      </c>
      <c r="K531" s="655">
        <v>11803</v>
      </c>
      <c r="L531" s="655">
        <v>15380</v>
      </c>
      <c r="M531" s="655">
        <v>0</v>
      </c>
      <c r="N531" s="655">
        <v>73147</v>
      </c>
      <c r="O531" s="655">
        <v>11431</v>
      </c>
      <c r="P531" s="655">
        <v>11972</v>
      </c>
      <c r="Q531" s="655">
        <v>13241</v>
      </c>
      <c r="R531" s="655">
        <v>0</v>
      </c>
      <c r="S531" s="655">
        <v>7718</v>
      </c>
      <c r="T531" s="655">
        <v>815</v>
      </c>
      <c r="U531" s="655">
        <v>40358</v>
      </c>
      <c r="V531" s="655">
        <v>0</v>
      </c>
      <c r="W531" s="655">
        <v>73894</v>
      </c>
      <c r="X531" s="655">
        <v>39256</v>
      </c>
      <c r="Y531" s="655">
        <v>0</v>
      </c>
      <c r="Z531" s="655">
        <v>0</v>
      </c>
      <c r="AA531" s="655">
        <v>0</v>
      </c>
      <c r="AB531" s="655">
        <v>0</v>
      </c>
      <c r="AC531" s="655">
        <v>0</v>
      </c>
      <c r="AD531" s="655">
        <v>14742</v>
      </c>
      <c r="AE531" s="655">
        <v>2166322</v>
      </c>
      <c r="AF531" s="655">
        <v>36726</v>
      </c>
      <c r="AG531" s="655">
        <v>118724</v>
      </c>
      <c r="AH531" s="655">
        <v>0</v>
      </c>
      <c r="AI531" s="655">
        <v>460209</v>
      </c>
      <c r="AJ531" s="655">
        <v>764961</v>
      </c>
      <c r="AK531" s="655">
        <v>3546942</v>
      </c>
      <c r="AL531" s="655">
        <v>3013001</v>
      </c>
      <c r="AM531" s="655">
        <v>533941</v>
      </c>
    </row>
    <row r="532" spans="1:39" x14ac:dyDescent="0.2">
      <c r="A532" s="648">
        <v>2014</v>
      </c>
      <c r="B532" s="648">
        <v>15</v>
      </c>
      <c r="C532" s="657" t="s">
        <v>272</v>
      </c>
      <c r="D532" s="648">
        <v>4509</v>
      </c>
      <c r="E532" s="648" t="s">
        <v>1186</v>
      </c>
      <c r="F532" s="655">
        <v>1347232</v>
      </c>
      <c r="G532" s="655">
        <v>0</v>
      </c>
      <c r="H532" s="655">
        <v>48625</v>
      </c>
      <c r="I532" s="655">
        <v>227701</v>
      </c>
      <c r="J532" s="655">
        <v>119917</v>
      </c>
      <c r="K532" s="655">
        <v>13074</v>
      </c>
      <c r="L532" s="655">
        <v>17733</v>
      </c>
      <c r="M532" s="655">
        <v>0</v>
      </c>
      <c r="N532" s="655">
        <v>68568</v>
      </c>
      <c r="O532" s="655">
        <v>0</v>
      </c>
      <c r="P532" s="655">
        <v>11013</v>
      </c>
      <c r="Q532" s="655">
        <v>12093</v>
      </c>
      <c r="R532" s="655">
        <v>0</v>
      </c>
      <c r="S532" s="655">
        <v>6857</v>
      </c>
      <c r="T532" s="655">
        <v>738</v>
      </c>
      <c r="U532" s="655">
        <v>0</v>
      </c>
      <c r="V532" s="655">
        <v>0</v>
      </c>
      <c r="W532" s="655">
        <v>18111</v>
      </c>
      <c r="X532" s="655">
        <v>2403</v>
      </c>
      <c r="Y532" s="655">
        <v>0</v>
      </c>
      <c r="Z532" s="655">
        <v>0</v>
      </c>
      <c r="AA532" s="655">
        <v>0</v>
      </c>
      <c r="AB532" s="655">
        <v>0</v>
      </c>
      <c r="AC532" s="655">
        <v>0</v>
      </c>
      <c r="AD532" s="655">
        <v>10949</v>
      </c>
      <c r="AE532" s="655">
        <v>1883116</v>
      </c>
      <c r="AF532" s="655">
        <v>45908</v>
      </c>
      <c r="AG532" s="655">
        <v>94360</v>
      </c>
      <c r="AH532" s="655">
        <v>0</v>
      </c>
      <c r="AI532" s="655">
        <v>329800</v>
      </c>
      <c r="AJ532" s="655">
        <v>168363</v>
      </c>
      <c r="AK532" s="655">
        <v>2521547</v>
      </c>
      <c r="AL532" s="655">
        <v>2473077</v>
      </c>
      <c r="AM532" s="655">
        <v>48470</v>
      </c>
    </row>
    <row r="533" spans="1:39" x14ac:dyDescent="0.2">
      <c r="A533" s="648">
        <v>2014</v>
      </c>
      <c r="B533" s="648">
        <v>15</v>
      </c>
      <c r="C533" s="657" t="s">
        <v>273</v>
      </c>
      <c r="D533" s="648">
        <v>4518</v>
      </c>
      <c r="E533" s="648" t="s">
        <v>1187</v>
      </c>
      <c r="F533" s="655">
        <v>1371104</v>
      </c>
      <c r="G533" s="655">
        <v>0</v>
      </c>
      <c r="H533" s="655">
        <v>9714</v>
      </c>
      <c r="I533" s="655">
        <v>118013</v>
      </c>
      <c r="J533" s="655">
        <v>133417</v>
      </c>
      <c r="K533" s="655">
        <v>13601</v>
      </c>
      <c r="L533" s="655">
        <v>15328</v>
      </c>
      <c r="M533" s="655">
        <v>0</v>
      </c>
      <c r="N533" s="655">
        <v>64832</v>
      </c>
      <c r="O533" s="655">
        <v>622</v>
      </c>
      <c r="P533" s="655">
        <v>11213</v>
      </c>
      <c r="Q533" s="655">
        <v>12313</v>
      </c>
      <c r="R533" s="655">
        <v>0</v>
      </c>
      <c r="S533" s="655">
        <v>6483</v>
      </c>
      <c r="T533" s="655">
        <v>698</v>
      </c>
      <c r="U533" s="655">
        <v>30645</v>
      </c>
      <c r="V533" s="655">
        <v>0</v>
      </c>
      <c r="W533" s="655">
        <v>54957</v>
      </c>
      <c r="X533" s="655">
        <v>0</v>
      </c>
      <c r="Y533" s="655">
        <v>29111</v>
      </c>
      <c r="Z533" s="655">
        <v>0</v>
      </c>
      <c r="AA533" s="655">
        <v>0</v>
      </c>
      <c r="AB533" s="655">
        <v>0</v>
      </c>
      <c r="AC533" s="655">
        <v>-5401</v>
      </c>
      <c r="AD533" s="655">
        <v>12939</v>
      </c>
      <c r="AE533" s="655">
        <v>1795489</v>
      </c>
      <c r="AF533" s="655">
        <v>61210</v>
      </c>
      <c r="AG533" s="655">
        <v>99610</v>
      </c>
      <c r="AH533" s="655">
        <v>0</v>
      </c>
      <c r="AI533" s="655">
        <v>397905</v>
      </c>
      <c r="AJ533" s="655">
        <v>481479</v>
      </c>
      <c r="AK533" s="655">
        <v>2835693</v>
      </c>
      <c r="AL533" s="655">
        <v>2546109</v>
      </c>
      <c r="AM533" s="655">
        <v>289584</v>
      </c>
    </row>
    <row r="534" spans="1:39" x14ac:dyDescent="0.2">
      <c r="A534" s="648">
        <v>2014</v>
      </c>
      <c r="B534" s="648">
        <v>13</v>
      </c>
      <c r="C534" s="657" t="s">
        <v>274</v>
      </c>
      <c r="D534" s="648">
        <v>4527</v>
      </c>
      <c r="E534" s="648" t="s">
        <v>1189</v>
      </c>
      <c r="F534" s="655">
        <v>3778508</v>
      </c>
      <c r="G534" s="655">
        <v>0</v>
      </c>
      <c r="H534" s="655">
        <v>45954</v>
      </c>
      <c r="I534" s="655">
        <v>706648</v>
      </c>
      <c r="J534" s="655">
        <v>374359</v>
      </c>
      <c r="K534" s="655">
        <v>46911</v>
      </c>
      <c r="L534" s="655">
        <v>43060</v>
      </c>
      <c r="M534" s="655">
        <v>0</v>
      </c>
      <c r="N534" s="655">
        <v>197108</v>
      </c>
      <c r="O534" s="655">
        <v>20</v>
      </c>
      <c r="P534" s="655">
        <v>30956</v>
      </c>
      <c r="Q534" s="655">
        <v>34237</v>
      </c>
      <c r="R534" s="655">
        <v>0</v>
      </c>
      <c r="S534" s="655">
        <v>20243</v>
      </c>
      <c r="T534" s="655">
        <v>2139</v>
      </c>
      <c r="U534" s="655">
        <v>160424</v>
      </c>
      <c r="V534" s="655">
        <v>0</v>
      </c>
      <c r="W534" s="655">
        <v>79360</v>
      </c>
      <c r="X534" s="655">
        <v>60294</v>
      </c>
      <c r="Y534" s="655">
        <v>0</v>
      </c>
      <c r="Z534" s="655">
        <v>0</v>
      </c>
      <c r="AA534" s="655">
        <v>0</v>
      </c>
      <c r="AB534" s="655">
        <v>0</v>
      </c>
      <c r="AC534" s="655">
        <v>1321</v>
      </c>
      <c r="AD534" s="655">
        <v>37957</v>
      </c>
      <c r="AE534" s="655">
        <v>5543585</v>
      </c>
      <c r="AF534" s="655">
        <v>85694</v>
      </c>
      <c r="AG534" s="655">
        <v>299334</v>
      </c>
      <c r="AH534" s="655">
        <v>0</v>
      </c>
      <c r="AI534" s="655">
        <v>1213019</v>
      </c>
      <c r="AJ534" s="655">
        <v>965874</v>
      </c>
      <c r="AK534" s="655">
        <v>8107506</v>
      </c>
      <c r="AL534" s="655">
        <v>7107400</v>
      </c>
      <c r="AM534" s="655">
        <v>1000106</v>
      </c>
    </row>
    <row r="535" spans="1:39" x14ac:dyDescent="0.2">
      <c r="A535" s="648">
        <v>2014</v>
      </c>
      <c r="B535" s="648">
        <v>15</v>
      </c>
      <c r="C535" s="657" t="s">
        <v>275</v>
      </c>
      <c r="D535" s="648">
        <v>4536</v>
      </c>
      <c r="E535" s="648" t="s">
        <v>1190</v>
      </c>
      <c r="F535" s="655">
        <v>12417673</v>
      </c>
      <c r="G535" s="655">
        <v>0</v>
      </c>
      <c r="H535" s="655">
        <v>197610</v>
      </c>
      <c r="I535" s="655">
        <v>1573770</v>
      </c>
      <c r="J535" s="655">
        <v>1050745</v>
      </c>
      <c r="K535" s="655">
        <v>126084</v>
      </c>
      <c r="L535" s="655">
        <v>141056</v>
      </c>
      <c r="M535" s="655">
        <v>0</v>
      </c>
      <c r="N535" s="655">
        <v>609146</v>
      </c>
      <c r="O535" s="655">
        <v>0</v>
      </c>
      <c r="P535" s="655">
        <v>101772</v>
      </c>
      <c r="Q535" s="655">
        <v>111754</v>
      </c>
      <c r="R535" s="655">
        <v>0</v>
      </c>
      <c r="S535" s="655">
        <v>60917</v>
      </c>
      <c r="T535" s="655">
        <v>6560</v>
      </c>
      <c r="U535" s="655">
        <v>0</v>
      </c>
      <c r="V535" s="655">
        <v>70333</v>
      </c>
      <c r="W535" s="655">
        <v>63274</v>
      </c>
      <c r="X535" s="655">
        <v>259565</v>
      </c>
      <c r="Y535" s="655">
        <v>0</v>
      </c>
      <c r="Z535" s="655">
        <v>0</v>
      </c>
      <c r="AA535" s="655">
        <v>0</v>
      </c>
      <c r="AB535" s="655">
        <v>0</v>
      </c>
      <c r="AC535" s="655">
        <v>0</v>
      </c>
      <c r="AD535" s="655">
        <v>93333</v>
      </c>
      <c r="AE535" s="655">
        <v>16696926</v>
      </c>
      <c r="AF535" s="655">
        <v>0</v>
      </c>
      <c r="AG535" s="655">
        <v>517072</v>
      </c>
      <c r="AH535" s="655">
        <v>0</v>
      </c>
      <c r="AI535" s="655">
        <v>3098558</v>
      </c>
      <c r="AJ535" s="655">
        <v>6607530</v>
      </c>
      <c r="AK535" s="655">
        <v>26920086</v>
      </c>
      <c r="AL535" s="655">
        <v>20756757</v>
      </c>
      <c r="AM535" s="655">
        <v>6163329</v>
      </c>
    </row>
    <row r="536" spans="1:39" x14ac:dyDescent="0.2">
      <c r="A536" s="648">
        <v>2014</v>
      </c>
      <c r="B536" s="648">
        <v>10</v>
      </c>
      <c r="C536" s="657" t="s">
        <v>276</v>
      </c>
      <c r="D536" s="648">
        <v>4554</v>
      </c>
      <c r="E536" s="648" t="s">
        <v>1191</v>
      </c>
      <c r="F536" s="655">
        <v>6513356</v>
      </c>
      <c r="G536" s="655">
        <v>0</v>
      </c>
      <c r="H536" s="655">
        <v>44579</v>
      </c>
      <c r="I536" s="655">
        <v>608733</v>
      </c>
      <c r="J536" s="655">
        <v>567570</v>
      </c>
      <c r="K536" s="655">
        <v>64080</v>
      </c>
      <c r="L536" s="655">
        <v>69624</v>
      </c>
      <c r="M536" s="655">
        <v>0</v>
      </c>
      <c r="N536" s="655">
        <v>312029</v>
      </c>
      <c r="O536" s="655">
        <v>0</v>
      </c>
      <c r="P536" s="655">
        <v>53786</v>
      </c>
      <c r="Q536" s="655">
        <v>59070</v>
      </c>
      <c r="R536" s="655">
        <v>0</v>
      </c>
      <c r="S536" s="655">
        <v>28937</v>
      </c>
      <c r="T536" s="655">
        <v>3363</v>
      </c>
      <c r="U536" s="655">
        <v>208216</v>
      </c>
      <c r="V536" s="655">
        <v>0</v>
      </c>
      <c r="W536" s="655">
        <v>189751</v>
      </c>
      <c r="X536" s="655">
        <v>275116</v>
      </c>
      <c r="Y536" s="655">
        <v>0</v>
      </c>
      <c r="Z536" s="655">
        <v>0</v>
      </c>
      <c r="AA536" s="655">
        <v>0</v>
      </c>
      <c r="AB536" s="655">
        <v>0</v>
      </c>
      <c r="AC536" s="655">
        <v>-240</v>
      </c>
      <c r="AD536" s="655">
        <v>45951</v>
      </c>
      <c r="AE536" s="655">
        <v>8952019</v>
      </c>
      <c r="AF536" s="655">
        <v>192812</v>
      </c>
      <c r="AG536" s="655">
        <v>444667</v>
      </c>
      <c r="AH536" s="655">
        <v>0</v>
      </c>
      <c r="AI536" s="655">
        <v>2602919</v>
      </c>
      <c r="AJ536" s="655">
        <v>3380177</v>
      </c>
      <c r="AK536" s="655">
        <v>15572594</v>
      </c>
      <c r="AL536" s="655">
        <v>12399701</v>
      </c>
      <c r="AM536" s="655">
        <v>3172893</v>
      </c>
    </row>
    <row r="537" spans="1:39" x14ac:dyDescent="0.2">
      <c r="A537" s="648">
        <v>2014</v>
      </c>
      <c r="B537" s="648">
        <v>13</v>
      </c>
      <c r="C537" s="657" t="s">
        <v>277</v>
      </c>
      <c r="D537" s="648">
        <v>4572</v>
      </c>
      <c r="E537" s="648" t="s">
        <v>1192</v>
      </c>
      <c r="F537" s="655">
        <v>1723062</v>
      </c>
      <c r="G537" s="655">
        <v>0</v>
      </c>
      <c r="H537" s="655">
        <v>30746</v>
      </c>
      <c r="I537" s="655">
        <v>200340</v>
      </c>
      <c r="J537" s="655">
        <v>178142</v>
      </c>
      <c r="K537" s="655">
        <v>17574</v>
      </c>
      <c r="L537" s="655">
        <v>21749</v>
      </c>
      <c r="M537" s="655">
        <v>0</v>
      </c>
      <c r="N537" s="655">
        <v>84569</v>
      </c>
      <c r="O537" s="655">
        <v>3008</v>
      </c>
      <c r="P537" s="655">
        <v>14125</v>
      </c>
      <c r="Q537" s="655">
        <v>15623</v>
      </c>
      <c r="R537" s="655">
        <v>0</v>
      </c>
      <c r="S537" s="655">
        <v>8685</v>
      </c>
      <c r="T537" s="655">
        <v>918</v>
      </c>
      <c r="U537" s="655">
        <v>5000</v>
      </c>
      <c r="V537" s="655">
        <v>0</v>
      </c>
      <c r="W537" s="655">
        <v>36006</v>
      </c>
      <c r="X537" s="655">
        <v>0</v>
      </c>
      <c r="Y537" s="655">
        <v>74374</v>
      </c>
      <c r="Z537" s="655">
        <v>0</v>
      </c>
      <c r="AA537" s="655">
        <v>0</v>
      </c>
      <c r="AB537" s="655">
        <v>0</v>
      </c>
      <c r="AC537" s="655">
        <v>0</v>
      </c>
      <c r="AD537" s="655">
        <v>15048</v>
      </c>
      <c r="AE537" s="655">
        <v>2250125</v>
      </c>
      <c r="AF537" s="655">
        <v>45908</v>
      </c>
      <c r="AG537" s="655">
        <v>112792</v>
      </c>
      <c r="AH537" s="655">
        <v>0</v>
      </c>
      <c r="AI537" s="655">
        <v>985255</v>
      </c>
      <c r="AJ537" s="655">
        <v>3045893</v>
      </c>
      <c r="AK537" s="655">
        <v>6439973</v>
      </c>
      <c r="AL537" s="655">
        <v>3273868</v>
      </c>
      <c r="AM537" s="655">
        <v>3166105</v>
      </c>
    </row>
    <row r="538" spans="1:39" x14ac:dyDescent="0.2">
      <c r="A538" s="648">
        <v>2014</v>
      </c>
      <c r="B538" s="648">
        <v>9</v>
      </c>
      <c r="C538" s="657" t="s">
        <v>278</v>
      </c>
      <c r="D538" s="648">
        <v>4581</v>
      </c>
      <c r="E538" s="648" t="s">
        <v>1193</v>
      </c>
      <c r="F538" s="655">
        <v>32438240</v>
      </c>
      <c r="G538" s="655">
        <v>0</v>
      </c>
      <c r="H538" s="655">
        <v>713727</v>
      </c>
      <c r="I538" s="655">
        <v>4455109</v>
      </c>
      <c r="J538" s="655">
        <v>2729825</v>
      </c>
      <c r="K538" s="655">
        <v>297249</v>
      </c>
      <c r="L538" s="655">
        <v>368898</v>
      </c>
      <c r="M538" s="655">
        <v>0</v>
      </c>
      <c r="N538" s="655">
        <v>1627924</v>
      </c>
      <c r="O538" s="655">
        <v>0</v>
      </c>
      <c r="P538" s="655">
        <v>269560</v>
      </c>
      <c r="Q538" s="655">
        <v>293869</v>
      </c>
      <c r="R538" s="655">
        <v>0</v>
      </c>
      <c r="S538" s="655">
        <v>145379</v>
      </c>
      <c r="T538" s="655">
        <v>17057</v>
      </c>
      <c r="U538" s="655">
        <v>976452</v>
      </c>
      <c r="V538" s="655">
        <v>749261</v>
      </c>
      <c r="W538" s="655">
        <v>363710</v>
      </c>
      <c r="X538" s="655">
        <v>195136</v>
      </c>
      <c r="Y538" s="655">
        <v>0</v>
      </c>
      <c r="Z538" s="655">
        <v>0</v>
      </c>
      <c r="AA538" s="655">
        <v>0</v>
      </c>
      <c r="AB538" s="655">
        <v>0</v>
      </c>
      <c r="AC538" s="655">
        <v>-7921</v>
      </c>
      <c r="AD538" s="655">
        <v>253669</v>
      </c>
      <c r="AE538" s="655">
        <v>45379806</v>
      </c>
      <c r="AF538" s="655">
        <v>948755</v>
      </c>
      <c r="AG538" s="655">
        <v>2177255</v>
      </c>
      <c r="AH538" s="655">
        <v>0</v>
      </c>
      <c r="AI538" s="655">
        <v>5151104</v>
      </c>
      <c r="AJ538" s="655">
        <v>3263581</v>
      </c>
      <c r="AK538" s="655">
        <v>56920501</v>
      </c>
      <c r="AL538" s="655">
        <v>52458216</v>
      </c>
      <c r="AM538" s="655">
        <v>4462285</v>
      </c>
    </row>
    <row r="539" spans="1:39" x14ac:dyDescent="0.2">
      <c r="A539" s="648">
        <v>2014</v>
      </c>
      <c r="B539" s="648">
        <v>7</v>
      </c>
      <c r="C539" s="657" t="s">
        <v>279</v>
      </c>
      <c r="D539" s="648">
        <v>4599</v>
      </c>
      <c r="E539" s="648" t="s">
        <v>644</v>
      </c>
      <c r="F539" s="655">
        <v>4066409</v>
      </c>
      <c r="G539" s="655">
        <v>0</v>
      </c>
      <c r="H539" s="655">
        <v>87966</v>
      </c>
      <c r="I539" s="655">
        <v>392804</v>
      </c>
      <c r="J539" s="655">
        <v>335758</v>
      </c>
      <c r="K539" s="655">
        <v>38146</v>
      </c>
      <c r="L539" s="655">
        <v>32692</v>
      </c>
      <c r="M539" s="655">
        <v>0</v>
      </c>
      <c r="N539" s="655">
        <v>194916</v>
      </c>
      <c r="O539" s="655">
        <v>5605</v>
      </c>
      <c r="P539" s="655">
        <v>32905</v>
      </c>
      <c r="Q539" s="655">
        <v>36777</v>
      </c>
      <c r="R539" s="655">
        <v>0</v>
      </c>
      <c r="S539" s="655">
        <v>25075</v>
      </c>
      <c r="T539" s="655">
        <v>2876</v>
      </c>
      <c r="U539" s="655">
        <v>111667</v>
      </c>
      <c r="V539" s="655">
        <v>0</v>
      </c>
      <c r="W539" s="655">
        <v>108018</v>
      </c>
      <c r="X539" s="655">
        <v>13124</v>
      </c>
      <c r="Y539" s="655">
        <v>0</v>
      </c>
      <c r="Z539" s="655">
        <v>0</v>
      </c>
      <c r="AA539" s="655">
        <v>0</v>
      </c>
      <c r="AB539" s="655">
        <v>0</v>
      </c>
      <c r="AC539" s="655">
        <v>0</v>
      </c>
      <c r="AD539" s="655">
        <v>37009</v>
      </c>
      <c r="AE539" s="655">
        <v>5447729</v>
      </c>
      <c r="AF539" s="655">
        <v>122420</v>
      </c>
      <c r="AG539" s="655">
        <v>315309</v>
      </c>
      <c r="AH539" s="655">
        <v>0</v>
      </c>
      <c r="AI539" s="655">
        <v>596915</v>
      </c>
      <c r="AJ539" s="655">
        <v>1524255</v>
      </c>
      <c r="AK539" s="655">
        <v>8006628</v>
      </c>
      <c r="AL539" s="655">
        <v>6642248</v>
      </c>
      <c r="AM539" s="655">
        <v>1364380</v>
      </c>
    </row>
    <row r="540" spans="1:39" x14ac:dyDescent="0.2">
      <c r="A540" s="648">
        <v>2014</v>
      </c>
      <c r="B540" s="648">
        <v>11</v>
      </c>
      <c r="C540" s="657" t="s">
        <v>280</v>
      </c>
      <c r="D540" s="648">
        <v>4617</v>
      </c>
      <c r="E540" s="648" t="s">
        <v>1194</v>
      </c>
      <c r="F540" s="655">
        <v>9215166</v>
      </c>
      <c r="G540" s="655">
        <v>0</v>
      </c>
      <c r="H540" s="655">
        <v>126907</v>
      </c>
      <c r="I540" s="655">
        <v>955366</v>
      </c>
      <c r="J540" s="655">
        <v>789424</v>
      </c>
      <c r="K540" s="655">
        <v>96337</v>
      </c>
      <c r="L540" s="655">
        <v>108531</v>
      </c>
      <c r="M540" s="655">
        <v>0</v>
      </c>
      <c r="N540" s="655">
        <v>433789</v>
      </c>
      <c r="O540" s="655">
        <v>0</v>
      </c>
      <c r="P540" s="655">
        <v>76089</v>
      </c>
      <c r="Q540" s="655">
        <v>83491</v>
      </c>
      <c r="R540" s="655">
        <v>0</v>
      </c>
      <c r="S540" s="655">
        <v>35059</v>
      </c>
      <c r="T540" s="655">
        <v>4486</v>
      </c>
      <c r="U540" s="655">
        <v>451725</v>
      </c>
      <c r="V540" s="655">
        <v>0</v>
      </c>
      <c r="W540" s="655">
        <v>258918</v>
      </c>
      <c r="X540" s="655">
        <v>237602</v>
      </c>
      <c r="Y540" s="655">
        <v>0</v>
      </c>
      <c r="Z540" s="655">
        <v>0</v>
      </c>
      <c r="AA540" s="655">
        <v>0</v>
      </c>
      <c r="AB540" s="655">
        <v>0</v>
      </c>
      <c r="AC540" s="655">
        <v>0</v>
      </c>
      <c r="AD540" s="655">
        <v>69114</v>
      </c>
      <c r="AE540" s="655">
        <v>12803776</v>
      </c>
      <c r="AF540" s="655">
        <v>318292</v>
      </c>
      <c r="AG540" s="655">
        <v>630871</v>
      </c>
      <c r="AH540" s="655">
        <v>0</v>
      </c>
      <c r="AI540" s="655">
        <v>1994283</v>
      </c>
      <c r="AJ540" s="655">
        <v>5341969</v>
      </c>
      <c r="AK540" s="655">
        <v>21089191</v>
      </c>
      <c r="AL540" s="655">
        <v>15258324</v>
      </c>
      <c r="AM540" s="655">
        <v>5830867</v>
      </c>
    </row>
    <row r="541" spans="1:39" x14ac:dyDescent="0.2">
      <c r="A541" s="648">
        <v>2014</v>
      </c>
      <c r="B541" s="648">
        <v>5</v>
      </c>
      <c r="C541" s="657" t="s">
        <v>281</v>
      </c>
      <c r="D541" s="648">
        <v>4644</v>
      </c>
      <c r="E541" s="648" t="s">
        <v>645</v>
      </c>
      <c r="F541" s="655">
        <v>2833002</v>
      </c>
      <c r="G541" s="655">
        <v>49925</v>
      </c>
      <c r="H541" s="655">
        <v>116680</v>
      </c>
      <c r="I541" s="655">
        <v>301682</v>
      </c>
      <c r="J541" s="655">
        <v>247178</v>
      </c>
      <c r="K541" s="655">
        <v>26219</v>
      </c>
      <c r="L541" s="655">
        <v>31933</v>
      </c>
      <c r="M541" s="655">
        <v>0</v>
      </c>
      <c r="N541" s="655">
        <v>140874</v>
      </c>
      <c r="O541" s="655">
        <v>0</v>
      </c>
      <c r="P541" s="655">
        <v>23152</v>
      </c>
      <c r="Q541" s="655">
        <v>26025</v>
      </c>
      <c r="R541" s="655">
        <v>2272</v>
      </c>
      <c r="S541" s="655">
        <v>15032</v>
      </c>
      <c r="T541" s="655">
        <v>1792</v>
      </c>
      <c r="U541" s="655">
        <v>54659</v>
      </c>
      <c r="V541" s="655">
        <v>0</v>
      </c>
      <c r="W541" s="655">
        <v>152145</v>
      </c>
      <c r="X541" s="655">
        <v>0</v>
      </c>
      <c r="Y541" s="655">
        <v>37612</v>
      </c>
      <c r="Z541" s="655">
        <v>0</v>
      </c>
      <c r="AA541" s="655">
        <v>0</v>
      </c>
      <c r="AB541" s="655">
        <v>0</v>
      </c>
      <c r="AC541" s="655">
        <v>-487</v>
      </c>
      <c r="AD541" s="655">
        <v>22754</v>
      </c>
      <c r="AE541" s="655">
        <v>3961717</v>
      </c>
      <c r="AF541" s="655">
        <v>91815</v>
      </c>
      <c r="AG541" s="655">
        <v>241791</v>
      </c>
      <c r="AH541" s="655">
        <v>0</v>
      </c>
      <c r="AI541" s="655">
        <v>769298</v>
      </c>
      <c r="AJ541" s="655">
        <v>2479879</v>
      </c>
      <c r="AK541" s="655">
        <v>7544500</v>
      </c>
      <c r="AL541" s="655">
        <v>4929343</v>
      </c>
      <c r="AM541" s="655">
        <v>2615157</v>
      </c>
    </row>
    <row r="542" spans="1:39" x14ac:dyDescent="0.2">
      <c r="A542" s="648">
        <v>2014</v>
      </c>
      <c r="B542" s="648">
        <v>1</v>
      </c>
      <c r="C542" s="657" t="s">
        <v>282</v>
      </c>
      <c r="D542" s="648">
        <v>4662</v>
      </c>
      <c r="E542" s="648" t="s">
        <v>1195</v>
      </c>
      <c r="F542" s="655">
        <v>6139975</v>
      </c>
      <c r="G542" s="655">
        <v>45892</v>
      </c>
      <c r="H542" s="655">
        <v>103127</v>
      </c>
      <c r="I542" s="655">
        <v>810237</v>
      </c>
      <c r="J542" s="655">
        <v>534191</v>
      </c>
      <c r="K542" s="655">
        <v>59103</v>
      </c>
      <c r="L542" s="655">
        <v>46754</v>
      </c>
      <c r="M542" s="655">
        <v>0</v>
      </c>
      <c r="N542" s="655">
        <v>321713</v>
      </c>
      <c r="O542" s="655">
        <v>1377</v>
      </c>
      <c r="P542" s="655">
        <v>58015</v>
      </c>
      <c r="Q542" s="655">
        <v>64777</v>
      </c>
      <c r="R542" s="655">
        <v>0</v>
      </c>
      <c r="S542" s="655">
        <v>31589</v>
      </c>
      <c r="T542" s="655">
        <v>3361</v>
      </c>
      <c r="U542" s="655">
        <v>300980</v>
      </c>
      <c r="V542" s="655">
        <v>0</v>
      </c>
      <c r="W542" s="655">
        <v>65103</v>
      </c>
      <c r="X542" s="655">
        <v>271169</v>
      </c>
      <c r="Y542" s="655">
        <v>0</v>
      </c>
      <c r="Z542" s="655">
        <v>0</v>
      </c>
      <c r="AA542" s="655">
        <v>0</v>
      </c>
      <c r="AB542" s="655">
        <v>0</v>
      </c>
      <c r="AC542" s="655">
        <v>0</v>
      </c>
      <c r="AD542" s="655">
        <v>58022</v>
      </c>
      <c r="AE542" s="655">
        <v>8799341</v>
      </c>
      <c r="AF542" s="655">
        <v>137723</v>
      </c>
      <c r="AG542" s="655">
        <v>508231</v>
      </c>
      <c r="AH542" s="655">
        <v>0</v>
      </c>
      <c r="AI542" s="655">
        <v>1083774</v>
      </c>
      <c r="AJ542" s="655">
        <v>1178814</v>
      </c>
      <c r="AK542" s="655">
        <v>11707883</v>
      </c>
      <c r="AL542" s="655">
        <v>10421017</v>
      </c>
      <c r="AM542" s="655">
        <v>1286866</v>
      </c>
    </row>
    <row r="543" spans="1:39" x14ac:dyDescent="0.2">
      <c r="A543" s="648">
        <v>2014</v>
      </c>
      <c r="B543" s="648">
        <v>15</v>
      </c>
      <c r="C543" s="657" t="s">
        <v>283</v>
      </c>
      <c r="D543" s="648">
        <v>4689</v>
      </c>
      <c r="E543" s="648" t="s">
        <v>1196</v>
      </c>
      <c r="F543" s="655">
        <v>3193326</v>
      </c>
      <c r="G543" s="655">
        <v>0</v>
      </c>
      <c r="H543" s="655">
        <v>80907</v>
      </c>
      <c r="I543" s="655">
        <v>432877</v>
      </c>
      <c r="J543" s="655">
        <v>286210</v>
      </c>
      <c r="K543" s="655">
        <v>29909</v>
      </c>
      <c r="L543" s="655">
        <v>33994</v>
      </c>
      <c r="M543" s="655">
        <v>0</v>
      </c>
      <c r="N543" s="655">
        <v>157874</v>
      </c>
      <c r="O543" s="655">
        <v>2321</v>
      </c>
      <c r="P543" s="655">
        <v>26432</v>
      </c>
      <c r="Q543" s="655">
        <v>29024</v>
      </c>
      <c r="R543" s="655">
        <v>0</v>
      </c>
      <c r="S543" s="655">
        <v>15788</v>
      </c>
      <c r="T543" s="655">
        <v>1700</v>
      </c>
      <c r="U543" s="655">
        <v>103835</v>
      </c>
      <c r="V543" s="655">
        <v>0</v>
      </c>
      <c r="W543" s="655">
        <v>106098</v>
      </c>
      <c r="X543" s="655">
        <v>230505</v>
      </c>
      <c r="Y543" s="655">
        <v>0</v>
      </c>
      <c r="Z543" s="655">
        <v>0</v>
      </c>
      <c r="AA543" s="655">
        <v>0</v>
      </c>
      <c r="AB543" s="655">
        <v>0</v>
      </c>
      <c r="AC543" s="655">
        <v>0</v>
      </c>
      <c r="AD543" s="655">
        <v>25009</v>
      </c>
      <c r="AE543" s="655">
        <v>4705791</v>
      </c>
      <c r="AF543" s="655">
        <v>0</v>
      </c>
      <c r="AG543" s="655">
        <v>199296</v>
      </c>
      <c r="AH543" s="655">
        <v>0</v>
      </c>
      <c r="AI543" s="655">
        <v>916208</v>
      </c>
      <c r="AJ543" s="655">
        <v>1505285</v>
      </c>
      <c r="AK543" s="655">
        <v>7326580</v>
      </c>
      <c r="AL543" s="655">
        <v>5808670</v>
      </c>
      <c r="AM543" s="655">
        <v>1517910</v>
      </c>
    </row>
    <row r="544" spans="1:39" x14ac:dyDescent="0.2">
      <c r="A544" s="648">
        <v>2014</v>
      </c>
      <c r="B544" s="648">
        <v>11</v>
      </c>
      <c r="C544" s="657" t="s">
        <v>284</v>
      </c>
      <c r="D544" s="648">
        <v>4725</v>
      </c>
      <c r="E544" s="648" t="s">
        <v>1197</v>
      </c>
      <c r="F544" s="655">
        <v>18399114</v>
      </c>
      <c r="G544" s="655">
        <v>2718</v>
      </c>
      <c r="H544" s="655">
        <v>288324</v>
      </c>
      <c r="I544" s="655">
        <v>2578288</v>
      </c>
      <c r="J544" s="655">
        <v>1553179</v>
      </c>
      <c r="K544" s="655">
        <v>172479</v>
      </c>
      <c r="L544" s="655">
        <v>203379</v>
      </c>
      <c r="M544" s="655">
        <v>0</v>
      </c>
      <c r="N544" s="655">
        <v>894718</v>
      </c>
      <c r="O544" s="655">
        <v>9112</v>
      </c>
      <c r="P544" s="655">
        <v>154276</v>
      </c>
      <c r="Q544" s="655">
        <v>169284</v>
      </c>
      <c r="R544" s="655">
        <v>0</v>
      </c>
      <c r="S544" s="655">
        <v>72312</v>
      </c>
      <c r="T544" s="655">
        <v>9253</v>
      </c>
      <c r="U544" s="655">
        <v>638937</v>
      </c>
      <c r="V544" s="655">
        <v>0</v>
      </c>
      <c r="W544" s="655">
        <v>167428</v>
      </c>
      <c r="X544" s="655">
        <v>673069</v>
      </c>
      <c r="Y544" s="655">
        <v>0</v>
      </c>
      <c r="Z544" s="655">
        <v>0</v>
      </c>
      <c r="AA544" s="655">
        <v>0</v>
      </c>
      <c r="AB544" s="655">
        <v>0</v>
      </c>
      <c r="AC544" s="655">
        <v>0</v>
      </c>
      <c r="AD544" s="655">
        <v>154889</v>
      </c>
      <c r="AE544" s="655">
        <v>25830981</v>
      </c>
      <c r="AF544" s="655">
        <v>278506</v>
      </c>
      <c r="AG544" s="655">
        <v>1254637</v>
      </c>
      <c r="AH544" s="655">
        <v>0</v>
      </c>
      <c r="AI544" s="655">
        <v>2133860</v>
      </c>
      <c r="AJ544" s="655">
        <v>6872244</v>
      </c>
      <c r="AK544" s="655">
        <v>36370228</v>
      </c>
      <c r="AL544" s="655">
        <v>30107677</v>
      </c>
      <c r="AM544" s="655">
        <v>6262551</v>
      </c>
    </row>
    <row r="545" spans="1:39" x14ac:dyDescent="0.2">
      <c r="A545" s="648">
        <v>2014</v>
      </c>
      <c r="B545" s="648">
        <v>7</v>
      </c>
      <c r="C545" s="657" t="s">
        <v>285</v>
      </c>
      <c r="D545" s="648">
        <v>4772</v>
      </c>
      <c r="E545" s="648" t="s">
        <v>1479</v>
      </c>
      <c r="F545" s="655">
        <v>5318384</v>
      </c>
      <c r="G545" s="655">
        <v>0</v>
      </c>
      <c r="H545" s="655">
        <v>217733</v>
      </c>
      <c r="I545" s="655">
        <v>732477</v>
      </c>
      <c r="J545" s="655">
        <v>482955</v>
      </c>
      <c r="K545" s="655">
        <v>54162</v>
      </c>
      <c r="L545" s="655">
        <v>48633</v>
      </c>
      <c r="M545" s="655">
        <v>0</v>
      </c>
      <c r="N545" s="655">
        <v>268189</v>
      </c>
      <c r="O545" s="655">
        <v>6775</v>
      </c>
      <c r="P545" s="655">
        <v>45250</v>
      </c>
      <c r="Q545" s="655">
        <v>50575</v>
      </c>
      <c r="R545" s="655">
        <v>0</v>
      </c>
      <c r="S545" s="655">
        <v>34502</v>
      </c>
      <c r="T545" s="655">
        <v>3957</v>
      </c>
      <c r="U545" s="655">
        <v>109104</v>
      </c>
      <c r="V545" s="655">
        <v>0</v>
      </c>
      <c r="W545" s="655">
        <v>123621</v>
      </c>
      <c r="X545" s="655">
        <v>62034</v>
      </c>
      <c r="Y545" s="655">
        <v>0</v>
      </c>
      <c r="Z545" s="655">
        <v>0</v>
      </c>
      <c r="AA545" s="655">
        <v>0</v>
      </c>
      <c r="AB545" s="655">
        <v>0</v>
      </c>
      <c r="AC545" s="655">
        <v>-11632</v>
      </c>
      <c r="AD545" s="655">
        <v>46457</v>
      </c>
      <c r="AE545" s="655">
        <v>7500262</v>
      </c>
      <c r="AF545" s="655">
        <v>171388</v>
      </c>
      <c r="AG545" s="655">
        <v>429353</v>
      </c>
      <c r="AH545" s="655">
        <v>0</v>
      </c>
      <c r="AI545" s="655">
        <v>1413041</v>
      </c>
      <c r="AJ545" s="655">
        <v>1663880</v>
      </c>
      <c r="AK545" s="655">
        <v>11177924</v>
      </c>
      <c r="AL545" s="655">
        <v>9054572</v>
      </c>
      <c r="AM545" s="655">
        <v>2123352</v>
      </c>
    </row>
    <row r="546" spans="1:39" x14ac:dyDescent="0.2">
      <c r="A546" s="648">
        <v>2014</v>
      </c>
      <c r="B546" s="648">
        <v>9</v>
      </c>
      <c r="C546" s="657" t="s">
        <v>286</v>
      </c>
      <c r="D546" s="648">
        <v>4773</v>
      </c>
      <c r="E546" s="648" t="s">
        <v>1198</v>
      </c>
      <c r="F546" s="655">
        <v>3427557</v>
      </c>
      <c r="G546" s="655">
        <v>0</v>
      </c>
      <c r="H546" s="655">
        <v>60319</v>
      </c>
      <c r="I546" s="655">
        <v>354926</v>
      </c>
      <c r="J546" s="655">
        <v>316427</v>
      </c>
      <c r="K546" s="655">
        <v>35660</v>
      </c>
      <c r="L546" s="655">
        <v>38169</v>
      </c>
      <c r="M546" s="655">
        <v>0</v>
      </c>
      <c r="N546" s="655">
        <v>163693</v>
      </c>
      <c r="O546" s="655">
        <v>0</v>
      </c>
      <c r="P546" s="655">
        <v>27994</v>
      </c>
      <c r="Q546" s="655">
        <v>30518</v>
      </c>
      <c r="R546" s="655">
        <v>0</v>
      </c>
      <c r="S546" s="655">
        <v>14618</v>
      </c>
      <c r="T546" s="655">
        <v>1715</v>
      </c>
      <c r="U546" s="655">
        <v>142420</v>
      </c>
      <c r="V546" s="655">
        <v>0</v>
      </c>
      <c r="W546" s="655">
        <v>66011</v>
      </c>
      <c r="X546" s="655">
        <v>187045</v>
      </c>
      <c r="Y546" s="655">
        <v>0</v>
      </c>
      <c r="Z546" s="655">
        <v>0</v>
      </c>
      <c r="AA546" s="655">
        <v>0</v>
      </c>
      <c r="AB546" s="655">
        <v>0</v>
      </c>
      <c r="AC546" s="655">
        <v>0</v>
      </c>
      <c r="AD546" s="655">
        <v>30807</v>
      </c>
      <c r="AE546" s="655">
        <v>4836265</v>
      </c>
      <c r="AF546" s="655">
        <v>79573</v>
      </c>
      <c r="AG546" s="655">
        <v>263374</v>
      </c>
      <c r="AH546" s="655">
        <v>0</v>
      </c>
      <c r="AI546" s="655">
        <v>2927179</v>
      </c>
      <c r="AJ546" s="655">
        <v>1602812</v>
      </c>
      <c r="AK546" s="655">
        <v>9709203</v>
      </c>
      <c r="AL546" s="655">
        <v>8248730</v>
      </c>
      <c r="AM546" s="655">
        <v>1460473</v>
      </c>
    </row>
    <row r="547" spans="1:39" x14ac:dyDescent="0.2">
      <c r="A547" s="648">
        <v>2014</v>
      </c>
      <c r="B547" s="648">
        <v>1</v>
      </c>
      <c r="C547" s="657" t="s">
        <v>287</v>
      </c>
      <c r="D547" s="648">
        <v>4774</v>
      </c>
      <c r="E547" s="648" t="s">
        <v>1199</v>
      </c>
      <c r="F547" s="655">
        <v>5159840</v>
      </c>
      <c r="G547" s="655">
        <v>78203</v>
      </c>
      <c r="H547" s="655">
        <v>54639</v>
      </c>
      <c r="I547" s="655">
        <v>643528</v>
      </c>
      <c r="J547" s="655">
        <v>445336</v>
      </c>
      <c r="K547" s="655">
        <v>48609</v>
      </c>
      <c r="L547" s="655">
        <v>46560</v>
      </c>
      <c r="M547" s="655">
        <v>0</v>
      </c>
      <c r="N547" s="655">
        <v>263378</v>
      </c>
      <c r="O547" s="655">
        <v>21577</v>
      </c>
      <c r="P547" s="655">
        <v>41698</v>
      </c>
      <c r="Q547" s="655">
        <v>46558</v>
      </c>
      <c r="R547" s="655">
        <v>0</v>
      </c>
      <c r="S547" s="655">
        <v>25866</v>
      </c>
      <c r="T547" s="655">
        <v>2752</v>
      </c>
      <c r="U547" s="655">
        <v>242912</v>
      </c>
      <c r="V547" s="655">
        <v>0</v>
      </c>
      <c r="W547" s="655">
        <v>120393</v>
      </c>
      <c r="X547" s="655">
        <v>263875</v>
      </c>
      <c r="Y547" s="655">
        <v>0</v>
      </c>
      <c r="Z547" s="655">
        <v>0</v>
      </c>
      <c r="AA547" s="655">
        <v>0</v>
      </c>
      <c r="AB547" s="655">
        <v>0</v>
      </c>
      <c r="AC547" s="655">
        <v>0</v>
      </c>
      <c r="AD547" s="655">
        <v>52809</v>
      </c>
      <c r="AE547" s="655">
        <v>7452915</v>
      </c>
      <c r="AF547" s="655">
        <v>134603</v>
      </c>
      <c r="AG547" s="655">
        <v>394110</v>
      </c>
      <c r="AH547" s="655">
        <v>0</v>
      </c>
      <c r="AI547" s="655">
        <v>1808387</v>
      </c>
      <c r="AJ547" s="655">
        <v>2441614</v>
      </c>
      <c r="AK547" s="655">
        <v>12231629</v>
      </c>
      <c r="AL547" s="655">
        <v>9776959</v>
      </c>
      <c r="AM547" s="655">
        <v>2454670</v>
      </c>
    </row>
    <row r="548" spans="1:39" x14ac:dyDescent="0.2">
      <c r="A548" s="648">
        <v>2014</v>
      </c>
      <c r="B548" s="648">
        <v>5</v>
      </c>
      <c r="C548" s="657" t="s">
        <v>288</v>
      </c>
      <c r="D548" s="648">
        <v>4775</v>
      </c>
      <c r="E548" s="648" t="s">
        <v>1200</v>
      </c>
      <c r="F548" s="655">
        <v>1446930</v>
      </c>
      <c r="G548" s="655">
        <v>0</v>
      </c>
      <c r="H548" s="655">
        <v>73825</v>
      </c>
      <c r="I548" s="655">
        <v>154696</v>
      </c>
      <c r="J548" s="655">
        <v>141135</v>
      </c>
      <c r="K548" s="655">
        <v>15060</v>
      </c>
      <c r="L548" s="655">
        <v>13908</v>
      </c>
      <c r="M548" s="655">
        <v>0</v>
      </c>
      <c r="N548" s="655">
        <v>71051</v>
      </c>
      <c r="O548" s="655">
        <v>11707</v>
      </c>
      <c r="P548" s="655">
        <v>11601</v>
      </c>
      <c r="Q548" s="655">
        <v>13041</v>
      </c>
      <c r="R548" s="655">
        <v>1136</v>
      </c>
      <c r="S548" s="655">
        <v>7582</v>
      </c>
      <c r="T548" s="655">
        <v>904</v>
      </c>
      <c r="U548" s="655">
        <v>4843</v>
      </c>
      <c r="V548" s="655">
        <v>0</v>
      </c>
      <c r="W548" s="655">
        <v>66011</v>
      </c>
      <c r="X548" s="655">
        <v>1593</v>
      </c>
      <c r="Y548" s="655">
        <v>0</v>
      </c>
      <c r="Z548" s="655">
        <v>0</v>
      </c>
      <c r="AA548" s="655">
        <v>0</v>
      </c>
      <c r="AB548" s="655">
        <v>0</v>
      </c>
      <c r="AC548" s="655">
        <v>0</v>
      </c>
      <c r="AD548" s="655">
        <v>14615</v>
      </c>
      <c r="AE548" s="655">
        <v>2020408</v>
      </c>
      <c r="AF548" s="655">
        <v>48968</v>
      </c>
      <c r="AG548" s="655">
        <v>131786</v>
      </c>
      <c r="AH548" s="655">
        <v>0</v>
      </c>
      <c r="AI548" s="655">
        <v>408641</v>
      </c>
      <c r="AJ548" s="655">
        <v>455612</v>
      </c>
      <c r="AK548" s="655">
        <v>3065415</v>
      </c>
      <c r="AL548" s="655">
        <v>2830175</v>
      </c>
      <c r="AM548" s="655">
        <v>235240</v>
      </c>
    </row>
    <row r="549" spans="1:39" x14ac:dyDescent="0.2">
      <c r="A549" s="648">
        <v>2014</v>
      </c>
      <c r="B549" s="648">
        <v>15</v>
      </c>
      <c r="C549" s="657" t="s">
        <v>289</v>
      </c>
      <c r="D549" s="648">
        <v>4776</v>
      </c>
      <c r="E549" s="648" t="s">
        <v>1201</v>
      </c>
      <c r="F549" s="655">
        <v>3366595</v>
      </c>
      <c r="G549" s="655">
        <v>0</v>
      </c>
      <c r="H549" s="655">
        <v>29340</v>
      </c>
      <c r="I549" s="655">
        <v>430476</v>
      </c>
      <c r="J549" s="655">
        <v>298175</v>
      </c>
      <c r="K549" s="655">
        <v>31856</v>
      </c>
      <c r="L549" s="655">
        <v>37558</v>
      </c>
      <c r="M549" s="655">
        <v>0</v>
      </c>
      <c r="N549" s="655">
        <v>160923</v>
      </c>
      <c r="O549" s="655">
        <v>0</v>
      </c>
      <c r="P549" s="655">
        <v>28684</v>
      </c>
      <c r="Q549" s="655">
        <v>31498</v>
      </c>
      <c r="R549" s="655">
        <v>0</v>
      </c>
      <c r="S549" s="655">
        <v>16093</v>
      </c>
      <c r="T549" s="655">
        <v>1733</v>
      </c>
      <c r="U549" s="655">
        <v>123750</v>
      </c>
      <c r="V549" s="655">
        <v>0</v>
      </c>
      <c r="W549" s="655">
        <v>18003</v>
      </c>
      <c r="X549" s="655">
        <v>189432</v>
      </c>
      <c r="Y549" s="655">
        <v>0</v>
      </c>
      <c r="Z549" s="655">
        <v>0</v>
      </c>
      <c r="AA549" s="655">
        <v>0</v>
      </c>
      <c r="AB549" s="655">
        <v>0</v>
      </c>
      <c r="AC549" s="655">
        <v>0</v>
      </c>
      <c r="AD549" s="655">
        <v>25355</v>
      </c>
      <c r="AE549" s="655">
        <v>4738761</v>
      </c>
      <c r="AF549" s="655">
        <v>104057</v>
      </c>
      <c r="AG549" s="655">
        <v>0</v>
      </c>
      <c r="AH549" s="655">
        <v>0</v>
      </c>
      <c r="AI549" s="655">
        <v>767834</v>
      </c>
      <c r="AJ549" s="655">
        <v>647819</v>
      </c>
      <c r="AK549" s="655">
        <v>6258471</v>
      </c>
      <c r="AL549" s="655">
        <v>5409614</v>
      </c>
      <c r="AM549" s="655">
        <v>848857</v>
      </c>
    </row>
    <row r="550" spans="1:39" x14ac:dyDescent="0.2">
      <c r="A550" s="648">
        <v>2014</v>
      </c>
      <c r="B550" s="648">
        <v>10</v>
      </c>
      <c r="C550" s="657" t="s">
        <v>290</v>
      </c>
      <c r="D550" s="648">
        <v>4777</v>
      </c>
      <c r="E550" s="648" t="s">
        <v>1237</v>
      </c>
      <c r="F550" s="655">
        <v>4198685</v>
      </c>
      <c r="G550" s="655">
        <v>129382</v>
      </c>
      <c r="H550" s="655">
        <v>57356</v>
      </c>
      <c r="I550" s="655">
        <v>355207</v>
      </c>
      <c r="J550" s="655">
        <v>359908</v>
      </c>
      <c r="K550" s="655">
        <v>37150</v>
      </c>
      <c r="L550" s="655">
        <v>36548</v>
      </c>
      <c r="M550" s="655">
        <v>0</v>
      </c>
      <c r="N550" s="655">
        <v>197928</v>
      </c>
      <c r="O550" s="655">
        <v>17841</v>
      </c>
      <c r="P550" s="655">
        <v>34255</v>
      </c>
      <c r="Q550" s="655">
        <v>37620</v>
      </c>
      <c r="R550" s="655">
        <v>0</v>
      </c>
      <c r="S550" s="655">
        <v>18837</v>
      </c>
      <c r="T550" s="655">
        <v>2191</v>
      </c>
      <c r="U550" s="655">
        <v>36559</v>
      </c>
      <c r="V550" s="655">
        <v>0</v>
      </c>
      <c r="W550" s="655">
        <v>109209</v>
      </c>
      <c r="X550" s="655">
        <v>81221</v>
      </c>
      <c r="Y550" s="655">
        <v>0</v>
      </c>
      <c r="Z550" s="655">
        <v>0</v>
      </c>
      <c r="AA550" s="655">
        <v>0</v>
      </c>
      <c r="AB550" s="655">
        <v>0</v>
      </c>
      <c r="AC550" s="655">
        <v>0</v>
      </c>
      <c r="AD550" s="655">
        <v>34751</v>
      </c>
      <c r="AE550" s="655">
        <v>5675146</v>
      </c>
      <c r="AF550" s="655">
        <v>116299</v>
      </c>
      <c r="AG550" s="655">
        <v>312963</v>
      </c>
      <c r="AH550" s="655">
        <v>0</v>
      </c>
      <c r="AI550" s="655">
        <v>548630</v>
      </c>
      <c r="AJ550" s="655">
        <v>1188882</v>
      </c>
      <c r="AK550" s="655">
        <v>7841920</v>
      </c>
      <c r="AL550" s="655">
        <v>6973463</v>
      </c>
      <c r="AM550" s="655">
        <v>868457</v>
      </c>
    </row>
    <row r="551" spans="1:39" x14ac:dyDescent="0.2">
      <c r="A551" s="648">
        <v>2014</v>
      </c>
      <c r="B551" s="648">
        <v>5</v>
      </c>
      <c r="C551" s="657" t="s">
        <v>291</v>
      </c>
      <c r="D551" s="648">
        <v>4778</v>
      </c>
      <c r="E551" s="648" t="s">
        <v>1238</v>
      </c>
      <c r="F551" s="655">
        <v>1853558</v>
      </c>
      <c r="G551" s="655">
        <v>0</v>
      </c>
      <c r="H551" s="655">
        <v>48999</v>
      </c>
      <c r="I551" s="655">
        <v>357718</v>
      </c>
      <c r="J551" s="655">
        <v>164199</v>
      </c>
      <c r="K551" s="655">
        <v>18346</v>
      </c>
      <c r="L551" s="655">
        <v>16028</v>
      </c>
      <c r="M551" s="655">
        <v>0</v>
      </c>
      <c r="N551" s="655">
        <v>100215</v>
      </c>
      <c r="O551" s="655">
        <v>8806</v>
      </c>
      <c r="P551" s="655">
        <v>17654</v>
      </c>
      <c r="Q551" s="655">
        <v>19845</v>
      </c>
      <c r="R551" s="655">
        <v>1577</v>
      </c>
      <c r="S551" s="655">
        <v>10694</v>
      </c>
      <c r="T551" s="655">
        <v>1275</v>
      </c>
      <c r="U551" s="655">
        <v>86775</v>
      </c>
      <c r="V551" s="655">
        <v>26729</v>
      </c>
      <c r="W551" s="655">
        <v>42007</v>
      </c>
      <c r="X551" s="655">
        <v>17216</v>
      </c>
      <c r="Y551" s="655">
        <v>0</v>
      </c>
      <c r="Z551" s="655">
        <v>0</v>
      </c>
      <c r="AA551" s="655">
        <v>0</v>
      </c>
      <c r="AB551" s="655">
        <v>0</v>
      </c>
      <c r="AC551" s="655">
        <v>36228</v>
      </c>
      <c r="AD551" s="655">
        <v>21324</v>
      </c>
      <c r="AE551" s="655">
        <v>2806545</v>
      </c>
      <c r="AF551" s="655">
        <v>39787</v>
      </c>
      <c r="AG551" s="655">
        <v>165226</v>
      </c>
      <c r="AH551" s="655">
        <v>0</v>
      </c>
      <c r="AI551" s="655">
        <v>1494796</v>
      </c>
      <c r="AJ551" s="655">
        <v>-26729</v>
      </c>
      <c r="AK551" s="655">
        <v>4479625</v>
      </c>
      <c r="AL551" s="655">
        <v>4349221</v>
      </c>
      <c r="AM551" s="655">
        <v>130404</v>
      </c>
    </row>
    <row r="552" spans="1:39" x14ac:dyDescent="0.2">
      <c r="A552" s="648">
        <v>2014</v>
      </c>
      <c r="B552" s="648">
        <v>11</v>
      </c>
      <c r="C552" s="657" t="s">
        <v>292</v>
      </c>
      <c r="D552" s="648">
        <v>4779</v>
      </c>
      <c r="E552" s="648" t="s">
        <v>1239</v>
      </c>
      <c r="F552" s="655">
        <v>8329457</v>
      </c>
      <c r="G552" s="655">
        <v>0</v>
      </c>
      <c r="H552" s="655">
        <v>104638</v>
      </c>
      <c r="I552" s="655">
        <v>513062</v>
      </c>
      <c r="J552" s="655">
        <v>663227</v>
      </c>
      <c r="K552" s="655">
        <v>68285</v>
      </c>
      <c r="L552" s="655">
        <v>66448</v>
      </c>
      <c r="M552" s="655">
        <v>0</v>
      </c>
      <c r="N552" s="655">
        <v>377147</v>
      </c>
      <c r="O552" s="655">
        <v>0</v>
      </c>
      <c r="P552" s="655">
        <v>68895</v>
      </c>
      <c r="Q552" s="655">
        <v>75597</v>
      </c>
      <c r="R552" s="655">
        <v>0</v>
      </c>
      <c r="S552" s="655">
        <v>30481</v>
      </c>
      <c r="T552" s="655">
        <v>3900</v>
      </c>
      <c r="U552" s="655">
        <v>0</v>
      </c>
      <c r="V552" s="655">
        <v>0</v>
      </c>
      <c r="W552" s="655">
        <v>335431</v>
      </c>
      <c r="X552" s="655">
        <v>379453</v>
      </c>
      <c r="Y552" s="655">
        <v>0</v>
      </c>
      <c r="Z552" s="655">
        <v>0</v>
      </c>
      <c r="AA552" s="655">
        <v>0</v>
      </c>
      <c r="AB552" s="655">
        <v>0</v>
      </c>
      <c r="AC552" s="655">
        <v>-360</v>
      </c>
      <c r="AD552" s="655">
        <v>39904</v>
      </c>
      <c r="AE552" s="655">
        <v>10975757</v>
      </c>
      <c r="AF552" s="655">
        <v>299929</v>
      </c>
      <c r="AG552" s="655">
        <v>535917</v>
      </c>
      <c r="AH552" s="655">
        <v>0</v>
      </c>
      <c r="AI552" s="655">
        <v>1446552</v>
      </c>
      <c r="AJ552" s="655">
        <v>2502134</v>
      </c>
      <c r="AK552" s="655">
        <v>15760289</v>
      </c>
      <c r="AL552" s="655">
        <v>13024536</v>
      </c>
      <c r="AM552" s="655">
        <v>2735753</v>
      </c>
    </row>
    <row r="553" spans="1:39" x14ac:dyDescent="0.2">
      <c r="A553" s="648">
        <v>2014</v>
      </c>
      <c r="B553" s="648">
        <v>9</v>
      </c>
      <c r="C553" s="657" t="s">
        <v>293</v>
      </c>
      <c r="D553" s="648">
        <v>4784</v>
      </c>
      <c r="E553" s="648" t="s">
        <v>1243</v>
      </c>
      <c r="F553" s="655">
        <v>18231399</v>
      </c>
      <c r="G553" s="655">
        <v>0</v>
      </c>
      <c r="H553" s="655">
        <v>340891</v>
      </c>
      <c r="I553" s="655">
        <v>1798044</v>
      </c>
      <c r="J553" s="655">
        <v>1543488</v>
      </c>
      <c r="K553" s="655">
        <v>172872</v>
      </c>
      <c r="L553" s="655">
        <v>164443</v>
      </c>
      <c r="M553" s="655">
        <v>0</v>
      </c>
      <c r="N553" s="655">
        <v>883802</v>
      </c>
      <c r="O553" s="655">
        <v>0</v>
      </c>
      <c r="P553" s="655">
        <v>150249</v>
      </c>
      <c r="Q553" s="655">
        <v>163798</v>
      </c>
      <c r="R553" s="655">
        <v>0</v>
      </c>
      <c r="S553" s="655">
        <v>78927</v>
      </c>
      <c r="T553" s="655">
        <v>9260</v>
      </c>
      <c r="U553" s="655">
        <v>885966</v>
      </c>
      <c r="V553" s="655">
        <v>0</v>
      </c>
      <c r="W553" s="655">
        <v>145371</v>
      </c>
      <c r="X553" s="655">
        <v>517471</v>
      </c>
      <c r="Y553" s="655">
        <v>0</v>
      </c>
      <c r="Z553" s="655">
        <v>0</v>
      </c>
      <c r="AA553" s="655">
        <v>0</v>
      </c>
      <c r="AB553" s="655">
        <v>0</v>
      </c>
      <c r="AC553" s="655">
        <v>0</v>
      </c>
      <c r="AD553" s="655">
        <v>130713</v>
      </c>
      <c r="AE553" s="655">
        <v>24955268</v>
      </c>
      <c r="AF553" s="655">
        <v>364200</v>
      </c>
      <c r="AG553" s="655">
        <v>1363891</v>
      </c>
      <c r="AH553" s="655">
        <v>0</v>
      </c>
      <c r="AI553" s="655">
        <v>2560526</v>
      </c>
      <c r="AJ553" s="655">
        <v>4155798</v>
      </c>
      <c r="AK553" s="655">
        <v>33399683</v>
      </c>
      <c r="AL553" s="655">
        <v>28926849</v>
      </c>
      <c r="AM553" s="655">
        <v>4472834</v>
      </c>
    </row>
    <row r="554" spans="1:39" x14ac:dyDescent="0.2">
      <c r="A554" s="648">
        <v>2014</v>
      </c>
      <c r="B554" s="648">
        <v>7</v>
      </c>
      <c r="C554" s="657" t="s">
        <v>294</v>
      </c>
      <c r="D554" s="648">
        <v>4785</v>
      </c>
      <c r="E554" s="648" t="s">
        <v>1244</v>
      </c>
      <c r="F554" s="655">
        <v>3203119</v>
      </c>
      <c r="G554" s="655">
        <v>0</v>
      </c>
      <c r="H554" s="655">
        <v>34106</v>
      </c>
      <c r="I554" s="655">
        <v>313946</v>
      </c>
      <c r="J554" s="655">
        <v>308747</v>
      </c>
      <c r="K554" s="655">
        <v>32837</v>
      </c>
      <c r="L554" s="655">
        <v>30613</v>
      </c>
      <c r="M554" s="655">
        <v>0</v>
      </c>
      <c r="N554" s="655">
        <v>156547</v>
      </c>
      <c r="O554" s="655">
        <v>3132</v>
      </c>
      <c r="P554" s="655">
        <v>26354</v>
      </c>
      <c r="Q554" s="655">
        <v>29455</v>
      </c>
      <c r="R554" s="655">
        <v>0</v>
      </c>
      <c r="S554" s="655">
        <v>20139</v>
      </c>
      <c r="T554" s="655">
        <v>2310</v>
      </c>
      <c r="U554" s="655">
        <v>113738</v>
      </c>
      <c r="V554" s="655">
        <v>0</v>
      </c>
      <c r="W554" s="655">
        <v>24004</v>
      </c>
      <c r="X554" s="655">
        <v>80903</v>
      </c>
      <c r="Y554" s="655">
        <v>0</v>
      </c>
      <c r="Z554" s="655">
        <v>0</v>
      </c>
      <c r="AA554" s="655">
        <v>0</v>
      </c>
      <c r="AB554" s="655">
        <v>0</v>
      </c>
      <c r="AC554" s="655">
        <v>0</v>
      </c>
      <c r="AD554" s="655">
        <v>23815</v>
      </c>
      <c r="AE554" s="655">
        <v>4356135</v>
      </c>
      <c r="AF554" s="655">
        <v>0</v>
      </c>
      <c r="AG554" s="655">
        <v>254808</v>
      </c>
      <c r="AH554" s="655">
        <v>0</v>
      </c>
      <c r="AI554" s="655">
        <v>676267</v>
      </c>
      <c r="AJ554" s="655">
        <v>1080832</v>
      </c>
      <c r="AK554" s="655">
        <v>6368042</v>
      </c>
      <c r="AL554" s="655">
        <v>4994923</v>
      </c>
      <c r="AM554" s="655">
        <v>1373119</v>
      </c>
    </row>
    <row r="555" spans="1:39" x14ac:dyDescent="0.2">
      <c r="A555" s="648">
        <v>2014</v>
      </c>
      <c r="B555" s="648">
        <v>1</v>
      </c>
      <c r="C555" s="657" t="s">
        <v>295</v>
      </c>
      <c r="D555" s="648">
        <v>4787</v>
      </c>
      <c r="E555" s="648" t="s">
        <v>1245</v>
      </c>
      <c r="F555" s="655">
        <v>1826672</v>
      </c>
      <c r="G555" s="655">
        <v>0</v>
      </c>
      <c r="H555" s="655">
        <v>19543</v>
      </c>
      <c r="I555" s="655">
        <v>283810</v>
      </c>
      <c r="J555" s="655">
        <v>144544</v>
      </c>
      <c r="K555" s="655">
        <v>12896</v>
      </c>
      <c r="L555" s="655">
        <v>18771</v>
      </c>
      <c r="M555" s="655">
        <v>0</v>
      </c>
      <c r="N555" s="655">
        <v>96012</v>
      </c>
      <c r="O555" s="655">
        <v>736</v>
      </c>
      <c r="P555" s="655">
        <v>15058</v>
      </c>
      <c r="Q555" s="655">
        <v>16813</v>
      </c>
      <c r="R555" s="655">
        <v>0</v>
      </c>
      <c r="S555" s="655">
        <v>9427</v>
      </c>
      <c r="T555" s="655">
        <v>1003</v>
      </c>
      <c r="U555" s="655">
        <v>38138</v>
      </c>
      <c r="V555" s="655">
        <v>0</v>
      </c>
      <c r="W555" s="655">
        <v>120020</v>
      </c>
      <c r="X555" s="655">
        <v>228836</v>
      </c>
      <c r="Y555" s="655">
        <v>0</v>
      </c>
      <c r="Z555" s="655">
        <v>0</v>
      </c>
      <c r="AA555" s="655">
        <v>0</v>
      </c>
      <c r="AB555" s="655">
        <v>0</v>
      </c>
      <c r="AC555" s="655">
        <v>0</v>
      </c>
      <c r="AD555" s="655">
        <v>17982</v>
      </c>
      <c r="AE555" s="655">
        <v>2814297</v>
      </c>
      <c r="AF555" s="655">
        <v>64271</v>
      </c>
      <c r="AG555" s="655">
        <v>149239</v>
      </c>
      <c r="AH555" s="655">
        <v>0</v>
      </c>
      <c r="AI555" s="655">
        <v>406090</v>
      </c>
      <c r="AJ555" s="655">
        <v>430416</v>
      </c>
      <c r="AK555" s="655">
        <v>3864313</v>
      </c>
      <c r="AL555" s="655">
        <v>3611413</v>
      </c>
      <c r="AM555" s="655">
        <v>252900</v>
      </c>
    </row>
    <row r="556" spans="1:39" x14ac:dyDescent="0.2">
      <c r="A556" s="648">
        <v>2014</v>
      </c>
      <c r="B556" s="648">
        <v>7</v>
      </c>
      <c r="C556" s="657" t="s">
        <v>296</v>
      </c>
      <c r="D556" s="648">
        <v>4788</v>
      </c>
      <c r="E556" s="648" t="s">
        <v>1246</v>
      </c>
      <c r="F556" s="655">
        <v>3119752</v>
      </c>
      <c r="G556" s="655">
        <v>0</v>
      </c>
      <c r="H556" s="655">
        <v>16936</v>
      </c>
      <c r="I556" s="655">
        <v>346709</v>
      </c>
      <c r="J556" s="655">
        <v>260872</v>
      </c>
      <c r="K556" s="655">
        <v>29919</v>
      </c>
      <c r="L556" s="655">
        <v>25115</v>
      </c>
      <c r="M556" s="655">
        <v>0</v>
      </c>
      <c r="N556" s="655">
        <v>151183</v>
      </c>
      <c r="O556" s="655">
        <v>4391</v>
      </c>
      <c r="P556" s="655">
        <v>25145</v>
      </c>
      <c r="Q556" s="655">
        <v>28104</v>
      </c>
      <c r="R556" s="655">
        <v>0</v>
      </c>
      <c r="S556" s="655">
        <v>19449</v>
      </c>
      <c r="T556" s="655">
        <v>2231</v>
      </c>
      <c r="U556" s="655">
        <v>69203</v>
      </c>
      <c r="V556" s="655">
        <v>0</v>
      </c>
      <c r="W556" s="655">
        <v>124315</v>
      </c>
      <c r="X556" s="655">
        <v>134437</v>
      </c>
      <c r="Y556" s="655">
        <v>0</v>
      </c>
      <c r="Z556" s="655">
        <v>0</v>
      </c>
      <c r="AA556" s="655">
        <v>0</v>
      </c>
      <c r="AB556" s="655">
        <v>0</v>
      </c>
      <c r="AC556" s="655">
        <v>0</v>
      </c>
      <c r="AD556" s="655">
        <v>25116</v>
      </c>
      <c r="AE556" s="655">
        <v>4332645</v>
      </c>
      <c r="AF556" s="655">
        <v>0</v>
      </c>
      <c r="AG556" s="655">
        <v>259251</v>
      </c>
      <c r="AH556" s="655">
        <v>0</v>
      </c>
      <c r="AI556" s="655">
        <v>921787</v>
      </c>
      <c r="AJ556" s="655">
        <v>1866362</v>
      </c>
      <c r="AK556" s="655">
        <v>7380045</v>
      </c>
      <c r="AL556" s="655">
        <v>5630098</v>
      </c>
      <c r="AM556" s="655">
        <v>1749947</v>
      </c>
    </row>
    <row r="557" spans="1:39" x14ac:dyDescent="0.2">
      <c r="A557" s="648">
        <v>2014</v>
      </c>
      <c r="B557" s="648">
        <v>11</v>
      </c>
      <c r="C557" s="657" t="s">
        <v>297</v>
      </c>
      <c r="D557" s="648">
        <v>4797</v>
      </c>
      <c r="E557" s="648" t="s">
        <v>1247</v>
      </c>
      <c r="F557" s="655">
        <v>14898514</v>
      </c>
      <c r="G557" s="655">
        <v>0</v>
      </c>
      <c r="H557" s="655">
        <v>94576</v>
      </c>
      <c r="I557" s="655">
        <v>1690681</v>
      </c>
      <c r="J557" s="655">
        <v>1297638</v>
      </c>
      <c r="K557" s="655">
        <v>134795</v>
      </c>
      <c r="L557" s="655">
        <v>133140</v>
      </c>
      <c r="M557" s="655">
        <v>0</v>
      </c>
      <c r="N557" s="655">
        <v>707555</v>
      </c>
      <c r="O557" s="655">
        <v>0</v>
      </c>
      <c r="P557" s="655">
        <v>124850</v>
      </c>
      <c r="Q557" s="655">
        <v>136995</v>
      </c>
      <c r="R557" s="655">
        <v>0</v>
      </c>
      <c r="S557" s="655">
        <v>57185</v>
      </c>
      <c r="T557" s="655">
        <v>7318</v>
      </c>
      <c r="U557" s="655">
        <v>509500</v>
      </c>
      <c r="V557" s="655">
        <v>24122</v>
      </c>
      <c r="W557" s="655">
        <v>506942</v>
      </c>
      <c r="X557" s="655">
        <v>427804</v>
      </c>
      <c r="Y557" s="655">
        <v>0</v>
      </c>
      <c r="Z557" s="655">
        <v>0</v>
      </c>
      <c r="AA557" s="655">
        <v>0</v>
      </c>
      <c r="AB557" s="655">
        <v>0</v>
      </c>
      <c r="AC557" s="655">
        <v>0</v>
      </c>
      <c r="AD557" s="655">
        <v>95234</v>
      </c>
      <c r="AE557" s="655">
        <v>20656381</v>
      </c>
      <c r="AF557" s="655">
        <v>336655</v>
      </c>
      <c r="AG557" s="655">
        <v>842958</v>
      </c>
      <c r="AH557" s="655">
        <v>0</v>
      </c>
      <c r="AI557" s="655">
        <v>2418424</v>
      </c>
      <c r="AJ557" s="655">
        <v>12161666</v>
      </c>
      <c r="AK557" s="655">
        <v>36416084</v>
      </c>
      <c r="AL557" s="655">
        <v>23206978</v>
      </c>
      <c r="AM557" s="655">
        <v>13209106</v>
      </c>
    </row>
    <row r="558" spans="1:39" x14ac:dyDescent="0.2">
      <c r="A558" s="648">
        <v>2014</v>
      </c>
      <c r="B558" s="648">
        <v>13</v>
      </c>
      <c r="C558" s="657" t="s">
        <v>298</v>
      </c>
      <c r="D558" s="648">
        <v>5510</v>
      </c>
      <c r="E558" s="648" t="s">
        <v>1248</v>
      </c>
      <c r="F558" s="655">
        <v>4154323</v>
      </c>
      <c r="G558" s="655">
        <v>0</v>
      </c>
      <c r="H558" s="655">
        <v>158418</v>
      </c>
      <c r="I558" s="655">
        <v>403496</v>
      </c>
      <c r="J558" s="655">
        <v>359467</v>
      </c>
      <c r="K558" s="655">
        <v>38747</v>
      </c>
      <c r="L558" s="655">
        <v>35815</v>
      </c>
      <c r="M558" s="655">
        <v>0</v>
      </c>
      <c r="N558" s="655">
        <v>200400</v>
      </c>
      <c r="O558" s="655">
        <v>0</v>
      </c>
      <c r="P558" s="655">
        <v>34011</v>
      </c>
      <c r="Q558" s="655">
        <v>37617</v>
      </c>
      <c r="R558" s="655">
        <v>0</v>
      </c>
      <c r="S558" s="655">
        <v>20581</v>
      </c>
      <c r="T558" s="655">
        <v>2174</v>
      </c>
      <c r="U558" s="655">
        <v>0</v>
      </c>
      <c r="V558" s="655">
        <v>0</v>
      </c>
      <c r="W558" s="655">
        <v>211297</v>
      </c>
      <c r="X558" s="655">
        <v>365931</v>
      </c>
      <c r="Y558" s="655">
        <v>0</v>
      </c>
      <c r="Z558" s="655">
        <v>0</v>
      </c>
      <c r="AA558" s="655">
        <v>0</v>
      </c>
      <c r="AB558" s="655">
        <v>0</v>
      </c>
      <c r="AC558" s="655">
        <v>-6001</v>
      </c>
      <c r="AD558" s="655">
        <v>33188</v>
      </c>
      <c r="AE558" s="655">
        <v>5983088</v>
      </c>
      <c r="AF558" s="655">
        <v>131602</v>
      </c>
      <c r="AG558" s="655">
        <v>351788</v>
      </c>
      <c r="AH558" s="655">
        <v>0</v>
      </c>
      <c r="AI558" s="655">
        <v>789566</v>
      </c>
      <c r="AJ558" s="655">
        <v>1121266</v>
      </c>
      <c r="AK558" s="655">
        <v>8377310</v>
      </c>
      <c r="AL558" s="655">
        <v>7507583</v>
      </c>
      <c r="AM558" s="655">
        <v>869727</v>
      </c>
    </row>
    <row r="559" spans="1:39" x14ac:dyDescent="0.2">
      <c r="A559" s="648">
        <v>2014</v>
      </c>
      <c r="B559" s="648">
        <v>5</v>
      </c>
      <c r="C559" s="657" t="s">
        <v>299</v>
      </c>
      <c r="D559" s="648">
        <v>4860</v>
      </c>
      <c r="E559" s="648" t="s">
        <v>1249</v>
      </c>
      <c r="F559" s="655">
        <v>2058492</v>
      </c>
      <c r="G559" s="655">
        <v>0</v>
      </c>
      <c r="H559" s="655">
        <v>46777</v>
      </c>
      <c r="I559" s="655">
        <v>129949</v>
      </c>
      <c r="J559" s="655">
        <v>188997</v>
      </c>
      <c r="K559" s="655">
        <v>23097</v>
      </c>
      <c r="L559" s="655">
        <v>17044</v>
      </c>
      <c r="M559" s="655">
        <v>0</v>
      </c>
      <c r="N559" s="655">
        <v>99779</v>
      </c>
      <c r="O559" s="655">
        <v>2510</v>
      </c>
      <c r="P559" s="655">
        <v>16948</v>
      </c>
      <c r="Q559" s="655">
        <v>19051</v>
      </c>
      <c r="R559" s="655">
        <v>1602</v>
      </c>
      <c r="S559" s="655">
        <v>10647</v>
      </c>
      <c r="T559" s="655">
        <v>1269</v>
      </c>
      <c r="U559" s="655">
        <v>34408</v>
      </c>
      <c r="V559" s="655">
        <v>0</v>
      </c>
      <c r="W559" s="655">
        <v>49808</v>
      </c>
      <c r="X559" s="655">
        <v>0</v>
      </c>
      <c r="Y559" s="655">
        <v>6520</v>
      </c>
      <c r="Z559" s="655">
        <v>0</v>
      </c>
      <c r="AA559" s="655">
        <v>0</v>
      </c>
      <c r="AB559" s="655">
        <v>0</v>
      </c>
      <c r="AC559" s="655">
        <v>0</v>
      </c>
      <c r="AD559" s="655">
        <v>20134</v>
      </c>
      <c r="AE559" s="655">
        <v>2673724</v>
      </c>
      <c r="AF559" s="655">
        <v>36726</v>
      </c>
      <c r="AG559" s="655">
        <v>167788</v>
      </c>
      <c r="AH559" s="655">
        <v>0</v>
      </c>
      <c r="AI559" s="655">
        <v>1547778</v>
      </c>
      <c r="AJ559" s="655">
        <v>1099485</v>
      </c>
      <c r="AK559" s="655">
        <v>5525501</v>
      </c>
      <c r="AL559" s="655">
        <v>4397037</v>
      </c>
      <c r="AM559" s="655">
        <v>1128464</v>
      </c>
    </row>
    <row r="560" spans="1:39" x14ac:dyDescent="0.2">
      <c r="A560" s="648">
        <v>2014</v>
      </c>
      <c r="B560" s="648">
        <v>1</v>
      </c>
      <c r="C560" s="657" t="s">
        <v>300</v>
      </c>
      <c r="D560" s="648">
        <v>4869</v>
      </c>
      <c r="E560" s="648" t="s">
        <v>1250</v>
      </c>
      <c r="F560" s="655">
        <v>7917554</v>
      </c>
      <c r="G560" s="655">
        <v>148014</v>
      </c>
      <c r="H560" s="655">
        <v>144739</v>
      </c>
      <c r="I560" s="655">
        <v>1541548</v>
      </c>
      <c r="J560" s="655">
        <v>694699</v>
      </c>
      <c r="K560" s="655">
        <v>79910</v>
      </c>
      <c r="L560" s="655">
        <v>80505</v>
      </c>
      <c r="M560" s="655">
        <v>0</v>
      </c>
      <c r="N560" s="655">
        <v>434931</v>
      </c>
      <c r="O560" s="655">
        <v>10983</v>
      </c>
      <c r="P560" s="655">
        <v>69497</v>
      </c>
      <c r="Q560" s="655">
        <v>77597</v>
      </c>
      <c r="R560" s="655">
        <v>0</v>
      </c>
      <c r="S560" s="655">
        <v>43748</v>
      </c>
      <c r="T560" s="655">
        <v>4651</v>
      </c>
      <c r="U560" s="655">
        <v>242827</v>
      </c>
      <c r="V560" s="655">
        <v>0</v>
      </c>
      <c r="W560" s="655">
        <v>144024</v>
      </c>
      <c r="X560" s="655">
        <v>120510</v>
      </c>
      <c r="Y560" s="655">
        <v>0</v>
      </c>
      <c r="Z560" s="655">
        <v>0</v>
      </c>
      <c r="AA560" s="655">
        <v>0</v>
      </c>
      <c r="AB560" s="655">
        <v>0</v>
      </c>
      <c r="AC560" s="655">
        <v>2538</v>
      </c>
      <c r="AD560" s="655">
        <v>78419</v>
      </c>
      <c r="AE560" s="655">
        <v>11679856</v>
      </c>
      <c r="AF560" s="655">
        <v>205054</v>
      </c>
      <c r="AG560" s="655">
        <v>372291</v>
      </c>
      <c r="AH560" s="655">
        <v>0</v>
      </c>
      <c r="AI560" s="655">
        <v>1852597</v>
      </c>
      <c r="AJ560" s="655">
        <v>4725745</v>
      </c>
      <c r="AK560" s="655">
        <v>18835543</v>
      </c>
      <c r="AL560" s="655">
        <v>14090492</v>
      </c>
      <c r="AM560" s="655">
        <v>4745051</v>
      </c>
    </row>
    <row r="561" spans="1:39" x14ac:dyDescent="0.2">
      <c r="A561" s="648">
        <v>2014</v>
      </c>
      <c r="B561" s="648">
        <v>11</v>
      </c>
      <c r="C561" s="657" t="s">
        <v>301</v>
      </c>
      <c r="D561" s="648">
        <v>4878</v>
      </c>
      <c r="E561" s="648" t="s">
        <v>1251</v>
      </c>
      <c r="F561" s="655">
        <v>3727689</v>
      </c>
      <c r="G561" s="655">
        <v>218029</v>
      </c>
      <c r="H561" s="655">
        <v>55248</v>
      </c>
      <c r="I561" s="655">
        <v>442854</v>
      </c>
      <c r="J561" s="655">
        <v>351729</v>
      </c>
      <c r="K561" s="655">
        <v>38038</v>
      </c>
      <c r="L561" s="655">
        <v>36964</v>
      </c>
      <c r="M561" s="655">
        <v>0</v>
      </c>
      <c r="N561" s="655">
        <v>177880</v>
      </c>
      <c r="O561" s="655">
        <v>17286</v>
      </c>
      <c r="P561" s="655">
        <v>30476</v>
      </c>
      <c r="Q561" s="655">
        <v>33440</v>
      </c>
      <c r="R561" s="655">
        <v>0</v>
      </c>
      <c r="S561" s="655">
        <v>15001</v>
      </c>
      <c r="T561" s="655">
        <v>1926</v>
      </c>
      <c r="U561" s="655">
        <v>5632</v>
      </c>
      <c r="V561" s="655">
        <v>0</v>
      </c>
      <c r="W561" s="655">
        <v>55701</v>
      </c>
      <c r="X561" s="655">
        <v>184652</v>
      </c>
      <c r="Y561" s="655">
        <v>0</v>
      </c>
      <c r="Z561" s="655">
        <v>0</v>
      </c>
      <c r="AA561" s="655">
        <v>0</v>
      </c>
      <c r="AB561" s="655">
        <v>0</v>
      </c>
      <c r="AC561" s="655">
        <v>3961</v>
      </c>
      <c r="AD561" s="655">
        <v>31557</v>
      </c>
      <c r="AE561" s="655">
        <v>5364949</v>
      </c>
      <c r="AF561" s="655">
        <v>73452</v>
      </c>
      <c r="AG561" s="655">
        <v>315105</v>
      </c>
      <c r="AH561" s="655">
        <v>0</v>
      </c>
      <c r="AI561" s="655">
        <v>1059874</v>
      </c>
      <c r="AJ561" s="655">
        <v>161297</v>
      </c>
      <c r="AK561" s="655">
        <v>6974677</v>
      </c>
      <c r="AL561" s="655">
        <v>6735552</v>
      </c>
      <c r="AM561" s="655">
        <v>239125</v>
      </c>
    </row>
    <row r="562" spans="1:39" x14ac:dyDescent="0.2">
      <c r="A562" s="648">
        <v>2014</v>
      </c>
      <c r="B562" s="648">
        <v>5</v>
      </c>
      <c r="C562" s="657" t="s">
        <v>302</v>
      </c>
      <c r="D562" s="648">
        <v>4890</v>
      </c>
      <c r="E562" s="648" t="s">
        <v>1252</v>
      </c>
      <c r="F562" s="655">
        <v>5775489</v>
      </c>
      <c r="G562" s="655">
        <v>0</v>
      </c>
      <c r="H562" s="655">
        <v>62270</v>
      </c>
      <c r="I562" s="655">
        <v>722642</v>
      </c>
      <c r="J562" s="655">
        <v>506934</v>
      </c>
      <c r="K562" s="655">
        <v>57745</v>
      </c>
      <c r="L562" s="655">
        <v>55477</v>
      </c>
      <c r="M562" s="655">
        <v>0</v>
      </c>
      <c r="N562" s="655">
        <v>295599</v>
      </c>
      <c r="O562" s="655">
        <v>0</v>
      </c>
      <c r="P562" s="655">
        <v>47716</v>
      </c>
      <c r="Q562" s="655">
        <v>53638</v>
      </c>
      <c r="R562" s="655">
        <v>4493</v>
      </c>
      <c r="S562" s="655">
        <v>31543</v>
      </c>
      <c r="T562" s="655">
        <v>3760</v>
      </c>
      <c r="U562" s="655">
        <v>208098</v>
      </c>
      <c r="V562" s="655">
        <v>0</v>
      </c>
      <c r="W562" s="655">
        <v>132022</v>
      </c>
      <c r="X562" s="655">
        <v>376167</v>
      </c>
      <c r="Y562" s="655">
        <v>0</v>
      </c>
      <c r="Z562" s="655">
        <v>0</v>
      </c>
      <c r="AA562" s="655">
        <v>0</v>
      </c>
      <c r="AB562" s="655">
        <v>0</v>
      </c>
      <c r="AC562" s="655">
        <v>0</v>
      </c>
      <c r="AD562" s="655">
        <v>46312</v>
      </c>
      <c r="AE562" s="655">
        <v>8287281</v>
      </c>
      <c r="AF562" s="655">
        <v>223417</v>
      </c>
      <c r="AG562" s="655">
        <v>539373</v>
      </c>
      <c r="AH562" s="655">
        <v>0</v>
      </c>
      <c r="AI562" s="655">
        <v>1338327</v>
      </c>
      <c r="AJ562" s="655">
        <v>1221277</v>
      </c>
      <c r="AK562" s="655">
        <v>11609675</v>
      </c>
      <c r="AL562" s="655">
        <v>10214939</v>
      </c>
      <c r="AM562" s="655">
        <v>1394736</v>
      </c>
    </row>
    <row r="563" spans="1:39" x14ac:dyDescent="0.2">
      <c r="A563" s="648">
        <v>2014</v>
      </c>
      <c r="B563" s="648">
        <v>10</v>
      </c>
      <c r="C563" s="657" t="s">
        <v>303</v>
      </c>
      <c r="D563" s="648">
        <v>4905</v>
      </c>
      <c r="E563" s="648" t="s">
        <v>1253</v>
      </c>
      <c r="F563" s="655">
        <v>1410590</v>
      </c>
      <c r="G563" s="655">
        <v>0</v>
      </c>
      <c r="H563" s="655">
        <v>37368</v>
      </c>
      <c r="I563" s="655">
        <v>237899</v>
      </c>
      <c r="J563" s="655">
        <v>152387</v>
      </c>
      <c r="K563" s="655">
        <v>15555</v>
      </c>
      <c r="L563" s="655">
        <v>15005</v>
      </c>
      <c r="M563" s="655">
        <v>0</v>
      </c>
      <c r="N563" s="655">
        <v>72081</v>
      </c>
      <c r="O563" s="655">
        <v>6240</v>
      </c>
      <c r="P563" s="655">
        <v>11518</v>
      </c>
      <c r="Q563" s="655">
        <v>12650</v>
      </c>
      <c r="R563" s="655">
        <v>0</v>
      </c>
      <c r="S563" s="655">
        <v>6685</v>
      </c>
      <c r="T563" s="655">
        <v>777</v>
      </c>
      <c r="U563" s="655">
        <v>50411</v>
      </c>
      <c r="V563" s="655">
        <v>0</v>
      </c>
      <c r="W563" s="655">
        <v>93728</v>
      </c>
      <c r="X563" s="655">
        <v>193839</v>
      </c>
      <c r="Y563" s="655">
        <v>0</v>
      </c>
      <c r="Z563" s="655">
        <v>0</v>
      </c>
      <c r="AA563" s="655">
        <v>0</v>
      </c>
      <c r="AB563" s="655">
        <v>0</v>
      </c>
      <c r="AC563" s="655">
        <v>0</v>
      </c>
      <c r="AD563" s="655">
        <v>14596</v>
      </c>
      <c r="AE563" s="655">
        <v>2302137</v>
      </c>
      <c r="AF563" s="655">
        <v>27545</v>
      </c>
      <c r="AG563" s="655">
        <v>111521</v>
      </c>
      <c r="AH563" s="655">
        <v>0</v>
      </c>
      <c r="AI563" s="655">
        <v>240706</v>
      </c>
      <c r="AJ563" s="655">
        <v>71157</v>
      </c>
      <c r="AK563" s="655">
        <v>2753066</v>
      </c>
      <c r="AL563" s="655">
        <v>2738017</v>
      </c>
      <c r="AM563" s="655">
        <v>15049</v>
      </c>
    </row>
    <row r="564" spans="1:39" x14ac:dyDescent="0.2">
      <c r="A564" s="648">
        <v>2014</v>
      </c>
      <c r="B564" s="648">
        <v>13</v>
      </c>
      <c r="C564" s="657" t="s">
        <v>304</v>
      </c>
      <c r="D564" s="648">
        <v>4978</v>
      </c>
      <c r="E564" s="648" t="s">
        <v>1254</v>
      </c>
      <c r="F564" s="655">
        <v>1169723</v>
      </c>
      <c r="G564" s="655">
        <v>66723</v>
      </c>
      <c r="H564" s="655">
        <v>25586</v>
      </c>
      <c r="I564" s="655">
        <v>171633</v>
      </c>
      <c r="J564" s="655">
        <v>135674</v>
      </c>
      <c r="K564" s="655">
        <v>15063</v>
      </c>
      <c r="L564" s="655">
        <v>9714</v>
      </c>
      <c r="M564" s="655">
        <v>0</v>
      </c>
      <c r="N564" s="655">
        <v>58977</v>
      </c>
      <c r="O564" s="655">
        <v>13789</v>
      </c>
      <c r="P564" s="655">
        <v>9818</v>
      </c>
      <c r="Q564" s="655">
        <v>10858</v>
      </c>
      <c r="R564" s="655">
        <v>0</v>
      </c>
      <c r="S564" s="655">
        <v>6336</v>
      </c>
      <c r="T564" s="655">
        <v>669</v>
      </c>
      <c r="U564" s="655">
        <v>19187</v>
      </c>
      <c r="V564" s="655">
        <v>0</v>
      </c>
      <c r="W564" s="655">
        <v>54969</v>
      </c>
      <c r="X564" s="655">
        <v>68568</v>
      </c>
      <c r="Y564" s="655">
        <v>0</v>
      </c>
      <c r="Z564" s="655">
        <v>0</v>
      </c>
      <c r="AA564" s="655">
        <v>0</v>
      </c>
      <c r="AB564" s="655">
        <v>0</v>
      </c>
      <c r="AC564" s="655">
        <v>-1020</v>
      </c>
      <c r="AD564" s="655">
        <v>14187</v>
      </c>
      <c r="AE564" s="655">
        <v>1822080</v>
      </c>
      <c r="AF564" s="655">
        <v>0</v>
      </c>
      <c r="AG564" s="655">
        <v>109253</v>
      </c>
      <c r="AH564" s="655">
        <v>0</v>
      </c>
      <c r="AI564" s="655">
        <v>480201</v>
      </c>
      <c r="AJ564" s="655">
        <v>403467</v>
      </c>
      <c r="AK564" s="655">
        <v>2815001</v>
      </c>
      <c r="AL564" s="655">
        <v>2838385</v>
      </c>
      <c r="AM564" s="655">
        <v>-23384</v>
      </c>
    </row>
    <row r="565" spans="1:39" x14ac:dyDescent="0.2">
      <c r="A565" s="648">
        <v>2014</v>
      </c>
      <c r="B565" s="648">
        <v>7</v>
      </c>
      <c r="C565" s="657" t="s">
        <v>305</v>
      </c>
      <c r="D565" s="648">
        <v>4995</v>
      </c>
      <c r="E565" s="648" t="s">
        <v>1255</v>
      </c>
      <c r="F565" s="655">
        <v>5779519</v>
      </c>
      <c r="G565" s="655">
        <v>0</v>
      </c>
      <c r="H565" s="655">
        <v>50647</v>
      </c>
      <c r="I565" s="655">
        <v>612116</v>
      </c>
      <c r="J565" s="655">
        <v>493832</v>
      </c>
      <c r="K565" s="655">
        <v>56149</v>
      </c>
      <c r="L565" s="655">
        <v>51855</v>
      </c>
      <c r="M565" s="655">
        <v>0</v>
      </c>
      <c r="N565" s="655">
        <v>281871</v>
      </c>
      <c r="O565" s="655">
        <v>0</v>
      </c>
      <c r="P565" s="655">
        <v>47266</v>
      </c>
      <c r="Q565" s="655">
        <v>52828</v>
      </c>
      <c r="R565" s="655">
        <v>0</v>
      </c>
      <c r="S565" s="655">
        <v>36262</v>
      </c>
      <c r="T565" s="655">
        <v>4159</v>
      </c>
      <c r="U565" s="655">
        <v>104717</v>
      </c>
      <c r="V565" s="655">
        <v>0</v>
      </c>
      <c r="W565" s="655">
        <v>16063</v>
      </c>
      <c r="X565" s="655">
        <v>211899</v>
      </c>
      <c r="Y565" s="655">
        <v>0</v>
      </c>
      <c r="Z565" s="655">
        <v>0</v>
      </c>
      <c r="AA565" s="655">
        <v>0</v>
      </c>
      <c r="AB565" s="655">
        <v>0</v>
      </c>
      <c r="AC565" s="655">
        <v>-6058</v>
      </c>
      <c r="AD565" s="655">
        <v>47573</v>
      </c>
      <c r="AE565" s="655">
        <v>7745552</v>
      </c>
      <c r="AF565" s="655">
        <v>131602</v>
      </c>
      <c r="AG565" s="655">
        <v>438377</v>
      </c>
      <c r="AH565" s="655">
        <v>0</v>
      </c>
      <c r="AI565" s="655">
        <v>900651</v>
      </c>
      <c r="AJ565" s="655">
        <v>1792271</v>
      </c>
      <c r="AK565" s="655">
        <v>11008453</v>
      </c>
      <c r="AL565" s="655">
        <v>9173186</v>
      </c>
      <c r="AM565" s="655">
        <v>1835267</v>
      </c>
    </row>
    <row r="566" spans="1:39" x14ac:dyDescent="0.2">
      <c r="A566" s="648">
        <v>2014</v>
      </c>
      <c r="B566" s="648">
        <v>15</v>
      </c>
      <c r="C566" s="657" t="s">
        <v>306</v>
      </c>
      <c r="D566" s="648">
        <v>5013</v>
      </c>
      <c r="E566" s="648" t="s">
        <v>1256</v>
      </c>
      <c r="F566" s="655">
        <v>14616948</v>
      </c>
      <c r="G566" s="655">
        <v>0</v>
      </c>
      <c r="H566" s="655">
        <v>227952</v>
      </c>
      <c r="I566" s="655">
        <v>1740874</v>
      </c>
      <c r="J566" s="655">
        <v>1228960</v>
      </c>
      <c r="K566" s="655">
        <v>144808</v>
      </c>
      <c r="L566" s="655">
        <v>161500</v>
      </c>
      <c r="M566" s="655">
        <v>0</v>
      </c>
      <c r="N566" s="655">
        <v>712171</v>
      </c>
      <c r="O566" s="655">
        <v>0</v>
      </c>
      <c r="P566" s="655">
        <v>127653</v>
      </c>
      <c r="Q566" s="655">
        <v>140174</v>
      </c>
      <c r="R566" s="655">
        <v>0</v>
      </c>
      <c r="S566" s="655">
        <v>71220</v>
      </c>
      <c r="T566" s="655">
        <v>7670</v>
      </c>
      <c r="U566" s="655">
        <v>430216</v>
      </c>
      <c r="V566" s="655">
        <v>42887</v>
      </c>
      <c r="W566" s="655">
        <v>217540</v>
      </c>
      <c r="X566" s="655">
        <v>518967</v>
      </c>
      <c r="Y566" s="655">
        <v>0</v>
      </c>
      <c r="Z566" s="655">
        <v>0</v>
      </c>
      <c r="AA566" s="655">
        <v>0</v>
      </c>
      <c r="AB566" s="655">
        <v>0</v>
      </c>
      <c r="AC566" s="655">
        <v>-6001</v>
      </c>
      <c r="AD566" s="655">
        <v>115216</v>
      </c>
      <c r="AE566" s="655">
        <v>20268323</v>
      </c>
      <c r="AF566" s="655">
        <v>403986</v>
      </c>
      <c r="AG566" s="655">
        <v>917579</v>
      </c>
      <c r="AH566" s="655">
        <v>0</v>
      </c>
      <c r="AI566" s="655">
        <v>2463186</v>
      </c>
      <c r="AJ566" s="655">
        <v>3323314</v>
      </c>
      <c r="AK566" s="655">
        <v>27376388</v>
      </c>
      <c r="AL566" s="655">
        <v>24277846</v>
      </c>
      <c r="AM566" s="655">
        <v>3098542</v>
      </c>
    </row>
    <row r="567" spans="1:39" x14ac:dyDescent="0.2">
      <c r="A567" s="648">
        <v>2014</v>
      </c>
      <c r="B567" s="648">
        <v>15</v>
      </c>
      <c r="C567" s="657" t="s">
        <v>307</v>
      </c>
      <c r="D567" s="648">
        <v>5049</v>
      </c>
      <c r="E567" s="648" t="s">
        <v>1257</v>
      </c>
      <c r="F567" s="655">
        <v>27735475</v>
      </c>
      <c r="G567" s="655">
        <v>0</v>
      </c>
      <c r="H567" s="655">
        <v>654115</v>
      </c>
      <c r="I567" s="655">
        <v>2782484</v>
      </c>
      <c r="J567" s="655">
        <v>2299086</v>
      </c>
      <c r="K567" s="655">
        <v>260680</v>
      </c>
      <c r="L567" s="655">
        <v>335988</v>
      </c>
      <c r="M567" s="655">
        <v>0</v>
      </c>
      <c r="N567" s="655">
        <v>1328661</v>
      </c>
      <c r="O567" s="655">
        <v>0</v>
      </c>
      <c r="P567" s="655">
        <v>229775</v>
      </c>
      <c r="Q567" s="655">
        <v>252312</v>
      </c>
      <c r="R567" s="655">
        <v>0</v>
      </c>
      <c r="S567" s="655">
        <v>132871</v>
      </c>
      <c r="T567" s="655">
        <v>14309</v>
      </c>
      <c r="U567" s="655">
        <v>0</v>
      </c>
      <c r="V567" s="655">
        <v>26508</v>
      </c>
      <c r="W567" s="655">
        <v>423756</v>
      </c>
      <c r="X567" s="655">
        <v>193425</v>
      </c>
      <c r="Y567" s="655">
        <v>0</v>
      </c>
      <c r="Z567" s="655">
        <v>0</v>
      </c>
      <c r="AA567" s="655">
        <v>0</v>
      </c>
      <c r="AB567" s="655">
        <v>0</v>
      </c>
      <c r="AC567" s="655">
        <v>-9604</v>
      </c>
      <c r="AD567" s="655">
        <v>217386</v>
      </c>
      <c r="AE567" s="655">
        <v>36442455</v>
      </c>
      <c r="AF567" s="655">
        <v>682492</v>
      </c>
      <c r="AG567" s="655">
        <v>1625576</v>
      </c>
      <c r="AH567" s="655">
        <v>0</v>
      </c>
      <c r="AI567" s="655">
        <v>5994156</v>
      </c>
      <c r="AJ567" s="655">
        <v>17527290</v>
      </c>
      <c r="AK567" s="655">
        <v>62271969</v>
      </c>
      <c r="AL567" s="655">
        <v>44314838</v>
      </c>
      <c r="AM567" s="655">
        <v>17957131</v>
      </c>
    </row>
    <row r="568" spans="1:39" x14ac:dyDescent="0.2">
      <c r="A568" s="648">
        <v>2014</v>
      </c>
      <c r="B568" s="648">
        <v>11</v>
      </c>
      <c r="C568" s="657" t="s">
        <v>308</v>
      </c>
      <c r="D568" s="648">
        <v>5121</v>
      </c>
      <c r="E568" s="648" t="s">
        <v>1258</v>
      </c>
      <c r="F568" s="655">
        <v>4585853</v>
      </c>
      <c r="G568" s="655">
        <v>0</v>
      </c>
      <c r="H568" s="655">
        <v>61675</v>
      </c>
      <c r="I568" s="655">
        <v>431592</v>
      </c>
      <c r="J568" s="655">
        <v>385306</v>
      </c>
      <c r="K568" s="655">
        <v>37520</v>
      </c>
      <c r="L568" s="655">
        <v>39543</v>
      </c>
      <c r="M568" s="655">
        <v>0</v>
      </c>
      <c r="N568" s="655">
        <v>214002</v>
      </c>
      <c r="O568" s="655">
        <v>4905</v>
      </c>
      <c r="P568" s="655">
        <v>37470</v>
      </c>
      <c r="Q568" s="655">
        <v>41115</v>
      </c>
      <c r="R568" s="655">
        <v>0</v>
      </c>
      <c r="S568" s="655">
        <v>17296</v>
      </c>
      <c r="T568" s="655">
        <v>2213</v>
      </c>
      <c r="U568" s="655">
        <v>183253</v>
      </c>
      <c r="V568" s="655">
        <v>0</v>
      </c>
      <c r="W568" s="655">
        <v>120020</v>
      </c>
      <c r="X568" s="655">
        <v>219785</v>
      </c>
      <c r="Y568" s="655">
        <v>0</v>
      </c>
      <c r="Z568" s="655">
        <v>0</v>
      </c>
      <c r="AA568" s="655">
        <v>0</v>
      </c>
      <c r="AB568" s="655">
        <v>0</v>
      </c>
      <c r="AC568" s="655">
        <v>-2460</v>
      </c>
      <c r="AD568" s="655">
        <v>32669</v>
      </c>
      <c r="AE568" s="655">
        <v>6346419</v>
      </c>
      <c r="AF568" s="655">
        <v>88755</v>
      </c>
      <c r="AG568" s="655">
        <v>381543</v>
      </c>
      <c r="AH568" s="655">
        <v>0</v>
      </c>
      <c r="AI568" s="655">
        <v>799566</v>
      </c>
      <c r="AJ568" s="655">
        <v>1510046</v>
      </c>
      <c r="AK568" s="655">
        <v>9126329</v>
      </c>
      <c r="AL568" s="655">
        <v>7361632</v>
      </c>
      <c r="AM568" s="655">
        <v>1764697</v>
      </c>
    </row>
    <row r="569" spans="1:39" x14ac:dyDescent="0.2">
      <c r="A569" s="648">
        <v>2014</v>
      </c>
      <c r="B569" s="648">
        <v>5</v>
      </c>
      <c r="C569" s="657" t="s">
        <v>309</v>
      </c>
      <c r="D569" s="648">
        <v>5139</v>
      </c>
      <c r="E569" s="648" t="s">
        <v>1259</v>
      </c>
      <c r="F569" s="655">
        <v>1135613</v>
      </c>
      <c r="G569" s="655">
        <v>10648</v>
      </c>
      <c r="H569" s="655">
        <v>89900</v>
      </c>
      <c r="I569" s="655">
        <v>94383</v>
      </c>
      <c r="J569" s="655">
        <v>98557</v>
      </c>
      <c r="K569" s="655">
        <v>8533</v>
      </c>
      <c r="L569" s="655">
        <v>11813</v>
      </c>
      <c r="M569" s="655">
        <v>0</v>
      </c>
      <c r="N569" s="655">
        <v>54591</v>
      </c>
      <c r="O569" s="655">
        <v>5297</v>
      </c>
      <c r="P569" s="655">
        <v>9130</v>
      </c>
      <c r="Q569" s="655">
        <v>10263</v>
      </c>
      <c r="R569" s="655">
        <v>874</v>
      </c>
      <c r="S569" s="655">
        <v>5825</v>
      </c>
      <c r="T569" s="655">
        <v>694</v>
      </c>
      <c r="U569" s="655">
        <v>55697</v>
      </c>
      <c r="V569" s="655">
        <v>0</v>
      </c>
      <c r="W569" s="655">
        <v>71683</v>
      </c>
      <c r="X569" s="655">
        <v>55474</v>
      </c>
      <c r="Y569" s="655">
        <v>0</v>
      </c>
      <c r="Z569" s="655">
        <v>0</v>
      </c>
      <c r="AA569" s="655">
        <v>0</v>
      </c>
      <c r="AB569" s="655">
        <v>0</v>
      </c>
      <c r="AC569" s="655">
        <v>0</v>
      </c>
      <c r="AD569" s="655">
        <v>10377</v>
      </c>
      <c r="AE569" s="655">
        <v>1708598</v>
      </c>
      <c r="AF569" s="655">
        <v>61210</v>
      </c>
      <c r="AG569" s="655">
        <v>99748</v>
      </c>
      <c r="AH569" s="655">
        <v>0</v>
      </c>
      <c r="AI569" s="655">
        <v>427536</v>
      </c>
      <c r="AJ569" s="655">
        <v>518640</v>
      </c>
      <c r="AK569" s="655">
        <v>2815732</v>
      </c>
      <c r="AL569" s="655">
        <v>2373158</v>
      </c>
      <c r="AM569" s="655">
        <v>442574</v>
      </c>
    </row>
    <row r="570" spans="1:39" x14ac:dyDescent="0.2">
      <c r="A570" s="648">
        <v>2014</v>
      </c>
      <c r="B570" s="648">
        <v>12</v>
      </c>
      <c r="C570" s="657" t="s">
        <v>310</v>
      </c>
      <c r="D570" s="648">
        <v>6099</v>
      </c>
      <c r="E570" s="648" t="s">
        <v>646</v>
      </c>
      <c r="F570" s="655">
        <v>4061257</v>
      </c>
      <c r="G570" s="655">
        <v>8580</v>
      </c>
      <c r="H570" s="655">
        <v>38847</v>
      </c>
      <c r="I570" s="655">
        <v>683832</v>
      </c>
      <c r="J570" s="655">
        <v>358369</v>
      </c>
      <c r="K570" s="655">
        <v>42310</v>
      </c>
      <c r="L570" s="655">
        <v>35140</v>
      </c>
      <c r="M570" s="655">
        <v>0</v>
      </c>
      <c r="N570" s="655">
        <v>211900</v>
      </c>
      <c r="O570" s="655">
        <v>0</v>
      </c>
      <c r="P570" s="655">
        <v>38130</v>
      </c>
      <c r="Q570" s="655">
        <v>42846</v>
      </c>
      <c r="R570" s="655">
        <v>0</v>
      </c>
      <c r="S570" s="655">
        <v>21258</v>
      </c>
      <c r="T570" s="655">
        <v>2544</v>
      </c>
      <c r="U570" s="655">
        <v>195157</v>
      </c>
      <c r="V570" s="655">
        <v>0</v>
      </c>
      <c r="W570" s="655">
        <v>143024</v>
      </c>
      <c r="X570" s="655">
        <v>143427</v>
      </c>
      <c r="Y570" s="655">
        <v>0</v>
      </c>
      <c r="Z570" s="655">
        <v>0</v>
      </c>
      <c r="AA570" s="655">
        <v>0</v>
      </c>
      <c r="AB570" s="655">
        <v>0</v>
      </c>
      <c r="AC570" s="655">
        <v>-4541</v>
      </c>
      <c r="AD570" s="655">
        <v>39658</v>
      </c>
      <c r="AE570" s="655">
        <v>5982422</v>
      </c>
      <c r="AF570" s="655">
        <v>48968</v>
      </c>
      <c r="AG570" s="655">
        <v>341093</v>
      </c>
      <c r="AH570" s="655">
        <v>0</v>
      </c>
      <c r="AI570" s="655">
        <v>534628</v>
      </c>
      <c r="AJ570" s="655">
        <v>1571075</v>
      </c>
      <c r="AK570" s="655">
        <v>8478186</v>
      </c>
      <c r="AL570" s="655">
        <v>7335692</v>
      </c>
      <c r="AM570" s="655">
        <v>1142494</v>
      </c>
    </row>
    <row r="571" spans="1:39" x14ac:dyDescent="0.2">
      <c r="A571" s="648">
        <v>2014</v>
      </c>
      <c r="B571" s="648">
        <v>15</v>
      </c>
      <c r="C571" s="657" t="s">
        <v>311</v>
      </c>
      <c r="D571" s="648">
        <v>5163</v>
      </c>
      <c r="E571" s="648" t="s">
        <v>1260</v>
      </c>
      <c r="F571" s="655">
        <v>3861127</v>
      </c>
      <c r="G571" s="655">
        <v>34890</v>
      </c>
      <c r="H571" s="655">
        <v>30636</v>
      </c>
      <c r="I571" s="655">
        <v>356120</v>
      </c>
      <c r="J571" s="655">
        <v>331403</v>
      </c>
      <c r="K571" s="655">
        <v>37217</v>
      </c>
      <c r="L571" s="655">
        <v>38163</v>
      </c>
      <c r="M571" s="655">
        <v>0</v>
      </c>
      <c r="N571" s="655">
        <v>183606</v>
      </c>
      <c r="O571" s="655">
        <v>16955</v>
      </c>
      <c r="P571" s="655">
        <v>31588</v>
      </c>
      <c r="Q571" s="655">
        <v>34686</v>
      </c>
      <c r="R571" s="655">
        <v>0</v>
      </c>
      <c r="S571" s="655">
        <v>18726</v>
      </c>
      <c r="T571" s="655">
        <v>2015</v>
      </c>
      <c r="U571" s="655">
        <v>0</v>
      </c>
      <c r="V571" s="655">
        <v>0</v>
      </c>
      <c r="W571" s="655">
        <v>27605</v>
      </c>
      <c r="X571" s="655">
        <v>99253</v>
      </c>
      <c r="Y571" s="655">
        <v>0</v>
      </c>
      <c r="Z571" s="655">
        <v>0</v>
      </c>
      <c r="AA571" s="655">
        <v>0</v>
      </c>
      <c r="AB571" s="655">
        <v>0</v>
      </c>
      <c r="AC571" s="655">
        <v>0</v>
      </c>
      <c r="AD571" s="655">
        <v>33180</v>
      </c>
      <c r="AE571" s="655">
        <v>5070810</v>
      </c>
      <c r="AF571" s="655">
        <v>146904</v>
      </c>
      <c r="AG571" s="655">
        <v>310980</v>
      </c>
      <c r="AH571" s="655">
        <v>0</v>
      </c>
      <c r="AI571" s="655">
        <v>848891</v>
      </c>
      <c r="AJ571" s="655">
        <v>1206351</v>
      </c>
      <c r="AK571" s="655">
        <v>7583936</v>
      </c>
      <c r="AL571" s="655">
        <v>6828628</v>
      </c>
      <c r="AM571" s="655">
        <v>755308</v>
      </c>
    </row>
    <row r="572" spans="1:39" x14ac:dyDescent="0.2">
      <c r="A572" s="648">
        <v>2014</v>
      </c>
      <c r="B572" s="648">
        <v>11</v>
      </c>
      <c r="C572" s="657" t="s">
        <v>312</v>
      </c>
      <c r="D572" s="648">
        <v>5166</v>
      </c>
      <c r="E572" s="648" t="s">
        <v>1261</v>
      </c>
      <c r="F572" s="655">
        <v>13406826</v>
      </c>
      <c r="G572" s="655">
        <v>0</v>
      </c>
      <c r="H572" s="655">
        <v>271546</v>
      </c>
      <c r="I572" s="655">
        <v>1176273</v>
      </c>
      <c r="J572" s="655">
        <v>1092938</v>
      </c>
      <c r="K572" s="655">
        <v>116787</v>
      </c>
      <c r="L572" s="655">
        <v>125548</v>
      </c>
      <c r="M572" s="655">
        <v>0</v>
      </c>
      <c r="N572" s="655">
        <v>621991</v>
      </c>
      <c r="O572" s="655">
        <v>0</v>
      </c>
      <c r="P572" s="655">
        <v>135841</v>
      </c>
      <c r="Q572" s="655">
        <v>149056</v>
      </c>
      <c r="R572" s="655">
        <v>0</v>
      </c>
      <c r="S572" s="655">
        <v>50270</v>
      </c>
      <c r="T572" s="655">
        <v>6433</v>
      </c>
      <c r="U572" s="655">
        <v>291268</v>
      </c>
      <c r="V572" s="655">
        <v>0</v>
      </c>
      <c r="W572" s="655">
        <v>45432</v>
      </c>
      <c r="X572" s="655">
        <v>530398</v>
      </c>
      <c r="Y572" s="655">
        <v>0</v>
      </c>
      <c r="Z572" s="655">
        <v>0</v>
      </c>
      <c r="AA572" s="655">
        <v>0</v>
      </c>
      <c r="AB572" s="655">
        <v>0</v>
      </c>
      <c r="AC572" s="655">
        <v>-1680</v>
      </c>
      <c r="AD572" s="655">
        <v>94924</v>
      </c>
      <c r="AE572" s="655">
        <v>17924003</v>
      </c>
      <c r="AF572" s="655">
        <v>244840</v>
      </c>
      <c r="AG572" s="655">
        <v>827362</v>
      </c>
      <c r="AH572" s="655">
        <v>0</v>
      </c>
      <c r="AI572" s="655">
        <v>2469639</v>
      </c>
      <c r="AJ572" s="655">
        <v>6159572</v>
      </c>
      <c r="AK572" s="655">
        <v>27625416</v>
      </c>
      <c r="AL572" s="655">
        <v>21940898</v>
      </c>
      <c r="AM572" s="655">
        <v>5684518</v>
      </c>
    </row>
    <row r="573" spans="1:39" x14ac:dyDescent="0.2">
      <c r="A573" s="648">
        <v>2014</v>
      </c>
      <c r="B573" s="648">
        <v>11</v>
      </c>
      <c r="C573" s="657" t="s">
        <v>313</v>
      </c>
      <c r="D573" s="648">
        <v>5184</v>
      </c>
      <c r="E573" s="648" t="s">
        <v>1262</v>
      </c>
      <c r="F573" s="655">
        <v>11315293</v>
      </c>
      <c r="G573" s="655">
        <v>0</v>
      </c>
      <c r="H573" s="655">
        <v>596087</v>
      </c>
      <c r="I573" s="655">
        <v>1324862</v>
      </c>
      <c r="J573" s="655">
        <v>997065</v>
      </c>
      <c r="K573" s="655">
        <v>108033</v>
      </c>
      <c r="L573" s="655">
        <v>150174</v>
      </c>
      <c r="M573" s="655">
        <v>0</v>
      </c>
      <c r="N573" s="655">
        <v>539034</v>
      </c>
      <c r="O573" s="655">
        <v>0</v>
      </c>
      <c r="P573" s="655">
        <v>97722</v>
      </c>
      <c r="Q573" s="655">
        <v>107228</v>
      </c>
      <c r="R573" s="655">
        <v>0</v>
      </c>
      <c r="S573" s="655">
        <v>43565</v>
      </c>
      <c r="T573" s="655">
        <v>5575</v>
      </c>
      <c r="U573" s="655">
        <v>431298</v>
      </c>
      <c r="V573" s="655">
        <v>0</v>
      </c>
      <c r="W573" s="655">
        <v>215646</v>
      </c>
      <c r="X573" s="655">
        <v>364350</v>
      </c>
      <c r="Y573" s="655">
        <v>0</v>
      </c>
      <c r="Z573" s="655">
        <v>0</v>
      </c>
      <c r="AA573" s="655">
        <v>0</v>
      </c>
      <c r="AB573" s="655">
        <v>0</v>
      </c>
      <c r="AC573" s="655">
        <v>26409</v>
      </c>
      <c r="AD573" s="655">
        <v>80425</v>
      </c>
      <c r="AE573" s="655">
        <v>16241916</v>
      </c>
      <c r="AF573" s="655">
        <v>339716</v>
      </c>
      <c r="AG573" s="655">
        <v>645650</v>
      </c>
      <c r="AH573" s="655">
        <v>0</v>
      </c>
      <c r="AI573" s="655">
        <v>2142496</v>
      </c>
      <c r="AJ573" s="655">
        <v>7644255</v>
      </c>
      <c r="AK573" s="655">
        <v>27014033</v>
      </c>
      <c r="AL573" s="655">
        <v>19566450</v>
      </c>
      <c r="AM573" s="655">
        <v>7447583</v>
      </c>
    </row>
    <row r="574" spans="1:39" x14ac:dyDescent="0.2">
      <c r="A574" s="648">
        <v>2014</v>
      </c>
      <c r="B574" s="648">
        <v>9</v>
      </c>
      <c r="C574" s="657" t="s">
        <v>314</v>
      </c>
      <c r="D574" s="648">
        <v>5250</v>
      </c>
      <c r="E574" s="648" t="s">
        <v>1263</v>
      </c>
      <c r="F574" s="655">
        <v>26454420</v>
      </c>
      <c r="G574" s="655">
        <v>0</v>
      </c>
      <c r="H574" s="655">
        <v>119526</v>
      </c>
      <c r="I574" s="655">
        <v>1549616</v>
      </c>
      <c r="J574" s="655">
        <v>2064198</v>
      </c>
      <c r="K574" s="655">
        <v>238657</v>
      </c>
      <c r="L574" s="655">
        <v>212727</v>
      </c>
      <c r="M574" s="655">
        <v>0</v>
      </c>
      <c r="N574" s="655">
        <v>1209404</v>
      </c>
      <c r="O574" s="655">
        <v>0</v>
      </c>
      <c r="P574" s="655">
        <v>212474</v>
      </c>
      <c r="Q574" s="655">
        <v>231635</v>
      </c>
      <c r="R574" s="655">
        <v>0</v>
      </c>
      <c r="S574" s="655">
        <v>108004</v>
      </c>
      <c r="T574" s="655">
        <v>12672</v>
      </c>
      <c r="U574" s="655">
        <v>674617</v>
      </c>
      <c r="V574" s="655">
        <v>0</v>
      </c>
      <c r="W574" s="655">
        <v>397865</v>
      </c>
      <c r="X574" s="655">
        <v>694098</v>
      </c>
      <c r="Y574" s="655">
        <v>0</v>
      </c>
      <c r="Z574" s="655">
        <v>0</v>
      </c>
      <c r="AA574" s="655">
        <v>0</v>
      </c>
      <c r="AB574" s="655">
        <v>0</v>
      </c>
      <c r="AC574" s="655">
        <v>0</v>
      </c>
      <c r="AD574" s="655">
        <v>135851</v>
      </c>
      <c r="AE574" s="655">
        <v>34044062</v>
      </c>
      <c r="AF574" s="655">
        <v>330534</v>
      </c>
      <c r="AG574" s="655">
        <v>1574991</v>
      </c>
      <c r="AH574" s="655">
        <v>0</v>
      </c>
      <c r="AI574" s="655">
        <v>3978800</v>
      </c>
      <c r="AJ574" s="655">
        <v>8367482</v>
      </c>
      <c r="AK574" s="655">
        <v>48295869</v>
      </c>
      <c r="AL574" s="655">
        <v>39900128</v>
      </c>
      <c r="AM574" s="655">
        <v>8395741</v>
      </c>
    </row>
    <row r="575" spans="1:39" x14ac:dyDescent="0.2">
      <c r="A575" s="648">
        <v>2014</v>
      </c>
      <c r="B575" s="648">
        <v>11</v>
      </c>
      <c r="C575" s="657" t="s">
        <v>315</v>
      </c>
      <c r="D575" s="648">
        <v>5256</v>
      </c>
      <c r="E575" s="648" t="s">
        <v>1264</v>
      </c>
      <c r="F575" s="655">
        <v>3894180</v>
      </c>
      <c r="G575" s="655">
        <v>0</v>
      </c>
      <c r="H575" s="655">
        <v>28891</v>
      </c>
      <c r="I575" s="655">
        <v>472847</v>
      </c>
      <c r="J575" s="655">
        <v>335137</v>
      </c>
      <c r="K575" s="655">
        <v>34978</v>
      </c>
      <c r="L575" s="655">
        <v>44559</v>
      </c>
      <c r="M575" s="655">
        <v>0</v>
      </c>
      <c r="N575" s="655">
        <v>186260</v>
      </c>
      <c r="O575" s="655">
        <v>0</v>
      </c>
      <c r="P575" s="655">
        <v>31775</v>
      </c>
      <c r="Q575" s="655">
        <v>34866</v>
      </c>
      <c r="R575" s="655">
        <v>0</v>
      </c>
      <c r="S575" s="655">
        <v>15054</v>
      </c>
      <c r="T575" s="655">
        <v>1926</v>
      </c>
      <c r="U575" s="655">
        <v>120454</v>
      </c>
      <c r="V575" s="655">
        <v>0</v>
      </c>
      <c r="W575" s="655">
        <v>31217</v>
      </c>
      <c r="X575" s="655">
        <v>321009</v>
      </c>
      <c r="Y575" s="655">
        <v>0</v>
      </c>
      <c r="Z575" s="655">
        <v>0</v>
      </c>
      <c r="AA575" s="655">
        <v>0</v>
      </c>
      <c r="AB575" s="655">
        <v>0</v>
      </c>
      <c r="AC575" s="655">
        <v>0</v>
      </c>
      <c r="AD575" s="655">
        <v>30464</v>
      </c>
      <c r="AE575" s="655">
        <v>5522689</v>
      </c>
      <c r="AF575" s="655">
        <v>88695</v>
      </c>
      <c r="AG575" s="655">
        <v>267491</v>
      </c>
      <c r="AH575" s="655">
        <v>0</v>
      </c>
      <c r="AI575" s="655">
        <v>1090267</v>
      </c>
      <c r="AJ575" s="655">
        <v>1335526</v>
      </c>
      <c r="AK575" s="655">
        <v>8304668</v>
      </c>
      <c r="AL575" s="655">
        <v>7260445</v>
      </c>
      <c r="AM575" s="655">
        <v>1044223</v>
      </c>
    </row>
    <row r="576" spans="1:39" x14ac:dyDescent="0.2">
      <c r="A576" s="648">
        <v>2014</v>
      </c>
      <c r="B576" s="648">
        <v>5</v>
      </c>
      <c r="C576" s="657" t="s">
        <v>316</v>
      </c>
      <c r="D576" s="648">
        <v>5283</v>
      </c>
      <c r="E576" s="648" t="s">
        <v>647</v>
      </c>
      <c r="F576" s="655">
        <v>4401096</v>
      </c>
      <c r="G576" s="655">
        <v>889</v>
      </c>
      <c r="H576" s="655">
        <v>146053</v>
      </c>
      <c r="I576" s="655">
        <v>482713</v>
      </c>
      <c r="J576" s="655">
        <v>443057</v>
      </c>
      <c r="K576" s="655">
        <v>55907</v>
      </c>
      <c r="L576" s="655">
        <v>39558</v>
      </c>
      <c r="M576" s="655">
        <v>0</v>
      </c>
      <c r="N576" s="655">
        <v>217867</v>
      </c>
      <c r="O576" s="655">
        <v>48180</v>
      </c>
      <c r="P576" s="655">
        <v>38687</v>
      </c>
      <c r="Q576" s="655">
        <v>43489</v>
      </c>
      <c r="R576" s="655">
        <v>3489</v>
      </c>
      <c r="S576" s="655">
        <v>23248</v>
      </c>
      <c r="T576" s="655">
        <v>2771</v>
      </c>
      <c r="U576" s="655">
        <v>164969</v>
      </c>
      <c r="V576" s="655">
        <v>0</v>
      </c>
      <c r="W576" s="655">
        <v>49562</v>
      </c>
      <c r="X576" s="655">
        <v>105546</v>
      </c>
      <c r="Y576" s="655">
        <v>0</v>
      </c>
      <c r="Z576" s="655">
        <v>0</v>
      </c>
      <c r="AA576" s="655">
        <v>0</v>
      </c>
      <c r="AB576" s="655">
        <v>0</v>
      </c>
      <c r="AC576" s="655">
        <v>-663</v>
      </c>
      <c r="AD576" s="655">
        <v>52222</v>
      </c>
      <c r="AE576" s="655">
        <v>6214196</v>
      </c>
      <c r="AF576" s="655">
        <v>186691</v>
      </c>
      <c r="AG576" s="655">
        <v>390016</v>
      </c>
      <c r="AH576" s="655">
        <v>0</v>
      </c>
      <c r="AI576" s="655">
        <v>1026837</v>
      </c>
      <c r="AJ576" s="655">
        <v>3426083</v>
      </c>
      <c r="AK576" s="655">
        <v>11243823</v>
      </c>
      <c r="AL576" s="655">
        <v>8307869</v>
      </c>
      <c r="AM576" s="655">
        <v>2935954</v>
      </c>
    </row>
    <row r="577" spans="1:39" x14ac:dyDescent="0.2">
      <c r="A577" s="648">
        <v>2014</v>
      </c>
      <c r="B577" s="648">
        <v>1</v>
      </c>
      <c r="C577" s="657" t="s">
        <v>317</v>
      </c>
      <c r="D577" s="648">
        <v>5310</v>
      </c>
      <c r="E577" s="648" t="s">
        <v>1265</v>
      </c>
      <c r="F577" s="655">
        <v>3730699</v>
      </c>
      <c r="G577" s="655">
        <v>0</v>
      </c>
      <c r="H577" s="655">
        <v>281011</v>
      </c>
      <c r="I577" s="655">
        <v>408402</v>
      </c>
      <c r="J577" s="655">
        <v>332375</v>
      </c>
      <c r="K577" s="655">
        <v>32259</v>
      </c>
      <c r="L577" s="655">
        <v>51910</v>
      </c>
      <c r="M577" s="655">
        <v>0</v>
      </c>
      <c r="N577" s="655">
        <v>191185</v>
      </c>
      <c r="O577" s="655">
        <v>0</v>
      </c>
      <c r="P577" s="655">
        <v>31374</v>
      </c>
      <c r="Q577" s="655">
        <v>35031</v>
      </c>
      <c r="R577" s="655">
        <v>0</v>
      </c>
      <c r="S577" s="655">
        <v>18772</v>
      </c>
      <c r="T577" s="655">
        <v>1997</v>
      </c>
      <c r="U577" s="655">
        <v>0</v>
      </c>
      <c r="V577" s="655">
        <v>0</v>
      </c>
      <c r="W577" s="655">
        <v>339087</v>
      </c>
      <c r="X577" s="655">
        <v>207780</v>
      </c>
      <c r="Y577" s="655">
        <v>0</v>
      </c>
      <c r="Z577" s="655">
        <v>0</v>
      </c>
      <c r="AA577" s="655">
        <v>0</v>
      </c>
      <c r="AB577" s="655">
        <v>0</v>
      </c>
      <c r="AC577" s="655">
        <v>-1323</v>
      </c>
      <c r="AD577" s="655">
        <v>30686</v>
      </c>
      <c r="AE577" s="655">
        <v>5629873</v>
      </c>
      <c r="AF577" s="655">
        <v>45908</v>
      </c>
      <c r="AG577" s="655">
        <v>264880</v>
      </c>
      <c r="AH577" s="655">
        <v>0</v>
      </c>
      <c r="AI577" s="655">
        <v>1169950</v>
      </c>
      <c r="AJ577" s="655">
        <v>2148703</v>
      </c>
      <c r="AK577" s="655">
        <v>9259314</v>
      </c>
      <c r="AL577" s="655">
        <v>6426043</v>
      </c>
      <c r="AM577" s="655">
        <v>2833271</v>
      </c>
    </row>
    <row r="578" spans="1:39" x14ac:dyDescent="0.2">
      <c r="A578" s="648">
        <v>2014</v>
      </c>
      <c r="B578" s="648">
        <v>11</v>
      </c>
      <c r="C578" s="657" t="s">
        <v>318</v>
      </c>
      <c r="D578" s="648">
        <v>5160</v>
      </c>
      <c r="E578" s="648" t="s">
        <v>648</v>
      </c>
      <c r="F578" s="655">
        <v>6277086</v>
      </c>
      <c r="G578" s="655">
        <v>0</v>
      </c>
      <c r="H578" s="655">
        <v>42406</v>
      </c>
      <c r="I578" s="655">
        <v>753495</v>
      </c>
      <c r="J578" s="655">
        <v>526205</v>
      </c>
      <c r="K578" s="655">
        <v>56300</v>
      </c>
      <c r="L578" s="655">
        <v>57305</v>
      </c>
      <c r="M578" s="655">
        <v>0</v>
      </c>
      <c r="N578" s="655">
        <v>299865</v>
      </c>
      <c r="O578" s="655">
        <v>0</v>
      </c>
      <c r="P578" s="655">
        <v>52608</v>
      </c>
      <c r="Q578" s="655">
        <v>57725</v>
      </c>
      <c r="R578" s="655">
        <v>0</v>
      </c>
      <c r="S578" s="655">
        <v>24235</v>
      </c>
      <c r="T578" s="655">
        <v>3101</v>
      </c>
      <c r="U578" s="655">
        <v>76576</v>
      </c>
      <c r="V578" s="655">
        <v>0</v>
      </c>
      <c r="W578" s="655">
        <v>267488</v>
      </c>
      <c r="X578" s="655">
        <v>137610</v>
      </c>
      <c r="Y578" s="655">
        <v>0</v>
      </c>
      <c r="Z578" s="655">
        <v>0</v>
      </c>
      <c r="AA578" s="655">
        <v>0</v>
      </c>
      <c r="AB578" s="655">
        <v>0</v>
      </c>
      <c r="AC578" s="655">
        <v>0</v>
      </c>
      <c r="AD578" s="655">
        <v>44572</v>
      </c>
      <c r="AE578" s="655">
        <v>8587433</v>
      </c>
      <c r="AF578" s="655">
        <v>232598</v>
      </c>
      <c r="AG578" s="655">
        <v>437011</v>
      </c>
      <c r="AH578" s="655">
        <v>0</v>
      </c>
      <c r="AI578" s="655">
        <v>1447640</v>
      </c>
      <c r="AJ578" s="655">
        <v>2931586</v>
      </c>
      <c r="AK578" s="655">
        <v>13636268</v>
      </c>
      <c r="AL578" s="655">
        <v>10607568</v>
      </c>
      <c r="AM578" s="655">
        <v>3028700</v>
      </c>
    </row>
    <row r="579" spans="1:39" x14ac:dyDescent="0.2">
      <c r="A579" s="648">
        <v>2014</v>
      </c>
      <c r="B579" s="648">
        <v>5</v>
      </c>
      <c r="C579" s="657" t="s">
        <v>319</v>
      </c>
      <c r="D579" s="648">
        <v>5325</v>
      </c>
      <c r="E579" s="648" t="s">
        <v>649</v>
      </c>
      <c r="F579" s="655">
        <v>3782046</v>
      </c>
      <c r="G579" s="655">
        <v>102236</v>
      </c>
      <c r="H579" s="655">
        <v>157011</v>
      </c>
      <c r="I579" s="655">
        <v>424014</v>
      </c>
      <c r="J579" s="655">
        <v>363396</v>
      </c>
      <c r="K579" s="655">
        <v>43918</v>
      </c>
      <c r="L579" s="655">
        <v>37704</v>
      </c>
      <c r="M579" s="655">
        <v>0</v>
      </c>
      <c r="N579" s="655">
        <v>188083</v>
      </c>
      <c r="O579" s="655">
        <v>14347</v>
      </c>
      <c r="P579" s="655">
        <v>31676</v>
      </c>
      <c r="Q579" s="655">
        <v>35608</v>
      </c>
      <c r="R579" s="655">
        <v>3131</v>
      </c>
      <c r="S579" s="655">
        <v>20491</v>
      </c>
      <c r="T579" s="655">
        <v>2446</v>
      </c>
      <c r="U579" s="655">
        <v>73974</v>
      </c>
      <c r="V579" s="655">
        <v>0</v>
      </c>
      <c r="W579" s="655">
        <v>30005</v>
      </c>
      <c r="X579" s="655">
        <v>40549</v>
      </c>
      <c r="Y579" s="655">
        <v>0</v>
      </c>
      <c r="Z579" s="655">
        <v>0</v>
      </c>
      <c r="AA579" s="655">
        <v>0</v>
      </c>
      <c r="AB579" s="655">
        <v>0</v>
      </c>
      <c r="AC579" s="655">
        <v>-184</v>
      </c>
      <c r="AD579" s="655">
        <v>38887</v>
      </c>
      <c r="AE579" s="655">
        <v>5311564</v>
      </c>
      <c r="AF579" s="655">
        <v>116299</v>
      </c>
      <c r="AG579" s="655">
        <v>332650</v>
      </c>
      <c r="AH579" s="655">
        <v>0</v>
      </c>
      <c r="AI579" s="655">
        <v>1333622</v>
      </c>
      <c r="AJ579" s="655">
        <v>406751</v>
      </c>
      <c r="AK579" s="655">
        <v>7500886</v>
      </c>
      <c r="AL579" s="655">
        <v>6653812</v>
      </c>
      <c r="AM579" s="655">
        <v>847074</v>
      </c>
    </row>
    <row r="580" spans="1:39" x14ac:dyDescent="0.2">
      <c r="A580" s="648">
        <v>2014</v>
      </c>
      <c r="B580" s="648">
        <v>13</v>
      </c>
      <c r="C580" s="657" t="s">
        <v>320</v>
      </c>
      <c r="D580" s="648">
        <v>5463</v>
      </c>
      <c r="E580" s="648" t="s">
        <v>1266</v>
      </c>
      <c r="F580" s="655">
        <v>7386823</v>
      </c>
      <c r="G580" s="655">
        <v>0</v>
      </c>
      <c r="H580" s="655">
        <v>239282</v>
      </c>
      <c r="I580" s="655">
        <v>857858</v>
      </c>
      <c r="J580" s="655">
        <v>653132</v>
      </c>
      <c r="K580" s="655">
        <v>72118</v>
      </c>
      <c r="L580" s="655">
        <v>88217</v>
      </c>
      <c r="M580" s="655">
        <v>0</v>
      </c>
      <c r="N580" s="655">
        <v>362505</v>
      </c>
      <c r="O580" s="655">
        <v>17372</v>
      </c>
      <c r="P580" s="655">
        <v>60459</v>
      </c>
      <c r="Q580" s="655">
        <v>66868</v>
      </c>
      <c r="R580" s="655">
        <v>0</v>
      </c>
      <c r="S580" s="655">
        <v>37566</v>
      </c>
      <c r="T580" s="655">
        <v>3965</v>
      </c>
      <c r="U580" s="655">
        <v>362100</v>
      </c>
      <c r="V580" s="655">
        <v>133755</v>
      </c>
      <c r="W580" s="655">
        <v>56088</v>
      </c>
      <c r="X580" s="655">
        <v>218981</v>
      </c>
      <c r="Y580" s="655">
        <v>0</v>
      </c>
      <c r="Z580" s="655">
        <v>0</v>
      </c>
      <c r="AA580" s="655">
        <v>0</v>
      </c>
      <c r="AB580" s="655">
        <v>0</v>
      </c>
      <c r="AC580" s="655">
        <v>2640</v>
      </c>
      <c r="AD580" s="655">
        <v>62151</v>
      </c>
      <c r="AE580" s="655">
        <v>10557578</v>
      </c>
      <c r="AF580" s="655">
        <v>183630</v>
      </c>
      <c r="AG580" s="655">
        <v>541454</v>
      </c>
      <c r="AH580" s="655">
        <v>0</v>
      </c>
      <c r="AI580" s="655">
        <v>1559016</v>
      </c>
      <c r="AJ580" s="655">
        <v>1743062</v>
      </c>
      <c r="AK580" s="655">
        <v>14584740</v>
      </c>
      <c r="AL580" s="655">
        <v>13108173</v>
      </c>
      <c r="AM580" s="655">
        <v>1476567</v>
      </c>
    </row>
    <row r="581" spans="1:39" x14ac:dyDescent="0.2">
      <c r="A581" s="648">
        <v>2014</v>
      </c>
      <c r="B581" s="648">
        <v>12</v>
      </c>
      <c r="C581" s="657" t="s">
        <v>321</v>
      </c>
      <c r="D581" s="648">
        <v>5486</v>
      </c>
      <c r="E581" s="648" t="s">
        <v>1267</v>
      </c>
      <c r="F581" s="655">
        <v>2410121</v>
      </c>
      <c r="G581" s="655">
        <v>0</v>
      </c>
      <c r="H581" s="655">
        <v>14704</v>
      </c>
      <c r="I581" s="655">
        <v>480796</v>
      </c>
      <c r="J581" s="655">
        <v>220690</v>
      </c>
      <c r="K581" s="655">
        <v>22151</v>
      </c>
      <c r="L581" s="655">
        <v>20295</v>
      </c>
      <c r="M581" s="655">
        <v>0</v>
      </c>
      <c r="N581" s="655">
        <v>129771</v>
      </c>
      <c r="O581" s="655">
        <v>0</v>
      </c>
      <c r="P581" s="655">
        <v>30826</v>
      </c>
      <c r="Q581" s="655">
        <v>34639</v>
      </c>
      <c r="R581" s="655">
        <v>0</v>
      </c>
      <c r="S581" s="655">
        <v>13019</v>
      </c>
      <c r="T581" s="655">
        <v>1558</v>
      </c>
      <c r="U581" s="655">
        <v>0</v>
      </c>
      <c r="V581" s="655">
        <v>0</v>
      </c>
      <c r="W581" s="655">
        <v>72012</v>
      </c>
      <c r="X581" s="655">
        <v>0</v>
      </c>
      <c r="Y581" s="655">
        <v>116486</v>
      </c>
      <c r="Z581" s="655">
        <v>0</v>
      </c>
      <c r="AA581" s="655">
        <v>0</v>
      </c>
      <c r="AB581" s="655">
        <v>0</v>
      </c>
      <c r="AC581" s="655">
        <v>0</v>
      </c>
      <c r="AD581" s="655">
        <v>24390</v>
      </c>
      <c r="AE581" s="655">
        <v>3309706</v>
      </c>
      <c r="AF581" s="655">
        <v>58150</v>
      </c>
      <c r="AG581" s="655">
        <v>208765</v>
      </c>
      <c r="AH581" s="655">
        <v>0</v>
      </c>
      <c r="AI581" s="655">
        <v>559245</v>
      </c>
      <c r="AJ581" s="655">
        <v>1379331</v>
      </c>
      <c r="AK581" s="655">
        <v>5515197</v>
      </c>
      <c r="AL581" s="655">
        <v>4525802</v>
      </c>
      <c r="AM581" s="655">
        <v>989395</v>
      </c>
    </row>
    <row r="582" spans="1:39" x14ac:dyDescent="0.2">
      <c r="A582" s="648">
        <v>2014</v>
      </c>
      <c r="B582" s="648">
        <v>1</v>
      </c>
      <c r="C582" s="657" t="s">
        <v>322</v>
      </c>
      <c r="D582" s="648">
        <v>5508</v>
      </c>
      <c r="E582" s="648" t="s">
        <v>1268</v>
      </c>
      <c r="F582" s="655">
        <v>1784884</v>
      </c>
      <c r="G582" s="655">
        <v>0</v>
      </c>
      <c r="H582" s="655">
        <v>32564</v>
      </c>
      <c r="I582" s="655">
        <v>221458</v>
      </c>
      <c r="J582" s="655">
        <v>201741</v>
      </c>
      <c r="K582" s="655">
        <v>24763</v>
      </c>
      <c r="L582" s="655">
        <v>17024</v>
      </c>
      <c r="M582" s="655">
        <v>0</v>
      </c>
      <c r="N582" s="655">
        <v>92870</v>
      </c>
      <c r="O582" s="655">
        <v>18164</v>
      </c>
      <c r="P582" s="655">
        <v>14705</v>
      </c>
      <c r="Q582" s="655">
        <v>16419</v>
      </c>
      <c r="R582" s="655">
        <v>0</v>
      </c>
      <c r="S582" s="655">
        <v>9119</v>
      </c>
      <c r="T582" s="655">
        <v>970</v>
      </c>
      <c r="U582" s="655">
        <v>0</v>
      </c>
      <c r="V582" s="655">
        <v>0</v>
      </c>
      <c r="W582" s="655">
        <v>67223</v>
      </c>
      <c r="X582" s="655">
        <v>126153</v>
      </c>
      <c r="Y582" s="655">
        <v>0</v>
      </c>
      <c r="Z582" s="655">
        <v>0</v>
      </c>
      <c r="AA582" s="655">
        <v>0</v>
      </c>
      <c r="AB582" s="655">
        <v>0</v>
      </c>
      <c r="AC582" s="655">
        <v>0</v>
      </c>
      <c r="AD582" s="655">
        <v>21332</v>
      </c>
      <c r="AE582" s="655">
        <v>2606725</v>
      </c>
      <c r="AF582" s="655">
        <v>0</v>
      </c>
      <c r="AG582" s="655">
        <v>157783</v>
      </c>
      <c r="AH582" s="655">
        <v>0</v>
      </c>
      <c r="AI582" s="655">
        <v>708528</v>
      </c>
      <c r="AJ582" s="655">
        <v>280849</v>
      </c>
      <c r="AK582" s="655">
        <v>3753885</v>
      </c>
      <c r="AL582" s="655">
        <v>3028547</v>
      </c>
      <c r="AM582" s="655">
        <v>725338</v>
      </c>
    </row>
    <row r="583" spans="1:39" x14ac:dyDescent="0.2">
      <c r="A583" s="648">
        <v>2014</v>
      </c>
      <c r="B583" s="648">
        <v>12</v>
      </c>
      <c r="C583" s="657" t="s">
        <v>323</v>
      </c>
      <c r="D583" s="648">
        <v>5607</v>
      </c>
      <c r="E583" s="648" t="s">
        <v>1269</v>
      </c>
      <c r="F583" s="655">
        <v>4241305</v>
      </c>
      <c r="G583" s="655">
        <v>0</v>
      </c>
      <c r="H583" s="655">
        <v>151715</v>
      </c>
      <c r="I583" s="655">
        <v>328127</v>
      </c>
      <c r="J583" s="655">
        <v>372405</v>
      </c>
      <c r="K583" s="655">
        <v>39164</v>
      </c>
      <c r="L583" s="655">
        <v>52490</v>
      </c>
      <c r="M583" s="655">
        <v>0</v>
      </c>
      <c r="N583" s="655">
        <v>204453</v>
      </c>
      <c r="O583" s="655">
        <v>0</v>
      </c>
      <c r="P583" s="655">
        <v>63668</v>
      </c>
      <c r="Q583" s="655">
        <v>71542</v>
      </c>
      <c r="R583" s="655">
        <v>0</v>
      </c>
      <c r="S583" s="655">
        <v>20511</v>
      </c>
      <c r="T583" s="655">
        <v>2455</v>
      </c>
      <c r="U583" s="655">
        <v>147143</v>
      </c>
      <c r="V583" s="655">
        <v>0</v>
      </c>
      <c r="W583" s="655">
        <v>16268</v>
      </c>
      <c r="X583" s="655">
        <v>20485</v>
      </c>
      <c r="Y583" s="655">
        <v>0</v>
      </c>
      <c r="Z583" s="655">
        <v>0</v>
      </c>
      <c r="AA583" s="655">
        <v>0</v>
      </c>
      <c r="AB583" s="655">
        <v>0</v>
      </c>
      <c r="AC583" s="655">
        <v>0</v>
      </c>
      <c r="AD583" s="655">
        <v>28717</v>
      </c>
      <c r="AE583" s="655">
        <v>5703014</v>
      </c>
      <c r="AF583" s="655">
        <v>198933</v>
      </c>
      <c r="AG583" s="655">
        <v>313390</v>
      </c>
      <c r="AH583" s="655">
        <v>0</v>
      </c>
      <c r="AI583" s="655">
        <v>1508309</v>
      </c>
      <c r="AJ583" s="655">
        <v>5135079</v>
      </c>
      <c r="AK583" s="655">
        <v>12858725</v>
      </c>
      <c r="AL583" s="655">
        <v>7308203</v>
      </c>
      <c r="AM583" s="655">
        <v>5550522</v>
      </c>
    </row>
    <row r="584" spans="1:39" x14ac:dyDescent="0.2">
      <c r="A584" s="648">
        <v>2014</v>
      </c>
      <c r="B584" s="648">
        <v>11</v>
      </c>
      <c r="C584" s="657" t="s">
        <v>324</v>
      </c>
      <c r="D584" s="648">
        <v>5643</v>
      </c>
      <c r="E584" s="648" t="s">
        <v>1270</v>
      </c>
      <c r="F584" s="655">
        <v>5915334</v>
      </c>
      <c r="G584" s="655">
        <v>0</v>
      </c>
      <c r="H584" s="655">
        <v>67092</v>
      </c>
      <c r="I584" s="655">
        <v>470338</v>
      </c>
      <c r="J584" s="655">
        <v>496759</v>
      </c>
      <c r="K584" s="655">
        <v>62342</v>
      </c>
      <c r="L584" s="655">
        <v>56312</v>
      </c>
      <c r="M584" s="655">
        <v>0</v>
      </c>
      <c r="N584" s="655">
        <v>272359</v>
      </c>
      <c r="O584" s="655">
        <v>0</v>
      </c>
      <c r="P584" s="655">
        <v>48261</v>
      </c>
      <c r="Q584" s="655">
        <v>52956</v>
      </c>
      <c r="R584" s="655">
        <v>0</v>
      </c>
      <c r="S584" s="655">
        <v>22012</v>
      </c>
      <c r="T584" s="655">
        <v>2817</v>
      </c>
      <c r="U584" s="655">
        <v>131614</v>
      </c>
      <c r="V584" s="655">
        <v>13708</v>
      </c>
      <c r="W584" s="655">
        <v>71493</v>
      </c>
      <c r="X584" s="655">
        <v>113988</v>
      </c>
      <c r="Y584" s="655">
        <v>0</v>
      </c>
      <c r="Z584" s="655">
        <v>0</v>
      </c>
      <c r="AA584" s="655">
        <v>0</v>
      </c>
      <c r="AB584" s="655">
        <v>0</v>
      </c>
      <c r="AC584" s="655">
        <v>-6001</v>
      </c>
      <c r="AD584" s="655">
        <v>47283</v>
      </c>
      <c r="AE584" s="655">
        <v>7744101</v>
      </c>
      <c r="AF584" s="655">
        <v>70392</v>
      </c>
      <c r="AG584" s="655">
        <v>437557</v>
      </c>
      <c r="AH584" s="655">
        <v>0</v>
      </c>
      <c r="AI584" s="655">
        <v>1334822</v>
      </c>
      <c r="AJ584" s="655">
        <v>1907872</v>
      </c>
      <c r="AK584" s="655">
        <v>11494744</v>
      </c>
      <c r="AL584" s="655">
        <v>9487141</v>
      </c>
      <c r="AM584" s="655">
        <v>2007603</v>
      </c>
    </row>
    <row r="585" spans="1:39" x14ac:dyDescent="0.2">
      <c r="A585" s="648">
        <v>2014</v>
      </c>
      <c r="B585" s="648">
        <v>7</v>
      </c>
      <c r="C585" s="657" t="s">
        <v>325</v>
      </c>
      <c r="D585" s="648">
        <v>5697</v>
      </c>
      <c r="E585" s="648" t="s">
        <v>1271</v>
      </c>
      <c r="F585" s="655">
        <v>2889724</v>
      </c>
      <c r="G585" s="655">
        <v>0</v>
      </c>
      <c r="H585" s="655">
        <v>33151</v>
      </c>
      <c r="I585" s="655">
        <v>461401</v>
      </c>
      <c r="J585" s="655">
        <v>261270</v>
      </c>
      <c r="K585" s="655">
        <v>29478</v>
      </c>
      <c r="L585" s="655">
        <v>27179</v>
      </c>
      <c r="M585" s="655">
        <v>0</v>
      </c>
      <c r="N585" s="655">
        <v>149161</v>
      </c>
      <c r="O585" s="655">
        <v>8862</v>
      </c>
      <c r="P585" s="655">
        <v>24086</v>
      </c>
      <c r="Q585" s="655">
        <v>26921</v>
      </c>
      <c r="R585" s="655">
        <v>0</v>
      </c>
      <c r="S585" s="655">
        <v>19189</v>
      </c>
      <c r="T585" s="655">
        <v>2201</v>
      </c>
      <c r="U585" s="655">
        <v>50000</v>
      </c>
      <c r="V585" s="655">
        <v>42224</v>
      </c>
      <c r="W585" s="655">
        <v>61810</v>
      </c>
      <c r="X585" s="655">
        <v>9914</v>
      </c>
      <c r="Y585" s="655">
        <v>0</v>
      </c>
      <c r="Z585" s="655">
        <v>0</v>
      </c>
      <c r="AA585" s="655">
        <v>0</v>
      </c>
      <c r="AB585" s="655">
        <v>0</v>
      </c>
      <c r="AC585" s="655">
        <v>0</v>
      </c>
      <c r="AD585" s="655">
        <v>29454</v>
      </c>
      <c r="AE585" s="655">
        <v>4067117</v>
      </c>
      <c r="AF585" s="655">
        <v>52029</v>
      </c>
      <c r="AG585" s="655">
        <v>237622</v>
      </c>
      <c r="AH585" s="655">
        <v>0</v>
      </c>
      <c r="AI585" s="655">
        <v>770183</v>
      </c>
      <c r="AJ585" s="655">
        <v>1371639</v>
      </c>
      <c r="AK585" s="655">
        <v>6498590</v>
      </c>
      <c r="AL585" s="655">
        <v>5321685</v>
      </c>
      <c r="AM585" s="655">
        <v>1176905</v>
      </c>
    </row>
    <row r="586" spans="1:39" x14ac:dyDescent="0.2">
      <c r="A586" s="648">
        <v>2014</v>
      </c>
      <c r="B586" s="648">
        <v>5</v>
      </c>
      <c r="C586" s="657" t="s">
        <v>326</v>
      </c>
      <c r="D586" s="648">
        <v>5724</v>
      </c>
      <c r="E586" s="648" t="s">
        <v>1272</v>
      </c>
      <c r="F586" s="655">
        <v>1496940</v>
      </c>
      <c r="G586" s="655">
        <v>21848</v>
      </c>
      <c r="H586" s="655">
        <v>74534</v>
      </c>
      <c r="I586" s="655">
        <v>143559</v>
      </c>
      <c r="J586" s="655">
        <v>145445</v>
      </c>
      <c r="K586" s="655">
        <v>15900</v>
      </c>
      <c r="L586" s="655">
        <v>17325</v>
      </c>
      <c r="M586" s="655">
        <v>0</v>
      </c>
      <c r="N586" s="655">
        <v>74626</v>
      </c>
      <c r="O586" s="655">
        <v>4346</v>
      </c>
      <c r="P586" s="655">
        <v>12761</v>
      </c>
      <c r="Q586" s="655">
        <v>14345</v>
      </c>
      <c r="R586" s="655">
        <v>1256</v>
      </c>
      <c r="S586" s="655">
        <v>8211</v>
      </c>
      <c r="T586" s="655">
        <v>980</v>
      </c>
      <c r="U586" s="655">
        <v>30454</v>
      </c>
      <c r="V586" s="655">
        <v>0</v>
      </c>
      <c r="W586" s="655">
        <v>90015</v>
      </c>
      <c r="X586" s="655">
        <v>91484</v>
      </c>
      <c r="Y586" s="655">
        <v>0</v>
      </c>
      <c r="Z586" s="655">
        <v>0</v>
      </c>
      <c r="AA586" s="655">
        <v>0</v>
      </c>
      <c r="AB586" s="655">
        <v>0</v>
      </c>
      <c r="AC586" s="655">
        <v>0</v>
      </c>
      <c r="AD586" s="655">
        <v>13144</v>
      </c>
      <c r="AE586" s="655">
        <v>2230885</v>
      </c>
      <c r="AF586" s="655">
        <v>48968</v>
      </c>
      <c r="AG586" s="655">
        <v>125801</v>
      </c>
      <c r="AH586" s="655">
        <v>0</v>
      </c>
      <c r="AI586" s="655">
        <v>469096</v>
      </c>
      <c r="AJ586" s="655">
        <v>128577</v>
      </c>
      <c r="AK586" s="655">
        <v>3003327</v>
      </c>
      <c r="AL586" s="655">
        <v>2765924</v>
      </c>
      <c r="AM586" s="655">
        <v>237403</v>
      </c>
    </row>
    <row r="587" spans="1:39" x14ac:dyDescent="0.2">
      <c r="A587" s="648">
        <v>2014</v>
      </c>
      <c r="B587" s="648">
        <v>7</v>
      </c>
      <c r="C587" s="657" t="s">
        <v>327</v>
      </c>
      <c r="D587" s="648">
        <v>5751</v>
      </c>
      <c r="E587" s="648" t="s">
        <v>1273</v>
      </c>
      <c r="F587" s="655">
        <v>3945759</v>
      </c>
      <c r="G587" s="655">
        <v>0</v>
      </c>
      <c r="H587" s="655">
        <v>27784</v>
      </c>
      <c r="I587" s="655">
        <v>437113</v>
      </c>
      <c r="J587" s="655">
        <v>331631</v>
      </c>
      <c r="K587" s="655">
        <v>39021</v>
      </c>
      <c r="L587" s="655">
        <v>36550</v>
      </c>
      <c r="M587" s="655">
        <v>0</v>
      </c>
      <c r="N587" s="655">
        <v>194260</v>
      </c>
      <c r="O587" s="655">
        <v>0</v>
      </c>
      <c r="P587" s="655">
        <v>32350</v>
      </c>
      <c r="Q587" s="655">
        <v>36157</v>
      </c>
      <c r="R587" s="655">
        <v>0</v>
      </c>
      <c r="S587" s="655">
        <v>24991</v>
      </c>
      <c r="T587" s="655">
        <v>2866</v>
      </c>
      <c r="U587" s="655">
        <v>82258</v>
      </c>
      <c r="V587" s="655">
        <v>0</v>
      </c>
      <c r="W587" s="655">
        <v>36006</v>
      </c>
      <c r="X587" s="655">
        <v>138992</v>
      </c>
      <c r="Y587" s="655">
        <v>0</v>
      </c>
      <c r="Z587" s="655">
        <v>0</v>
      </c>
      <c r="AA587" s="655">
        <v>0</v>
      </c>
      <c r="AB587" s="655">
        <v>0</v>
      </c>
      <c r="AC587" s="655">
        <v>0</v>
      </c>
      <c r="AD587" s="655">
        <v>34964</v>
      </c>
      <c r="AE587" s="655">
        <v>5330774</v>
      </c>
      <c r="AF587" s="655">
        <v>88755</v>
      </c>
      <c r="AG587" s="655">
        <v>327222</v>
      </c>
      <c r="AH587" s="655">
        <v>0</v>
      </c>
      <c r="AI587" s="655">
        <v>736136</v>
      </c>
      <c r="AJ587" s="655">
        <v>2456608</v>
      </c>
      <c r="AK587" s="655">
        <v>8939495</v>
      </c>
      <c r="AL587" s="655">
        <v>6728674</v>
      </c>
      <c r="AM587" s="655">
        <v>2210821</v>
      </c>
    </row>
    <row r="588" spans="1:39" x14ac:dyDescent="0.2">
      <c r="A588" s="648">
        <v>2014</v>
      </c>
      <c r="B588" s="648">
        <v>11</v>
      </c>
      <c r="C588" s="657" t="s">
        <v>328</v>
      </c>
      <c r="D588" s="648">
        <v>5805</v>
      </c>
      <c r="E588" s="648" t="s">
        <v>1274</v>
      </c>
      <c r="F588" s="655">
        <v>7434227</v>
      </c>
      <c r="G588" s="655">
        <v>0</v>
      </c>
      <c r="H588" s="655">
        <v>96641</v>
      </c>
      <c r="I588" s="655">
        <v>1095391</v>
      </c>
      <c r="J588" s="655">
        <v>685116</v>
      </c>
      <c r="K588" s="655">
        <v>73045</v>
      </c>
      <c r="L588" s="655">
        <v>88348</v>
      </c>
      <c r="M588" s="655">
        <v>0</v>
      </c>
      <c r="N588" s="655">
        <v>359804</v>
      </c>
      <c r="O588" s="655">
        <v>5264</v>
      </c>
      <c r="P588" s="655">
        <v>61950</v>
      </c>
      <c r="Q588" s="655">
        <v>67977</v>
      </c>
      <c r="R588" s="655">
        <v>0</v>
      </c>
      <c r="S588" s="655">
        <v>29080</v>
      </c>
      <c r="T588" s="655">
        <v>3721</v>
      </c>
      <c r="U588" s="655">
        <v>364504</v>
      </c>
      <c r="V588" s="655">
        <v>0</v>
      </c>
      <c r="W588" s="655">
        <v>81543</v>
      </c>
      <c r="X588" s="655">
        <v>3463</v>
      </c>
      <c r="Y588" s="655">
        <v>0</v>
      </c>
      <c r="Z588" s="655">
        <v>0</v>
      </c>
      <c r="AA588" s="655">
        <v>0</v>
      </c>
      <c r="AB588" s="655">
        <v>0</v>
      </c>
      <c r="AC588" s="655">
        <v>-1335</v>
      </c>
      <c r="AD588" s="655">
        <v>66136</v>
      </c>
      <c r="AE588" s="655">
        <v>10382603</v>
      </c>
      <c r="AF588" s="655">
        <v>82634</v>
      </c>
      <c r="AG588" s="655">
        <v>638675</v>
      </c>
      <c r="AH588" s="655">
        <v>0</v>
      </c>
      <c r="AI588" s="655">
        <v>3273086</v>
      </c>
      <c r="AJ588" s="655">
        <v>4672409</v>
      </c>
      <c r="AK588" s="655">
        <v>19049407</v>
      </c>
      <c r="AL588" s="655">
        <v>14131259</v>
      </c>
      <c r="AM588" s="655">
        <v>4918148</v>
      </c>
    </row>
    <row r="589" spans="1:39" x14ac:dyDescent="0.2">
      <c r="A589" s="648">
        <v>2014</v>
      </c>
      <c r="B589" s="648">
        <v>5</v>
      </c>
      <c r="C589" s="657" t="s">
        <v>329</v>
      </c>
      <c r="D589" s="648">
        <v>5823</v>
      </c>
      <c r="E589" s="648" t="s">
        <v>650</v>
      </c>
      <c r="F589" s="655">
        <v>2352678</v>
      </c>
      <c r="G589" s="655">
        <v>0</v>
      </c>
      <c r="H589" s="655">
        <v>197119</v>
      </c>
      <c r="I589" s="655">
        <v>193870</v>
      </c>
      <c r="J589" s="655">
        <v>215539</v>
      </c>
      <c r="K589" s="655">
        <v>24242</v>
      </c>
      <c r="L589" s="655">
        <v>20538</v>
      </c>
      <c r="M589" s="655">
        <v>0</v>
      </c>
      <c r="N589" s="655">
        <v>114850</v>
      </c>
      <c r="O589" s="655">
        <v>5917</v>
      </c>
      <c r="P589" s="655">
        <v>19924</v>
      </c>
      <c r="Q589" s="655">
        <v>22397</v>
      </c>
      <c r="R589" s="655">
        <v>1859</v>
      </c>
      <c r="S589" s="655">
        <v>12255</v>
      </c>
      <c r="T589" s="655">
        <v>1461</v>
      </c>
      <c r="U589" s="655">
        <v>77445</v>
      </c>
      <c r="V589" s="655">
        <v>94604</v>
      </c>
      <c r="W589" s="655">
        <v>60610</v>
      </c>
      <c r="X589" s="655">
        <v>183535</v>
      </c>
      <c r="Y589" s="655">
        <v>0</v>
      </c>
      <c r="Z589" s="655">
        <v>0</v>
      </c>
      <c r="AA589" s="655">
        <v>0</v>
      </c>
      <c r="AB589" s="655">
        <v>0</v>
      </c>
      <c r="AC589" s="655">
        <v>0</v>
      </c>
      <c r="AD589" s="655">
        <v>23788</v>
      </c>
      <c r="AE589" s="655">
        <v>3575055</v>
      </c>
      <c r="AF589" s="655">
        <v>52029</v>
      </c>
      <c r="AG589" s="655">
        <v>201484</v>
      </c>
      <c r="AH589" s="655">
        <v>0</v>
      </c>
      <c r="AI589" s="655">
        <v>1146615</v>
      </c>
      <c r="AJ589" s="655">
        <v>-94604</v>
      </c>
      <c r="AK589" s="655">
        <v>4880579</v>
      </c>
      <c r="AL589" s="655">
        <v>4935617</v>
      </c>
      <c r="AM589" s="655">
        <v>-55038</v>
      </c>
    </row>
    <row r="590" spans="1:39" x14ac:dyDescent="0.2">
      <c r="A590" s="648">
        <v>2014</v>
      </c>
      <c r="B590" s="648">
        <v>12</v>
      </c>
      <c r="C590" s="657" t="s">
        <v>330</v>
      </c>
      <c r="D590" s="648">
        <v>5832</v>
      </c>
      <c r="E590" s="648" t="s">
        <v>1275</v>
      </c>
      <c r="F590" s="655">
        <v>1838748</v>
      </c>
      <c r="G590" s="655">
        <v>36528</v>
      </c>
      <c r="H590" s="655">
        <v>65158</v>
      </c>
      <c r="I590" s="655">
        <v>229538</v>
      </c>
      <c r="J590" s="655">
        <v>139193</v>
      </c>
      <c r="K590" s="655">
        <v>11860</v>
      </c>
      <c r="L590" s="655">
        <v>16556</v>
      </c>
      <c r="M590" s="655">
        <v>0</v>
      </c>
      <c r="N590" s="655">
        <v>93162</v>
      </c>
      <c r="O590" s="655">
        <v>2633</v>
      </c>
      <c r="P590" s="655">
        <v>15111</v>
      </c>
      <c r="Q590" s="655">
        <v>16980</v>
      </c>
      <c r="R590" s="655">
        <v>0</v>
      </c>
      <c r="S590" s="655">
        <v>9606</v>
      </c>
      <c r="T590" s="655">
        <v>1151</v>
      </c>
      <c r="U590" s="655">
        <v>0</v>
      </c>
      <c r="V590" s="655">
        <v>0</v>
      </c>
      <c r="W590" s="655">
        <v>40046</v>
      </c>
      <c r="X590" s="655">
        <v>148431</v>
      </c>
      <c r="Y590" s="655">
        <v>0</v>
      </c>
      <c r="Z590" s="655">
        <v>0</v>
      </c>
      <c r="AA590" s="655">
        <v>0</v>
      </c>
      <c r="AB590" s="655">
        <v>0</v>
      </c>
      <c r="AC590" s="655">
        <v>0</v>
      </c>
      <c r="AD590" s="655">
        <v>13977</v>
      </c>
      <c r="AE590" s="655">
        <v>2650724</v>
      </c>
      <c r="AF590" s="655">
        <v>0</v>
      </c>
      <c r="AG590" s="655">
        <v>151729</v>
      </c>
      <c r="AH590" s="655">
        <v>0</v>
      </c>
      <c r="AI590" s="655">
        <v>434996</v>
      </c>
      <c r="AJ590" s="655">
        <v>1833610</v>
      </c>
      <c r="AK590" s="655">
        <v>5071059</v>
      </c>
      <c r="AL590" s="655">
        <v>3277397</v>
      </c>
      <c r="AM590" s="655">
        <v>1793662</v>
      </c>
    </row>
    <row r="591" spans="1:39" x14ac:dyDescent="0.2">
      <c r="A591" s="648">
        <v>2014</v>
      </c>
      <c r="B591" s="648">
        <v>12</v>
      </c>
      <c r="C591" s="657" t="s">
        <v>331</v>
      </c>
      <c r="D591" s="648">
        <v>5877</v>
      </c>
      <c r="E591" s="648" t="s">
        <v>1276</v>
      </c>
      <c r="F591" s="655">
        <v>8219891</v>
      </c>
      <c r="G591" s="655">
        <v>0</v>
      </c>
      <c r="H591" s="655">
        <v>144596</v>
      </c>
      <c r="I591" s="655">
        <v>1013821</v>
      </c>
      <c r="J591" s="655">
        <v>719002</v>
      </c>
      <c r="K591" s="655">
        <v>87571</v>
      </c>
      <c r="L591" s="655">
        <v>84321</v>
      </c>
      <c r="M591" s="655">
        <v>0</v>
      </c>
      <c r="N591" s="655">
        <v>415917</v>
      </c>
      <c r="O591" s="655">
        <v>0</v>
      </c>
      <c r="P591" s="655">
        <v>70266</v>
      </c>
      <c r="Q591" s="655">
        <v>78957</v>
      </c>
      <c r="R591" s="655">
        <v>0</v>
      </c>
      <c r="S591" s="655">
        <v>41726</v>
      </c>
      <c r="T591" s="655">
        <v>4993</v>
      </c>
      <c r="U591" s="655">
        <v>322350</v>
      </c>
      <c r="V591" s="655">
        <v>0</v>
      </c>
      <c r="W591" s="655">
        <v>120989</v>
      </c>
      <c r="X591" s="655">
        <v>391646</v>
      </c>
      <c r="Y591" s="655">
        <v>0</v>
      </c>
      <c r="Z591" s="655">
        <v>0</v>
      </c>
      <c r="AA591" s="655">
        <v>0</v>
      </c>
      <c r="AB591" s="655">
        <v>0</v>
      </c>
      <c r="AC591" s="655">
        <v>0</v>
      </c>
      <c r="AD591" s="655">
        <v>56471</v>
      </c>
      <c r="AE591" s="655">
        <v>11659575</v>
      </c>
      <c r="AF591" s="655">
        <v>235659</v>
      </c>
      <c r="AG591" s="655">
        <v>644193</v>
      </c>
      <c r="AH591" s="655">
        <v>0</v>
      </c>
      <c r="AI591" s="655">
        <v>2881137</v>
      </c>
      <c r="AJ591" s="655">
        <v>2645558</v>
      </c>
      <c r="AK591" s="655">
        <v>18066122</v>
      </c>
      <c r="AL591" s="655">
        <v>15349129</v>
      </c>
      <c r="AM591" s="655">
        <v>2716993</v>
      </c>
    </row>
    <row r="592" spans="1:39" x14ac:dyDescent="0.2">
      <c r="A592" s="648">
        <v>2014</v>
      </c>
      <c r="B592" s="648">
        <v>15</v>
      </c>
      <c r="C592" s="657" t="s">
        <v>332</v>
      </c>
      <c r="D592" s="648">
        <v>5895</v>
      </c>
      <c r="E592" s="648" t="s">
        <v>1277</v>
      </c>
      <c r="F592" s="655">
        <v>1453125</v>
      </c>
      <c r="G592" s="655">
        <v>0</v>
      </c>
      <c r="H592" s="655">
        <v>20016</v>
      </c>
      <c r="I592" s="655">
        <v>88020</v>
      </c>
      <c r="J592" s="655">
        <v>157399</v>
      </c>
      <c r="K592" s="655">
        <v>17306</v>
      </c>
      <c r="L592" s="655">
        <v>17603</v>
      </c>
      <c r="M592" s="655">
        <v>0</v>
      </c>
      <c r="N592" s="655">
        <v>67097</v>
      </c>
      <c r="O592" s="655">
        <v>17329</v>
      </c>
      <c r="P592" s="655">
        <v>11864</v>
      </c>
      <c r="Q592" s="655">
        <v>13028</v>
      </c>
      <c r="R592" s="655">
        <v>0</v>
      </c>
      <c r="S592" s="655">
        <v>6710</v>
      </c>
      <c r="T592" s="655">
        <v>723</v>
      </c>
      <c r="U592" s="655">
        <v>5400</v>
      </c>
      <c r="V592" s="655">
        <v>0</v>
      </c>
      <c r="W592" s="655">
        <v>161594</v>
      </c>
      <c r="X592" s="655">
        <v>14484</v>
      </c>
      <c r="Y592" s="655">
        <v>0</v>
      </c>
      <c r="Z592" s="655">
        <v>0</v>
      </c>
      <c r="AA592" s="655">
        <v>0</v>
      </c>
      <c r="AB592" s="655">
        <v>0</v>
      </c>
      <c r="AC592" s="655">
        <v>0</v>
      </c>
      <c r="AD592" s="655">
        <v>16442</v>
      </c>
      <c r="AE592" s="655">
        <v>2035256</v>
      </c>
      <c r="AF592" s="655">
        <v>0</v>
      </c>
      <c r="AG592" s="655">
        <v>116497</v>
      </c>
      <c r="AH592" s="655">
        <v>0</v>
      </c>
      <c r="AI592" s="655">
        <v>366212</v>
      </c>
      <c r="AJ592" s="655">
        <v>544270</v>
      </c>
      <c r="AK592" s="655">
        <v>3062235</v>
      </c>
      <c r="AL592" s="655">
        <v>2366603</v>
      </c>
      <c r="AM592" s="655">
        <v>695632</v>
      </c>
    </row>
    <row r="593" spans="1:39" x14ac:dyDescent="0.2">
      <c r="A593" s="648">
        <v>2014</v>
      </c>
      <c r="B593" s="648">
        <v>7</v>
      </c>
      <c r="C593" s="657" t="s">
        <v>333</v>
      </c>
      <c r="D593" s="648">
        <v>5922</v>
      </c>
      <c r="E593" s="648" t="s">
        <v>1483</v>
      </c>
      <c r="F593" s="655">
        <v>4379493</v>
      </c>
      <c r="G593" s="655">
        <v>34945</v>
      </c>
      <c r="H593" s="655">
        <v>221347</v>
      </c>
      <c r="I593" s="655">
        <v>614117</v>
      </c>
      <c r="J593" s="655">
        <v>417190</v>
      </c>
      <c r="K593" s="655">
        <v>47921</v>
      </c>
      <c r="L593" s="655">
        <v>37542</v>
      </c>
      <c r="M593" s="655">
        <v>0</v>
      </c>
      <c r="N593" s="655">
        <v>220254</v>
      </c>
      <c r="O593" s="655">
        <v>22268</v>
      </c>
      <c r="P593" s="655">
        <v>37238</v>
      </c>
      <c r="Q593" s="655">
        <v>41620</v>
      </c>
      <c r="R593" s="655">
        <v>0</v>
      </c>
      <c r="S593" s="655">
        <v>28573</v>
      </c>
      <c r="T593" s="655">
        <v>3279</v>
      </c>
      <c r="U593" s="655">
        <v>125523</v>
      </c>
      <c r="V593" s="655">
        <v>0</v>
      </c>
      <c r="W593" s="655">
        <v>19203</v>
      </c>
      <c r="X593" s="655">
        <v>61416</v>
      </c>
      <c r="Y593" s="655">
        <v>0</v>
      </c>
      <c r="Z593" s="655">
        <v>0</v>
      </c>
      <c r="AA593" s="655">
        <v>0</v>
      </c>
      <c r="AB593" s="655">
        <v>0</v>
      </c>
      <c r="AC593" s="655">
        <v>0</v>
      </c>
      <c r="AD593" s="655">
        <v>44215</v>
      </c>
      <c r="AE593" s="655">
        <v>6267714</v>
      </c>
      <c r="AF593" s="655">
        <v>119360</v>
      </c>
      <c r="AG593" s="655">
        <v>372446</v>
      </c>
      <c r="AH593" s="655">
        <v>0</v>
      </c>
      <c r="AI593" s="655">
        <v>640609</v>
      </c>
      <c r="AJ593" s="655">
        <v>2053293</v>
      </c>
      <c r="AK593" s="655">
        <v>9453422</v>
      </c>
      <c r="AL593" s="655">
        <v>7250364</v>
      </c>
      <c r="AM593" s="655">
        <v>2203058</v>
      </c>
    </row>
    <row r="594" spans="1:39" x14ac:dyDescent="0.2">
      <c r="A594" s="648">
        <v>2014</v>
      </c>
      <c r="B594" s="648">
        <v>12</v>
      </c>
      <c r="C594" s="657" t="s">
        <v>334</v>
      </c>
      <c r="D594" s="648">
        <v>5949</v>
      </c>
      <c r="E594" s="648" t="s">
        <v>1278</v>
      </c>
      <c r="F594" s="655">
        <v>6012658</v>
      </c>
      <c r="G594" s="655">
        <v>0</v>
      </c>
      <c r="H594" s="655">
        <v>155112</v>
      </c>
      <c r="I594" s="655">
        <v>822785</v>
      </c>
      <c r="J594" s="655">
        <v>498203</v>
      </c>
      <c r="K594" s="655">
        <v>52288</v>
      </c>
      <c r="L594" s="655">
        <v>61787</v>
      </c>
      <c r="M594" s="655">
        <v>0</v>
      </c>
      <c r="N594" s="655">
        <v>307891</v>
      </c>
      <c r="O594" s="655">
        <v>0</v>
      </c>
      <c r="P594" s="655">
        <v>61804</v>
      </c>
      <c r="Q594" s="655">
        <v>69448</v>
      </c>
      <c r="R594" s="655">
        <v>0</v>
      </c>
      <c r="S594" s="655">
        <v>30888</v>
      </c>
      <c r="T594" s="655">
        <v>3696</v>
      </c>
      <c r="U594" s="655">
        <v>265265</v>
      </c>
      <c r="V594" s="655">
        <v>0</v>
      </c>
      <c r="W594" s="655">
        <v>178366</v>
      </c>
      <c r="X594" s="655">
        <v>21328</v>
      </c>
      <c r="Y594" s="655">
        <v>0</v>
      </c>
      <c r="Z594" s="655">
        <v>0</v>
      </c>
      <c r="AA594" s="655">
        <v>0</v>
      </c>
      <c r="AB594" s="655">
        <v>0</v>
      </c>
      <c r="AC594" s="655">
        <v>0</v>
      </c>
      <c r="AD594" s="655">
        <v>53257</v>
      </c>
      <c r="AE594" s="655">
        <v>8488262</v>
      </c>
      <c r="AF594" s="655">
        <v>229538</v>
      </c>
      <c r="AG594" s="655">
        <v>458586</v>
      </c>
      <c r="AH594" s="655">
        <v>0</v>
      </c>
      <c r="AI594" s="655">
        <v>931222</v>
      </c>
      <c r="AJ594" s="655">
        <v>2479167</v>
      </c>
      <c r="AK594" s="655">
        <v>12586775</v>
      </c>
      <c r="AL594" s="655">
        <v>10836093</v>
      </c>
      <c r="AM594" s="655">
        <v>1750682</v>
      </c>
    </row>
    <row r="595" spans="1:39" x14ac:dyDescent="0.2">
      <c r="A595" s="648">
        <v>2014</v>
      </c>
      <c r="B595" s="648">
        <v>13</v>
      </c>
      <c r="C595" s="657" t="s">
        <v>335</v>
      </c>
      <c r="D595" s="648">
        <v>5976</v>
      </c>
      <c r="E595" s="648" t="s">
        <v>1279</v>
      </c>
      <c r="F595" s="655">
        <v>6037142</v>
      </c>
      <c r="G595" s="655">
        <v>0</v>
      </c>
      <c r="H595" s="655">
        <v>101443</v>
      </c>
      <c r="I595" s="655">
        <v>735071</v>
      </c>
      <c r="J595" s="655">
        <v>551174</v>
      </c>
      <c r="K595" s="655">
        <v>59365</v>
      </c>
      <c r="L595" s="655">
        <v>70215</v>
      </c>
      <c r="M595" s="655">
        <v>0</v>
      </c>
      <c r="N595" s="655">
        <v>297763</v>
      </c>
      <c r="O595" s="655">
        <v>4392</v>
      </c>
      <c r="P595" s="655">
        <v>49539</v>
      </c>
      <c r="Q595" s="655">
        <v>54791</v>
      </c>
      <c r="R595" s="655">
        <v>0</v>
      </c>
      <c r="S595" s="655">
        <v>30581</v>
      </c>
      <c r="T595" s="655">
        <v>3231</v>
      </c>
      <c r="U595" s="655">
        <v>179389</v>
      </c>
      <c r="V595" s="655">
        <v>0</v>
      </c>
      <c r="W595" s="655">
        <v>42007</v>
      </c>
      <c r="X595" s="655">
        <v>221868</v>
      </c>
      <c r="Y595" s="655">
        <v>0</v>
      </c>
      <c r="Z595" s="655">
        <v>0</v>
      </c>
      <c r="AA595" s="655">
        <v>0</v>
      </c>
      <c r="AB595" s="655">
        <v>0</v>
      </c>
      <c r="AC595" s="655">
        <v>0</v>
      </c>
      <c r="AD595" s="655">
        <v>47477</v>
      </c>
      <c r="AE595" s="655">
        <v>8390494</v>
      </c>
      <c r="AF595" s="655">
        <v>0</v>
      </c>
      <c r="AG595" s="655">
        <v>429120</v>
      </c>
      <c r="AH595" s="655">
        <v>0</v>
      </c>
      <c r="AI595" s="655">
        <v>1192437</v>
      </c>
      <c r="AJ595" s="655">
        <v>2443543</v>
      </c>
      <c r="AK595" s="655">
        <v>12455594</v>
      </c>
      <c r="AL595" s="655">
        <v>10161862</v>
      </c>
      <c r="AM595" s="655">
        <v>2293732</v>
      </c>
    </row>
    <row r="596" spans="1:39" x14ac:dyDescent="0.2">
      <c r="A596" s="648">
        <v>2014</v>
      </c>
      <c r="B596" s="648">
        <v>12</v>
      </c>
      <c r="C596" s="657" t="s">
        <v>336</v>
      </c>
      <c r="D596" s="648">
        <v>5994</v>
      </c>
      <c r="E596" s="648" t="s">
        <v>1280</v>
      </c>
      <c r="F596" s="655">
        <v>4644620</v>
      </c>
      <c r="G596" s="655">
        <v>0</v>
      </c>
      <c r="H596" s="655">
        <v>190484</v>
      </c>
      <c r="I596" s="655">
        <v>352268</v>
      </c>
      <c r="J596" s="655">
        <v>419224</v>
      </c>
      <c r="K596" s="655">
        <v>42248</v>
      </c>
      <c r="L596" s="655">
        <v>48704</v>
      </c>
      <c r="M596" s="655">
        <v>0</v>
      </c>
      <c r="N596" s="655">
        <v>223979</v>
      </c>
      <c r="O596" s="655">
        <v>20305</v>
      </c>
      <c r="P596" s="655">
        <v>38785</v>
      </c>
      <c r="Q596" s="655">
        <v>43582</v>
      </c>
      <c r="R596" s="655">
        <v>0</v>
      </c>
      <c r="S596" s="655">
        <v>22470</v>
      </c>
      <c r="T596" s="655">
        <v>2689</v>
      </c>
      <c r="U596" s="655">
        <v>82410</v>
      </c>
      <c r="V596" s="655">
        <v>0</v>
      </c>
      <c r="W596" s="655">
        <v>107150</v>
      </c>
      <c r="X596" s="655">
        <v>126748</v>
      </c>
      <c r="Y596" s="655">
        <v>0</v>
      </c>
      <c r="Z596" s="655">
        <v>0</v>
      </c>
      <c r="AA596" s="655">
        <v>0</v>
      </c>
      <c r="AB596" s="655">
        <v>0</v>
      </c>
      <c r="AC596" s="655">
        <v>0</v>
      </c>
      <c r="AD596" s="655">
        <v>43971</v>
      </c>
      <c r="AE596" s="655">
        <v>6321695</v>
      </c>
      <c r="AF596" s="655">
        <v>131602</v>
      </c>
      <c r="AG596" s="655">
        <v>252686</v>
      </c>
      <c r="AH596" s="655">
        <v>0</v>
      </c>
      <c r="AI596" s="655">
        <v>881430</v>
      </c>
      <c r="AJ596" s="655">
        <v>756411</v>
      </c>
      <c r="AK596" s="655">
        <v>8343824</v>
      </c>
      <c r="AL596" s="655">
        <v>7835832</v>
      </c>
      <c r="AM596" s="655">
        <v>507992</v>
      </c>
    </row>
    <row r="597" spans="1:39" x14ac:dyDescent="0.2">
      <c r="A597" s="648">
        <v>2014</v>
      </c>
      <c r="B597" s="648">
        <v>13</v>
      </c>
      <c r="C597" s="657" t="s">
        <v>337</v>
      </c>
      <c r="D597" s="648">
        <v>6003</v>
      </c>
      <c r="E597" s="648" t="s">
        <v>1281</v>
      </c>
      <c r="F597" s="655">
        <v>2006718</v>
      </c>
      <c r="G597" s="655">
        <v>84261</v>
      </c>
      <c r="H597" s="655">
        <v>165505</v>
      </c>
      <c r="I597" s="655">
        <v>368593</v>
      </c>
      <c r="J597" s="655">
        <v>202565</v>
      </c>
      <c r="K597" s="655">
        <v>21199</v>
      </c>
      <c r="L597" s="655">
        <v>22490</v>
      </c>
      <c r="M597" s="655">
        <v>0</v>
      </c>
      <c r="N597" s="655">
        <v>104234</v>
      </c>
      <c r="O597" s="655">
        <v>10058</v>
      </c>
      <c r="P597" s="655">
        <v>16379</v>
      </c>
      <c r="Q597" s="655">
        <v>18116</v>
      </c>
      <c r="R597" s="655">
        <v>0</v>
      </c>
      <c r="S597" s="655">
        <v>11120</v>
      </c>
      <c r="T597" s="655">
        <v>1174</v>
      </c>
      <c r="U597" s="655">
        <v>59921</v>
      </c>
      <c r="V597" s="655">
        <v>0</v>
      </c>
      <c r="W597" s="655">
        <v>36006</v>
      </c>
      <c r="X597" s="655">
        <v>346499</v>
      </c>
      <c r="Y597" s="655">
        <v>0</v>
      </c>
      <c r="Z597" s="655">
        <v>0</v>
      </c>
      <c r="AA597" s="655">
        <v>0</v>
      </c>
      <c r="AB597" s="655">
        <v>0</v>
      </c>
      <c r="AC597" s="655">
        <v>0</v>
      </c>
      <c r="AD597" s="655">
        <v>18229</v>
      </c>
      <c r="AE597" s="655">
        <v>3456609</v>
      </c>
      <c r="AF597" s="655">
        <v>36726</v>
      </c>
      <c r="AG597" s="655">
        <v>165877</v>
      </c>
      <c r="AH597" s="655">
        <v>0</v>
      </c>
      <c r="AI597" s="655">
        <v>1150465</v>
      </c>
      <c r="AJ597" s="655">
        <v>1119948</v>
      </c>
      <c r="AK597" s="655">
        <v>5929625</v>
      </c>
      <c r="AL597" s="655">
        <v>4703312</v>
      </c>
      <c r="AM597" s="655">
        <v>1226313</v>
      </c>
    </row>
    <row r="598" spans="1:39" x14ac:dyDescent="0.2">
      <c r="A598" s="648">
        <v>2014</v>
      </c>
      <c r="B598" s="648">
        <v>15</v>
      </c>
      <c r="C598" s="657" t="s">
        <v>338</v>
      </c>
      <c r="D598" s="648">
        <v>6012</v>
      </c>
      <c r="E598" s="648" t="s">
        <v>1282</v>
      </c>
      <c r="F598" s="655">
        <v>3248370</v>
      </c>
      <c r="G598" s="655">
        <v>126651</v>
      </c>
      <c r="H598" s="655">
        <v>146851</v>
      </c>
      <c r="I598" s="655">
        <v>326614</v>
      </c>
      <c r="J598" s="655">
        <v>311438</v>
      </c>
      <c r="K598" s="655">
        <v>32265</v>
      </c>
      <c r="L598" s="655">
        <v>33338</v>
      </c>
      <c r="M598" s="655">
        <v>0</v>
      </c>
      <c r="N598" s="655">
        <v>155441</v>
      </c>
      <c r="O598" s="655">
        <v>18716</v>
      </c>
      <c r="P598" s="655">
        <v>26532</v>
      </c>
      <c r="Q598" s="655">
        <v>29134</v>
      </c>
      <c r="R598" s="655">
        <v>0</v>
      </c>
      <c r="S598" s="655">
        <v>16105</v>
      </c>
      <c r="T598" s="655">
        <v>1733</v>
      </c>
      <c r="U598" s="655">
        <v>71985</v>
      </c>
      <c r="V598" s="655">
        <v>0</v>
      </c>
      <c r="W598" s="655">
        <v>17774</v>
      </c>
      <c r="X598" s="655">
        <v>150319</v>
      </c>
      <c r="Y598" s="655">
        <v>0</v>
      </c>
      <c r="Z598" s="655">
        <v>0</v>
      </c>
      <c r="AA598" s="655">
        <v>0</v>
      </c>
      <c r="AB598" s="655">
        <v>0</v>
      </c>
      <c r="AC598" s="655">
        <v>-541</v>
      </c>
      <c r="AD598" s="655">
        <v>32703</v>
      </c>
      <c r="AE598" s="655">
        <v>4680022</v>
      </c>
      <c r="AF598" s="655">
        <v>58150</v>
      </c>
      <c r="AG598" s="655">
        <v>253532</v>
      </c>
      <c r="AH598" s="655">
        <v>0</v>
      </c>
      <c r="AI598" s="655">
        <v>833978</v>
      </c>
      <c r="AJ598" s="655">
        <v>1562062</v>
      </c>
      <c r="AK598" s="655">
        <v>7387744</v>
      </c>
      <c r="AL598" s="655">
        <v>5690166</v>
      </c>
      <c r="AM598" s="655">
        <v>1697578</v>
      </c>
    </row>
    <row r="599" spans="1:39" x14ac:dyDescent="0.2">
      <c r="A599" s="648">
        <v>2014</v>
      </c>
      <c r="B599" s="648">
        <v>12</v>
      </c>
      <c r="C599" s="657" t="s">
        <v>339</v>
      </c>
      <c r="D599" s="648">
        <v>6030</v>
      </c>
      <c r="E599" s="648" t="s">
        <v>1283</v>
      </c>
      <c r="F599" s="655">
        <v>6498054</v>
      </c>
      <c r="G599" s="655">
        <v>0</v>
      </c>
      <c r="H599" s="655">
        <v>181371</v>
      </c>
      <c r="I599" s="655">
        <v>767329</v>
      </c>
      <c r="J599" s="655">
        <v>565843</v>
      </c>
      <c r="K599" s="655">
        <v>73633</v>
      </c>
      <c r="L599" s="655">
        <v>77189</v>
      </c>
      <c r="M599" s="655">
        <v>0</v>
      </c>
      <c r="N599" s="655">
        <v>327257</v>
      </c>
      <c r="O599" s="655">
        <v>0</v>
      </c>
      <c r="P599" s="655">
        <v>82506</v>
      </c>
      <c r="Q599" s="655">
        <v>92711</v>
      </c>
      <c r="R599" s="655">
        <v>0</v>
      </c>
      <c r="S599" s="655">
        <v>32831</v>
      </c>
      <c r="T599" s="655">
        <v>3929</v>
      </c>
      <c r="U599" s="655">
        <v>318533</v>
      </c>
      <c r="V599" s="655">
        <v>0</v>
      </c>
      <c r="W599" s="655">
        <v>360037</v>
      </c>
      <c r="X599" s="655">
        <v>265755</v>
      </c>
      <c r="Y599" s="655">
        <v>0</v>
      </c>
      <c r="Z599" s="655">
        <v>0</v>
      </c>
      <c r="AA599" s="655">
        <v>0</v>
      </c>
      <c r="AB599" s="655">
        <v>0</v>
      </c>
      <c r="AC599" s="655">
        <v>0</v>
      </c>
      <c r="AD599" s="655">
        <v>48328</v>
      </c>
      <c r="AE599" s="655">
        <v>9598650</v>
      </c>
      <c r="AF599" s="655">
        <v>0</v>
      </c>
      <c r="AG599" s="655">
        <v>498465</v>
      </c>
      <c r="AH599" s="655">
        <v>0</v>
      </c>
      <c r="AI599" s="655">
        <v>1415124</v>
      </c>
      <c r="AJ599" s="655">
        <v>1042355</v>
      </c>
      <c r="AK599" s="655">
        <v>12554594</v>
      </c>
      <c r="AL599" s="655">
        <v>11435415</v>
      </c>
      <c r="AM599" s="655">
        <v>1119179</v>
      </c>
    </row>
    <row r="600" spans="1:39" x14ac:dyDescent="0.2">
      <c r="A600" s="648">
        <v>2014</v>
      </c>
      <c r="B600" s="648">
        <v>12</v>
      </c>
      <c r="C600" s="657" t="s">
        <v>340</v>
      </c>
      <c r="D600" s="648">
        <v>6039</v>
      </c>
      <c r="E600" s="648" t="s">
        <v>1284</v>
      </c>
      <c r="F600" s="655">
        <v>85264918</v>
      </c>
      <c r="G600" s="655">
        <v>0</v>
      </c>
      <c r="H600" s="655">
        <v>2721323</v>
      </c>
      <c r="I600" s="655">
        <v>13134870</v>
      </c>
      <c r="J600" s="655">
        <v>7116507</v>
      </c>
      <c r="K600" s="655">
        <v>852928</v>
      </c>
      <c r="L600" s="655">
        <v>1081796</v>
      </c>
      <c r="M600" s="655">
        <v>0</v>
      </c>
      <c r="N600" s="655">
        <v>4432251</v>
      </c>
      <c r="O600" s="655">
        <v>0</v>
      </c>
      <c r="P600" s="655">
        <v>767185</v>
      </c>
      <c r="Q600" s="655">
        <v>862075</v>
      </c>
      <c r="R600" s="655">
        <v>0</v>
      </c>
      <c r="S600" s="655">
        <v>444656</v>
      </c>
      <c r="T600" s="655">
        <v>53211</v>
      </c>
      <c r="U600" s="655">
        <v>3134749</v>
      </c>
      <c r="V600" s="655">
        <v>507541</v>
      </c>
      <c r="W600" s="655">
        <v>1937174</v>
      </c>
      <c r="X600" s="655">
        <v>379843</v>
      </c>
      <c r="Y600" s="655">
        <v>0</v>
      </c>
      <c r="Z600" s="655">
        <v>0</v>
      </c>
      <c r="AA600" s="655">
        <v>0</v>
      </c>
      <c r="AB600" s="655">
        <v>0</v>
      </c>
      <c r="AC600" s="655">
        <v>-10922</v>
      </c>
      <c r="AD600" s="655">
        <v>680000</v>
      </c>
      <c r="AE600" s="655">
        <v>122000105</v>
      </c>
      <c r="AF600" s="655">
        <v>2117807</v>
      </c>
      <c r="AG600" s="655">
        <v>3917283</v>
      </c>
      <c r="AH600" s="655">
        <v>0</v>
      </c>
      <c r="AI600" s="655">
        <v>17333145</v>
      </c>
      <c r="AJ600" s="655">
        <v>20018231</v>
      </c>
      <c r="AK600" s="655">
        <v>165386571</v>
      </c>
      <c r="AL600" s="655">
        <v>149019795</v>
      </c>
      <c r="AM600" s="655">
        <v>16366776</v>
      </c>
    </row>
    <row r="601" spans="1:39" x14ac:dyDescent="0.2">
      <c r="A601" s="648">
        <v>2014</v>
      </c>
      <c r="B601" s="648">
        <v>5</v>
      </c>
      <c r="C601" s="657" t="s">
        <v>341</v>
      </c>
      <c r="D601" s="648">
        <v>6035</v>
      </c>
      <c r="E601" s="648" t="s">
        <v>651</v>
      </c>
      <c r="F601" s="655">
        <v>2964302</v>
      </c>
      <c r="G601" s="655">
        <v>62234</v>
      </c>
      <c r="H601" s="655">
        <v>70601</v>
      </c>
      <c r="I601" s="655">
        <v>472595</v>
      </c>
      <c r="J601" s="655">
        <v>317574</v>
      </c>
      <c r="K601" s="655">
        <v>36416</v>
      </c>
      <c r="L601" s="655">
        <v>32466</v>
      </c>
      <c r="M601" s="655">
        <v>0</v>
      </c>
      <c r="N601" s="655">
        <v>156318</v>
      </c>
      <c r="O601" s="655">
        <v>0</v>
      </c>
      <c r="P601" s="655">
        <v>24564</v>
      </c>
      <c r="Q601" s="655">
        <v>27613</v>
      </c>
      <c r="R601" s="655">
        <v>2470</v>
      </c>
      <c r="S601" s="655">
        <v>16680</v>
      </c>
      <c r="T601" s="655">
        <v>1988</v>
      </c>
      <c r="U601" s="655">
        <v>145316</v>
      </c>
      <c r="V601" s="655">
        <v>0</v>
      </c>
      <c r="W601" s="655">
        <v>76946</v>
      </c>
      <c r="X601" s="655">
        <v>180733</v>
      </c>
      <c r="Y601" s="655">
        <v>0</v>
      </c>
      <c r="Z601" s="655">
        <v>0</v>
      </c>
      <c r="AA601" s="655">
        <v>0</v>
      </c>
      <c r="AB601" s="655">
        <v>0</v>
      </c>
      <c r="AC601" s="655">
        <v>0</v>
      </c>
      <c r="AD601" s="655">
        <v>29208</v>
      </c>
      <c r="AE601" s="655">
        <v>4559608</v>
      </c>
      <c r="AF601" s="655">
        <v>110178</v>
      </c>
      <c r="AG601" s="655">
        <v>0</v>
      </c>
      <c r="AH601" s="655">
        <v>0</v>
      </c>
      <c r="AI601" s="655">
        <v>1995732</v>
      </c>
      <c r="AJ601" s="655">
        <v>2208273</v>
      </c>
      <c r="AK601" s="655">
        <v>8873791</v>
      </c>
      <c r="AL601" s="655">
        <v>6361863</v>
      </c>
      <c r="AM601" s="655">
        <v>2511928</v>
      </c>
    </row>
    <row r="602" spans="1:39" x14ac:dyDescent="0.2">
      <c r="A602" s="648">
        <v>2014</v>
      </c>
      <c r="B602" s="648">
        <v>5</v>
      </c>
      <c r="C602" s="657" t="s">
        <v>1871</v>
      </c>
      <c r="D602" s="648">
        <v>6091</v>
      </c>
      <c r="E602" s="648" t="s">
        <v>1639</v>
      </c>
      <c r="F602" s="655">
        <v>5793956</v>
      </c>
      <c r="G602" s="655">
        <v>155281</v>
      </c>
      <c r="H602" s="655">
        <v>565470</v>
      </c>
      <c r="I602" s="655">
        <v>581267</v>
      </c>
      <c r="J602" s="655">
        <v>568663</v>
      </c>
      <c r="K602" s="655">
        <v>57413</v>
      </c>
      <c r="L602" s="655">
        <v>60386</v>
      </c>
      <c r="M602" s="655">
        <v>0</v>
      </c>
      <c r="N602" s="655">
        <v>289107</v>
      </c>
      <c r="O602" s="655">
        <v>7975</v>
      </c>
      <c r="P602" s="655">
        <v>48019</v>
      </c>
      <c r="Q602" s="655">
        <v>53978</v>
      </c>
      <c r="R602" s="655">
        <v>4739</v>
      </c>
      <c r="S602" s="655">
        <v>31532</v>
      </c>
      <c r="T602" s="655">
        <v>3761</v>
      </c>
      <c r="U602" s="655">
        <v>261784</v>
      </c>
      <c r="V602" s="287">
        <v>84150</v>
      </c>
      <c r="W602" s="287">
        <v>72012</v>
      </c>
      <c r="X602" s="287">
        <v>193968</v>
      </c>
      <c r="Y602" s="287">
        <v>0</v>
      </c>
      <c r="Z602" s="287">
        <v>0</v>
      </c>
      <c r="AA602" s="659">
        <v>309706</v>
      </c>
      <c r="AB602" s="287">
        <v>0</v>
      </c>
      <c r="AC602" s="655">
        <v>0</v>
      </c>
      <c r="AD602" s="655">
        <v>55189</v>
      </c>
      <c r="AE602" s="655">
        <v>9087978</v>
      </c>
      <c r="AF602" s="655">
        <v>162207</v>
      </c>
      <c r="AG602" s="655">
        <v>493361</v>
      </c>
      <c r="AH602" s="655">
        <v>0</v>
      </c>
      <c r="AI602" s="655">
        <v>1584465</v>
      </c>
      <c r="AJ602" s="655">
        <v>2756059</v>
      </c>
      <c r="AK602" s="655">
        <v>14084070</v>
      </c>
      <c r="AL602" s="287">
        <v>10229069</v>
      </c>
      <c r="AM602" s="655">
        <v>3855001</v>
      </c>
    </row>
    <row r="603" spans="1:39" x14ac:dyDescent="0.2">
      <c r="A603" s="648">
        <v>2014</v>
      </c>
      <c r="B603" s="648">
        <v>10</v>
      </c>
      <c r="C603" s="657" t="s">
        <v>342</v>
      </c>
      <c r="D603" s="648">
        <v>6093</v>
      </c>
      <c r="E603" s="648" t="s">
        <v>1285</v>
      </c>
      <c r="F603" s="655">
        <v>7705727</v>
      </c>
      <c r="G603" s="655">
        <v>0</v>
      </c>
      <c r="H603" s="655">
        <v>62814</v>
      </c>
      <c r="I603" s="655">
        <v>605244</v>
      </c>
      <c r="J603" s="655">
        <v>632421</v>
      </c>
      <c r="K603" s="655">
        <v>64770</v>
      </c>
      <c r="L603" s="655">
        <v>57796</v>
      </c>
      <c r="M603" s="655">
        <v>0</v>
      </c>
      <c r="N603" s="655">
        <v>364116</v>
      </c>
      <c r="O603" s="655">
        <v>0</v>
      </c>
      <c r="P603" s="655">
        <v>63852</v>
      </c>
      <c r="Q603" s="655">
        <v>70125</v>
      </c>
      <c r="R603" s="655">
        <v>0</v>
      </c>
      <c r="S603" s="655">
        <v>33768</v>
      </c>
      <c r="T603" s="655">
        <v>3924</v>
      </c>
      <c r="U603" s="655">
        <v>29599</v>
      </c>
      <c r="V603" s="655">
        <v>35492</v>
      </c>
      <c r="W603" s="655">
        <v>39607</v>
      </c>
      <c r="X603" s="655">
        <v>311469</v>
      </c>
      <c r="Y603" s="655">
        <v>0</v>
      </c>
      <c r="Z603" s="655">
        <v>0</v>
      </c>
      <c r="AA603" s="655">
        <v>0</v>
      </c>
      <c r="AB603" s="655">
        <v>0</v>
      </c>
      <c r="AC603" s="655">
        <v>4921</v>
      </c>
      <c r="AD603" s="655">
        <v>48951</v>
      </c>
      <c r="AE603" s="655">
        <v>10036694</v>
      </c>
      <c r="AF603" s="655">
        <v>156086</v>
      </c>
      <c r="AG603" s="655">
        <v>569145</v>
      </c>
      <c r="AH603" s="655">
        <v>0</v>
      </c>
      <c r="AI603" s="655">
        <v>1977217</v>
      </c>
      <c r="AJ603" s="655">
        <v>4089254</v>
      </c>
      <c r="AK603" s="655">
        <v>16828396</v>
      </c>
      <c r="AL603" s="655">
        <v>12589293</v>
      </c>
      <c r="AM603" s="655">
        <v>4239103</v>
      </c>
    </row>
    <row r="604" spans="1:39" x14ac:dyDescent="0.2">
      <c r="A604" s="648">
        <v>2014</v>
      </c>
      <c r="B604" s="648">
        <v>11</v>
      </c>
      <c r="C604" s="657" t="s">
        <v>343</v>
      </c>
      <c r="D604" s="648">
        <v>6094</v>
      </c>
      <c r="E604" s="648" t="s">
        <v>1286</v>
      </c>
      <c r="F604" s="655">
        <v>3370223</v>
      </c>
      <c r="G604" s="655">
        <v>0</v>
      </c>
      <c r="H604" s="655">
        <v>93866</v>
      </c>
      <c r="I604" s="655">
        <v>525365</v>
      </c>
      <c r="J604" s="655">
        <v>296906</v>
      </c>
      <c r="K604" s="655">
        <v>31131</v>
      </c>
      <c r="L604" s="655">
        <v>29567</v>
      </c>
      <c r="M604" s="655">
        <v>0</v>
      </c>
      <c r="N604" s="655">
        <v>166153</v>
      </c>
      <c r="O604" s="655">
        <v>0</v>
      </c>
      <c r="P604" s="655">
        <v>27728</v>
      </c>
      <c r="Q604" s="655">
        <v>30425</v>
      </c>
      <c r="R604" s="655">
        <v>0</v>
      </c>
      <c r="S604" s="655">
        <v>13429</v>
      </c>
      <c r="T604" s="655">
        <v>1718</v>
      </c>
      <c r="U604" s="655">
        <v>165208</v>
      </c>
      <c r="V604" s="655">
        <v>0</v>
      </c>
      <c r="W604" s="655">
        <v>162783</v>
      </c>
      <c r="X604" s="655">
        <v>116880</v>
      </c>
      <c r="Y604" s="655">
        <v>0</v>
      </c>
      <c r="Z604" s="655">
        <v>0</v>
      </c>
      <c r="AA604" s="655">
        <v>0</v>
      </c>
      <c r="AB604" s="655">
        <v>0</v>
      </c>
      <c r="AC604" s="655">
        <v>0</v>
      </c>
      <c r="AD604" s="655">
        <v>26643</v>
      </c>
      <c r="AE604" s="655">
        <v>5004739</v>
      </c>
      <c r="AF604" s="655">
        <v>107118</v>
      </c>
      <c r="AG604" s="655">
        <v>233994</v>
      </c>
      <c r="AH604" s="655">
        <v>0</v>
      </c>
      <c r="AI604" s="655">
        <v>533772</v>
      </c>
      <c r="AJ604" s="655">
        <v>1701260</v>
      </c>
      <c r="AK604" s="655">
        <v>7580883</v>
      </c>
      <c r="AL604" s="655">
        <v>6044964</v>
      </c>
      <c r="AM604" s="655">
        <v>1535919</v>
      </c>
    </row>
    <row r="605" spans="1:39" x14ac:dyDescent="0.2">
      <c r="A605" s="648">
        <v>2014</v>
      </c>
      <c r="B605" s="648">
        <v>5</v>
      </c>
      <c r="C605" s="657" t="s">
        <v>344</v>
      </c>
      <c r="D605" s="648">
        <v>6095</v>
      </c>
      <c r="E605" s="648" t="s">
        <v>1287</v>
      </c>
      <c r="F605" s="655">
        <v>4095001</v>
      </c>
      <c r="G605" s="655">
        <v>45185</v>
      </c>
      <c r="H605" s="655">
        <v>90043</v>
      </c>
      <c r="I605" s="655">
        <v>373453</v>
      </c>
      <c r="J605" s="655">
        <v>393693</v>
      </c>
      <c r="K605" s="655">
        <v>46759</v>
      </c>
      <c r="L605" s="655">
        <v>43859</v>
      </c>
      <c r="M605" s="655">
        <v>0</v>
      </c>
      <c r="N605" s="655">
        <v>201691</v>
      </c>
      <c r="O605" s="655">
        <v>10194</v>
      </c>
      <c r="P605" s="655">
        <v>33391</v>
      </c>
      <c r="Q605" s="655">
        <v>37535</v>
      </c>
      <c r="R605" s="655">
        <v>3329</v>
      </c>
      <c r="S605" s="655">
        <v>21803</v>
      </c>
      <c r="T605" s="655">
        <v>2602</v>
      </c>
      <c r="U605" s="655">
        <v>0</v>
      </c>
      <c r="V605" s="655">
        <v>0</v>
      </c>
      <c r="W605" s="655">
        <v>72012</v>
      </c>
      <c r="X605" s="655">
        <v>164950</v>
      </c>
      <c r="Y605" s="655">
        <v>0</v>
      </c>
      <c r="Z605" s="655">
        <v>0</v>
      </c>
      <c r="AA605" s="655">
        <v>0</v>
      </c>
      <c r="AB605" s="655">
        <v>0</v>
      </c>
      <c r="AC605" s="655">
        <v>0</v>
      </c>
      <c r="AD605" s="655">
        <v>35146</v>
      </c>
      <c r="AE605" s="655">
        <v>5600354</v>
      </c>
      <c r="AF605" s="655">
        <v>91815</v>
      </c>
      <c r="AG605" s="655">
        <v>332499</v>
      </c>
      <c r="AH605" s="655">
        <v>0</v>
      </c>
      <c r="AI605" s="655">
        <v>1379350</v>
      </c>
      <c r="AJ605" s="655">
        <v>1414149</v>
      </c>
      <c r="AK605" s="655">
        <v>8818167</v>
      </c>
      <c r="AL605" s="655">
        <v>7803100</v>
      </c>
      <c r="AM605" s="655">
        <v>1015067</v>
      </c>
    </row>
    <row r="606" spans="1:39" x14ac:dyDescent="0.2">
      <c r="A606" s="648">
        <v>2014</v>
      </c>
      <c r="B606" s="648">
        <v>5</v>
      </c>
      <c r="C606" s="657" t="s">
        <v>1469</v>
      </c>
      <c r="D606" s="648">
        <v>6096</v>
      </c>
      <c r="E606" s="648" t="s">
        <v>980</v>
      </c>
      <c r="F606" s="655">
        <v>3303750</v>
      </c>
      <c r="G606" s="655">
        <v>63698</v>
      </c>
      <c r="H606" s="655">
        <v>147925</v>
      </c>
      <c r="I606" s="655">
        <v>433188</v>
      </c>
      <c r="J606" s="655">
        <v>314885</v>
      </c>
      <c r="K606" s="655">
        <v>36719</v>
      </c>
      <c r="L606" s="655">
        <v>38051</v>
      </c>
      <c r="M606" s="655">
        <v>0</v>
      </c>
      <c r="N606" s="655">
        <v>166865</v>
      </c>
      <c r="O606" s="655">
        <v>5178</v>
      </c>
      <c r="P606" s="655">
        <v>27137</v>
      </c>
      <c r="Q606" s="655">
        <v>30505</v>
      </c>
      <c r="R606" s="655">
        <v>2735</v>
      </c>
      <c r="S606" s="655">
        <v>17914</v>
      </c>
      <c r="T606" s="655">
        <v>2138</v>
      </c>
      <c r="U606" s="655">
        <v>106222</v>
      </c>
      <c r="V606" s="655">
        <v>0</v>
      </c>
      <c r="W606" s="655">
        <v>96076</v>
      </c>
      <c r="X606" s="655">
        <v>214862</v>
      </c>
      <c r="Y606" s="655">
        <v>0</v>
      </c>
      <c r="Z606" s="655">
        <v>0</v>
      </c>
      <c r="AA606" s="655">
        <v>0</v>
      </c>
      <c r="AB606" s="655">
        <v>0</v>
      </c>
      <c r="AC606" s="655">
        <v>4138</v>
      </c>
      <c r="AD606" s="655">
        <v>32474</v>
      </c>
      <c r="AE606" s="655">
        <v>4979512</v>
      </c>
      <c r="AF606" s="655">
        <v>113239</v>
      </c>
      <c r="AG606" s="655">
        <v>275626</v>
      </c>
      <c r="AH606" s="655">
        <v>0</v>
      </c>
      <c r="AI606" s="655">
        <v>1068782</v>
      </c>
      <c r="AJ606" s="655">
        <v>863407</v>
      </c>
      <c r="AK606" s="655">
        <v>7300566</v>
      </c>
      <c r="AL606" s="655">
        <v>6515897</v>
      </c>
      <c r="AM606" s="655">
        <v>784669</v>
      </c>
    </row>
    <row r="607" spans="1:39" x14ac:dyDescent="0.2">
      <c r="A607" s="648">
        <v>2014</v>
      </c>
      <c r="B607" s="648">
        <v>13</v>
      </c>
      <c r="C607" s="657" t="s">
        <v>345</v>
      </c>
      <c r="D607" s="648">
        <v>6097</v>
      </c>
      <c r="E607" s="648" t="s">
        <v>1288</v>
      </c>
      <c r="F607" s="655">
        <v>1319688</v>
      </c>
      <c r="G607" s="655">
        <v>2824</v>
      </c>
      <c r="H607" s="655">
        <v>98762</v>
      </c>
      <c r="I607" s="655">
        <v>288115</v>
      </c>
      <c r="J607" s="655">
        <v>134323</v>
      </c>
      <c r="K607" s="655">
        <v>13376</v>
      </c>
      <c r="L607" s="655">
        <v>10681</v>
      </c>
      <c r="M607" s="655">
        <v>0</v>
      </c>
      <c r="N607" s="655">
        <v>70692</v>
      </c>
      <c r="O607" s="655">
        <v>8556</v>
      </c>
      <c r="P607" s="655">
        <v>10970</v>
      </c>
      <c r="Q607" s="655">
        <v>12133</v>
      </c>
      <c r="R607" s="655">
        <v>0</v>
      </c>
      <c r="S607" s="655">
        <v>7260</v>
      </c>
      <c r="T607" s="655">
        <v>767</v>
      </c>
      <c r="U607" s="655">
        <v>15750</v>
      </c>
      <c r="V607" s="655">
        <v>0</v>
      </c>
      <c r="W607" s="655">
        <v>60010</v>
      </c>
      <c r="X607" s="655">
        <v>135749</v>
      </c>
      <c r="Y607" s="655">
        <v>0</v>
      </c>
      <c r="Z607" s="655">
        <v>0</v>
      </c>
      <c r="AA607" s="655">
        <v>0</v>
      </c>
      <c r="AB607" s="655">
        <v>0</v>
      </c>
      <c r="AC607" s="655">
        <v>2160</v>
      </c>
      <c r="AD607" s="655">
        <v>15658</v>
      </c>
      <c r="AE607" s="655">
        <v>2176158</v>
      </c>
      <c r="AF607" s="655">
        <v>15303</v>
      </c>
      <c r="AG607" s="655">
        <v>108552</v>
      </c>
      <c r="AH607" s="655">
        <v>0</v>
      </c>
      <c r="AI607" s="655">
        <v>419416</v>
      </c>
      <c r="AJ607" s="655">
        <v>430002</v>
      </c>
      <c r="AK607" s="655">
        <v>3149431</v>
      </c>
      <c r="AL607" s="655">
        <v>2718601</v>
      </c>
      <c r="AM607" s="655">
        <v>430830</v>
      </c>
    </row>
    <row r="608" spans="1:39" x14ac:dyDescent="0.2">
      <c r="A608" s="648">
        <v>2014</v>
      </c>
      <c r="B608" s="648">
        <v>7</v>
      </c>
      <c r="C608" s="657" t="s">
        <v>346</v>
      </c>
      <c r="D608" s="648">
        <v>6098</v>
      </c>
      <c r="E608" s="648" t="s">
        <v>1289</v>
      </c>
      <c r="F608" s="655">
        <v>8978142</v>
      </c>
      <c r="G608" s="655">
        <v>0</v>
      </c>
      <c r="H608" s="655">
        <v>234291</v>
      </c>
      <c r="I608" s="655">
        <v>1639647</v>
      </c>
      <c r="J608" s="655">
        <v>798808</v>
      </c>
      <c r="K608" s="655">
        <v>82501</v>
      </c>
      <c r="L608" s="655">
        <v>104782</v>
      </c>
      <c r="M608" s="655">
        <v>0</v>
      </c>
      <c r="N608" s="655">
        <v>471066</v>
      </c>
      <c r="O608" s="655">
        <v>7364</v>
      </c>
      <c r="P608" s="655">
        <v>73821</v>
      </c>
      <c r="Q608" s="655">
        <v>82509</v>
      </c>
      <c r="R608" s="655">
        <v>0</v>
      </c>
      <c r="S608" s="655">
        <v>60601</v>
      </c>
      <c r="T608" s="655">
        <v>6951</v>
      </c>
      <c r="U608" s="655">
        <v>165051</v>
      </c>
      <c r="V608" s="655">
        <v>67154</v>
      </c>
      <c r="W608" s="655">
        <v>190590</v>
      </c>
      <c r="X608" s="655">
        <v>0</v>
      </c>
      <c r="Y608" s="655">
        <v>0</v>
      </c>
      <c r="Z608" s="655">
        <v>0</v>
      </c>
      <c r="AA608" s="655">
        <v>0</v>
      </c>
      <c r="AB608" s="655">
        <v>0</v>
      </c>
      <c r="AC608" s="655">
        <v>-10597</v>
      </c>
      <c r="AD608" s="655">
        <v>75549</v>
      </c>
      <c r="AE608" s="655">
        <v>12877132</v>
      </c>
      <c r="AF608" s="655">
        <v>284627</v>
      </c>
      <c r="AG608" s="655">
        <v>601715</v>
      </c>
      <c r="AH608" s="655">
        <v>0</v>
      </c>
      <c r="AI608" s="655">
        <v>1428060</v>
      </c>
      <c r="AJ608" s="655">
        <v>2698620</v>
      </c>
      <c r="AK608" s="655">
        <v>17890154</v>
      </c>
      <c r="AL608" s="655">
        <v>14953086</v>
      </c>
      <c r="AM608" s="655">
        <v>2937068</v>
      </c>
    </row>
    <row r="609" spans="1:39" x14ac:dyDescent="0.2">
      <c r="A609" s="648">
        <v>2014</v>
      </c>
      <c r="B609" s="648">
        <v>1</v>
      </c>
      <c r="C609" s="657" t="s">
        <v>347</v>
      </c>
      <c r="D609" s="648">
        <v>6100</v>
      </c>
      <c r="E609" s="648" t="s">
        <v>1290</v>
      </c>
      <c r="F609" s="655">
        <v>3509781</v>
      </c>
      <c r="G609" s="655">
        <v>130462</v>
      </c>
      <c r="H609" s="655">
        <v>98181</v>
      </c>
      <c r="I609" s="655">
        <v>531548</v>
      </c>
      <c r="J609" s="655">
        <v>322630</v>
      </c>
      <c r="K609" s="655">
        <v>37207</v>
      </c>
      <c r="L609" s="655">
        <v>26823</v>
      </c>
      <c r="M609" s="655">
        <v>0</v>
      </c>
      <c r="N609" s="655">
        <v>187066</v>
      </c>
      <c r="O609" s="655">
        <v>6469</v>
      </c>
      <c r="P609" s="655">
        <v>37166</v>
      </c>
      <c r="Q609" s="655">
        <v>41498</v>
      </c>
      <c r="R609" s="655">
        <v>0</v>
      </c>
      <c r="S609" s="655">
        <v>18987</v>
      </c>
      <c r="T609" s="655">
        <v>2018</v>
      </c>
      <c r="U609" s="655">
        <v>127125</v>
      </c>
      <c r="V609" s="655">
        <v>0</v>
      </c>
      <c r="W609" s="655">
        <v>37353</v>
      </c>
      <c r="X609" s="655">
        <v>188635</v>
      </c>
      <c r="Y609" s="655">
        <v>0</v>
      </c>
      <c r="Z609" s="655">
        <v>0</v>
      </c>
      <c r="AA609" s="655">
        <v>0</v>
      </c>
      <c r="AB609" s="655">
        <v>0</v>
      </c>
      <c r="AC609" s="655">
        <v>-12002</v>
      </c>
      <c r="AD609" s="655">
        <v>37693</v>
      </c>
      <c r="AE609" s="655">
        <v>5253254</v>
      </c>
      <c r="AF609" s="655">
        <v>159146</v>
      </c>
      <c r="AG609" s="655">
        <v>292129</v>
      </c>
      <c r="AH609" s="655">
        <v>0</v>
      </c>
      <c r="AI609" s="655">
        <v>993269</v>
      </c>
      <c r="AJ609" s="655">
        <v>1659681</v>
      </c>
      <c r="AK609" s="655">
        <v>8357479</v>
      </c>
      <c r="AL609" s="655">
        <v>6972013</v>
      </c>
      <c r="AM609" s="655">
        <v>1385466</v>
      </c>
    </row>
    <row r="610" spans="1:39" x14ac:dyDescent="0.2">
      <c r="A610" s="648">
        <v>2014</v>
      </c>
      <c r="B610" s="648">
        <v>11</v>
      </c>
      <c r="C610" s="657" t="s">
        <v>348</v>
      </c>
      <c r="D610" s="648">
        <v>6101</v>
      </c>
      <c r="E610" s="648" t="s">
        <v>1291</v>
      </c>
      <c r="F610" s="655">
        <v>39172564</v>
      </c>
      <c r="G610" s="655">
        <v>0</v>
      </c>
      <c r="H610" s="655">
        <v>586196</v>
      </c>
      <c r="I610" s="655">
        <v>4037962</v>
      </c>
      <c r="J610" s="655">
        <v>3159212</v>
      </c>
      <c r="K610" s="655">
        <v>362095</v>
      </c>
      <c r="L610" s="655">
        <v>355567</v>
      </c>
      <c r="M610" s="655">
        <v>0</v>
      </c>
      <c r="N610" s="655">
        <v>1842995</v>
      </c>
      <c r="O610" s="655">
        <v>0</v>
      </c>
      <c r="P610" s="655">
        <v>331734</v>
      </c>
      <c r="Q610" s="655">
        <v>364005</v>
      </c>
      <c r="R610" s="655">
        <v>0</v>
      </c>
      <c r="S610" s="655">
        <v>148953</v>
      </c>
      <c r="T610" s="655">
        <v>19060</v>
      </c>
      <c r="U610" s="655">
        <v>1251254</v>
      </c>
      <c r="V610" s="655">
        <v>168237</v>
      </c>
      <c r="W610" s="655">
        <v>1377959</v>
      </c>
      <c r="X610" s="655">
        <v>1261106</v>
      </c>
      <c r="Y610" s="655">
        <v>0</v>
      </c>
      <c r="Z610" s="655">
        <v>0</v>
      </c>
      <c r="AA610" s="655">
        <v>0</v>
      </c>
      <c r="AB610" s="655">
        <v>0</v>
      </c>
      <c r="AC610" s="655">
        <v>-66191</v>
      </c>
      <c r="AD610" s="655">
        <v>198481</v>
      </c>
      <c r="AE610" s="655">
        <v>54174227</v>
      </c>
      <c r="AF610" s="655">
        <v>765185</v>
      </c>
      <c r="AG610" s="655">
        <v>2483149</v>
      </c>
      <c r="AH610" s="655">
        <v>0</v>
      </c>
      <c r="AI610" s="655">
        <v>7859291</v>
      </c>
      <c r="AJ610" s="655">
        <v>1878141</v>
      </c>
      <c r="AK610" s="655">
        <v>67159993</v>
      </c>
      <c r="AL610" s="655">
        <v>64877557</v>
      </c>
      <c r="AM610" s="655">
        <v>2282436</v>
      </c>
    </row>
    <row r="611" spans="1:39" x14ac:dyDescent="0.2">
      <c r="A611" s="648">
        <v>2014</v>
      </c>
      <c r="B611" s="648">
        <v>5</v>
      </c>
      <c r="C611" s="657" t="s">
        <v>349</v>
      </c>
      <c r="D611" s="648">
        <v>6102</v>
      </c>
      <c r="E611" s="648" t="s">
        <v>1292</v>
      </c>
      <c r="F611" s="655">
        <v>11793331</v>
      </c>
      <c r="G611" s="655">
        <v>0</v>
      </c>
      <c r="H611" s="655">
        <v>300143</v>
      </c>
      <c r="I611" s="655">
        <v>1732794</v>
      </c>
      <c r="J611" s="655">
        <v>1032056</v>
      </c>
      <c r="K611" s="655">
        <v>125467</v>
      </c>
      <c r="L611" s="655">
        <v>121787</v>
      </c>
      <c r="M611" s="655">
        <v>0</v>
      </c>
      <c r="N611" s="655">
        <v>616708</v>
      </c>
      <c r="O611" s="655">
        <v>0</v>
      </c>
      <c r="P611" s="655">
        <v>105520</v>
      </c>
      <c r="Q611" s="655">
        <v>118616</v>
      </c>
      <c r="R611" s="655">
        <v>9821</v>
      </c>
      <c r="S611" s="655">
        <v>65808</v>
      </c>
      <c r="T611" s="655">
        <v>7845</v>
      </c>
      <c r="U611" s="655">
        <v>578106</v>
      </c>
      <c r="V611" s="655">
        <v>61922</v>
      </c>
      <c r="W611" s="655">
        <v>90807</v>
      </c>
      <c r="X611" s="655">
        <v>857485</v>
      </c>
      <c r="Y611" s="655">
        <v>0</v>
      </c>
      <c r="Z611" s="655">
        <v>0</v>
      </c>
      <c r="AA611" s="655">
        <v>0</v>
      </c>
      <c r="AB611" s="655">
        <v>0</v>
      </c>
      <c r="AC611" s="655">
        <v>0</v>
      </c>
      <c r="AD611" s="655">
        <v>101066</v>
      </c>
      <c r="AE611" s="655">
        <v>17517150</v>
      </c>
      <c r="AF611" s="655">
        <v>296989</v>
      </c>
      <c r="AG611" s="655">
        <v>621379</v>
      </c>
      <c r="AH611" s="655">
        <v>0</v>
      </c>
      <c r="AI611" s="655">
        <v>2513838</v>
      </c>
      <c r="AJ611" s="655">
        <v>7039893</v>
      </c>
      <c r="AK611" s="655">
        <v>27989249</v>
      </c>
      <c r="AL611" s="655">
        <v>21207554</v>
      </c>
      <c r="AM611" s="655">
        <v>6781695</v>
      </c>
    </row>
    <row r="612" spans="1:39" x14ac:dyDescent="0.2">
      <c r="A612" s="648">
        <v>2014</v>
      </c>
      <c r="B612" s="648">
        <v>5</v>
      </c>
      <c r="C612" s="657" t="s">
        <v>350</v>
      </c>
      <c r="D612" s="648">
        <v>6120</v>
      </c>
      <c r="E612" s="648" t="s">
        <v>1293</v>
      </c>
      <c r="F612" s="655">
        <v>7143819</v>
      </c>
      <c r="G612" s="655">
        <v>118483</v>
      </c>
      <c r="H612" s="655">
        <v>235340</v>
      </c>
      <c r="I612" s="655">
        <v>670372</v>
      </c>
      <c r="J612" s="655">
        <v>623184</v>
      </c>
      <c r="K612" s="655">
        <v>74348</v>
      </c>
      <c r="L612" s="655">
        <v>69831</v>
      </c>
      <c r="M612" s="655">
        <v>0</v>
      </c>
      <c r="N612" s="655">
        <v>356279</v>
      </c>
      <c r="O612" s="655">
        <v>4991</v>
      </c>
      <c r="P612" s="655">
        <v>58964</v>
      </c>
      <c r="Q612" s="655">
        <v>66282</v>
      </c>
      <c r="R612" s="655">
        <v>5891</v>
      </c>
      <c r="S612" s="655">
        <v>38580</v>
      </c>
      <c r="T612" s="655">
        <v>4605</v>
      </c>
      <c r="U612" s="655">
        <v>249353</v>
      </c>
      <c r="V612" s="655">
        <v>0</v>
      </c>
      <c r="W612" s="655">
        <v>84014</v>
      </c>
      <c r="X612" s="655">
        <v>266953</v>
      </c>
      <c r="Y612" s="655">
        <v>0</v>
      </c>
      <c r="Z612" s="655">
        <v>0</v>
      </c>
      <c r="AA612" s="655">
        <v>0</v>
      </c>
      <c r="AB612" s="655">
        <v>0</v>
      </c>
      <c r="AC612" s="655">
        <v>0</v>
      </c>
      <c r="AD612" s="655">
        <v>56032</v>
      </c>
      <c r="AE612" s="655">
        <v>10015257</v>
      </c>
      <c r="AF612" s="655">
        <v>159146</v>
      </c>
      <c r="AG612" s="655">
        <v>657747</v>
      </c>
      <c r="AH612" s="655">
        <v>0</v>
      </c>
      <c r="AI612" s="655">
        <v>2677458</v>
      </c>
      <c r="AJ612" s="655">
        <v>1485776</v>
      </c>
      <c r="AK612" s="655">
        <v>14995384</v>
      </c>
      <c r="AL612" s="655">
        <v>13152245</v>
      </c>
      <c r="AM612" s="655">
        <v>1843139</v>
      </c>
    </row>
    <row r="613" spans="1:39" x14ac:dyDescent="0.2">
      <c r="A613" s="648">
        <v>2014</v>
      </c>
      <c r="B613" s="648">
        <v>10</v>
      </c>
      <c r="C613" s="657" t="s">
        <v>351</v>
      </c>
      <c r="D613" s="648">
        <v>6138</v>
      </c>
      <c r="E613" s="648" t="s">
        <v>1294</v>
      </c>
      <c r="F613" s="655">
        <v>2323451</v>
      </c>
      <c r="G613" s="655">
        <v>38576</v>
      </c>
      <c r="H613" s="655">
        <v>66030</v>
      </c>
      <c r="I613" s="655">
        <v>257244</v>
      </c>
      <c r="J613" s="655">
        <v>218396</v>
      </c>
      <c r="K613" s="655">
        <v>20472</v>
      </c>
      <c r="L613" s="655">
        <v>18420</v>
      </c>
      <c r="M613" s="655">
        <v>0</v>
      </c>
      <c r="N613" s="655">
        <v>112294</v>
      </c>
      <c r="O613" s="655">
        <v>16691</v>
      </c>
      <c r="P613" s="655">
        <v>19231</v>
      </c>
      <c r="Q613" s="655">
        <v>21120</v>
      </c>
      <c r="R613" s="655">
        <v>0</v>
      </c>
      <c r="S613" s="655">
        <v>10414</v>
      </c>
      <c r="T613" s="655">
        <v>1210</v>
      </c>
      <c r="U613" s="655">
        <v>16560</v>
      </c>
      <c r="V613" s="655">
        <v>0</v>
      </c>
      <c r="W613" s="655">
        <v>117020</v>
      </c>
      <c r="X613" s="655">
        <v>68701</v>
      </c>
      <c r="Y613" s="655">
        <v>0</v>
      </c>
      <c r="Z613" s="655">
        <v>0</v>
      </c>
      <c r="AA613" s="655">
        <v>0</v>
      </c>
      <c r="AB613" s="655">
        <v>0</v>
      </c>
      <c r="AC613" s="655">
        <v>0</v>
      </c>
      <c r="AD613" s="655">
        <v>21853</v>
      </c>
      <c r="AE613" s="655">
        <v>3303977</v>
      </c>
      <c r="AF613" s="655">
        <v>52029</v>
      </c>
      <c r="AG613" s="655">
        <v>177884</v>
      </c>
      <c r="AH613" s="655">
        <v>0</v>
      </c>
      <c r="AI613" s="655">
        <v>579670</v>
      </c>
      <c r="AJ613" s="655">
        <v>1673583</v>
      </c>
      <c r="AK613" s="655">
        <v>5787143</v>
      </c>
      <c r="AL613" s="655">
        <v>4337281</v>
      </c>
      <c r="AM613" s="655">
        <v>1449862</v>
      </c>
    </row>
    <row r="614" spans="1:39" x14ac:dyDescent="0.2">
      <c r="A614" s="648">
        <v>2014</v>
      </c>
      <c r="B614" s="648">
        <v>13</v>
      </c>
      <c r="C614" s="657" t="s">
        <v>352</v>
      </c>
      <c r="D614" s="648">
        <v>6165</v>
      </c>
      <c r="E614" s="648" t="s">
        <v>1295</v>
      </c>
      <c r="F614" s="655">
        <v>1114022</v>
      </c>
      <c r="G614" s="655">
        <v>0</v>
      </c>
      <c r="H614" s="655">
        <v>40956</v>
      </c>
      <c r="I614" s="655">
        <v>149597</v>
      </c>
      <c r="J614" s="655">
        <v>112645</v>
      </c>
      <c r="K614" s="655">
        <v>14043</v>
      </c>
      <c r="L614" s="655">
        <v>11027</v>
      </c>
      <c r="M614" s="655">
        <v>0</v>
      </c>
      <c r="N614" s="655">
        <v>55559</v>
      </c>
      <c r="O614" s="655">
        <v>6388</v>
      </c>
      <c r="P614" s="655">
        <v>9116</v>
      </c>
      <c r="Q614" s="655">
        <v>10083</v>
      </c>
      <c r="R614" s="655">
        <v>0</v>
      </c>
      <c r="S614" s="655">
        <v>5706</v>
      </c>
      <c r="T614" s="655">
        <v>603</v>
      </c>
      <c r="U614" s="655">
        <v>0</v>
      </c>
      <c r="V614" s="655">
        <v>0</v>
      </c>
      <c r="W614" s="655">
        <v>48008</v>
      </c>
      <c r="X614" s="655">
        <v>81003</v>
      </c>
      <c r="Y614" s="655">
        <v>0</v>
      </c>
      <c r="Z614" s="655">
        <v>0</v>
      </c>
      <c r="AA614" s="655">
        <v>0</v>
      </c>
      <c r="AB614" s="655">
        <v>0</v>
      </c>
      <c r="AC614" s="655">
        <v>0</v>
      </c>
      <c r="AD614" s="655">
        <v>12066</v>
      </c>
      <c r="AE614" s="655">
        <v>1646690</v>
      </c>
      <c r="AF614" s="655">
        <v>36726</v>
      </c>
      <c r="AG614" s="655">
        <v>88531</v>
      </c>
      <c r="AH614" s="655">
        <v>0</v>
      </c>
      <c r="AI614" s="655">
        <v>571056</v>
      </c>
      <c r="AJ614" s="655">
        <v>469310</v>
      </c>
      <c r="AK614" s="655">
        <v>2812313</v>
      </c>
      <c r="AL614" s="655">
        <v>2484474</v>
      </c>
      <c r="AM614" s="655">
        <v>327839</v>
      </c>
    </row>
    <row r="615" spans="1:39" x14ac:dyDescent="0.2">
      <c r="A615" s="648">
        <v>2014</v>
      </c>
      <c r="B615" s="648">
        <v>1</v>
      </c>
      <c r="C615" s="657" t="s">
        <v>353</v>
      </c>
      <c r="D615" s="648">
        <v>6175</v>
      </c>
      <c r="E615" s="648" t="s">
        <v>1296</v>
      </c>
      <c r="F615" s="655">
        <v>3895725</v>
      </c>
      <c r="G615" s="655">
        <v>0</v>
      </c>
      <c r="H615" s="655">
        <v>36436</v>
      </c>
      <c r="I615" s="655">
        <v>566629</v>
      </c>
      <c r="J615" s="655">
        <v>370402</v>
      </c>
      <c r="K615" s="655">
        <v>41002</v>
      </c>
      <c r="L615" s="655">
        <v>45472</v>
      </c>
      <c r="M615" s="655">
        <v>0</v>
      </c>
      <c r="N615" s="655">
        <v>206083</v>
      </c>
      <c r="O615" s="655">
        <v>11150</v>
      </c>
      <c r="P615" s="655">
        <v>31979</v>
      </c>
      <c r="Q615" s="655">
        <v>35706</v>
      </c>
      <c r="R615" s="655">
        <v>0</v>
      </c>
      <c r="S615" s="655">
        <v>20235</v>
      </c>
      <c r="T615" s="655">
        <v>2153</v>
      </c>
      <c r="U615" s="655">
        <v>111545</v>
      </c>
      <c r="V615" s="655">
        <v>54456</v>
      </c>
      <c r="W615" s="655">
        <v>49208</v>
      </c>
      <c r="X615" s="655">
        <v>131923</v>
      </c>
      <c r="Y615" s="655">
        <v>0</v>
      </c>
      <c r="Z615" s="655">
        <v>0</v>
      </c>
      <c r="AA615" s="655">
        <v>0</v>
      </c>
      <c r="AB615" s="655">
        <v>0</v>
      </c>
      <c r="AC615" s="655">
        <v>-662</v>
      </c>
      <c r="AD615" s="655">
        <v>41746</v>
      </c>
      <c r="AE615" s="655">
        <v>5567696</v>
      </c>
      <c r="AF615" s="655">
        <v>119360</v>
      </c>
      <c r="AG615" s="655">
        <v>300672</v>
      </c>
      <c r="AH615" s="655">
        <v>0</v>
      </c>
      <c r="AI615" s="655">
        <v>1303903</v>
      </c>
      <c r="AJ615" s="655">
        <v>-54456</v>
      </c>
      <c r="AK615" s="655">
        <v>7237175</v>
      </c>
      <c r="AL615" s="655">
        <v>7227513</v>
      </c>
      <c r="AM615" s="655">
        <v>9662</v>
      </c>
    </row>
    <row r="616" spans="1:39" x14ac:dyDescent="0.2">
      <c r="A616" s="648">
        <v>2014</v>
      </c>
      <c r="B616" s="648">
        <v>5</v>
      </c>
      <c r="C616" s="657" t="s">
        <v>354</v>
      </c>
      <c r="D616" s="648">
        <v>6219</v>
      </c>
      <c r="E616" s="648" t="s">
        <v>1297</v>
      </c>
      <c r="F616" s="655">
        <v>13275225</v>
      </c>
      <c r="G616" s="655">
        <v>0</v>
      </c>
      <c r="H616" s="655">
        <v>1476752</v>
      </c>
      <c r="I616" s="655">
        <v>1198308</v>
      </c>
      <c r="J616" s="655">
        <v>1114633</v>
      </c>
      <c r="K616" s="655">
        <v>128740</v>
      </c>
      <c r="L616" s="655">
        <v>167475</v>
      </c>
      <c r="M616" s="655">
        <v>0</v>
      </c>
      <c r="N616" s="655">
        <v>659904</v>
      </c>
      <c r="O616" s="655">
        <v>0</v>
      </c>
      <c r="P616" s="655">
        <v>121056</v>
      </c>
      <c r="Q616" s="655">
        <v>136080</v>
      </c>
      <c r="R616" s="655">
        <v>10627</v>
      </c>
      <c r="S616" s="655">
        <v>70417</v>
      </c>
      <c r="T616" s="655">
        <v>8394</v>
      </c>
      <c r="U616" s="655">
        <v>624189</v>
      </c>
      <c r="V616" s="655">
        <v>0</v>
      </c>
      <c r="W616" s="655">
        <v>708322</v>
      </c>
      <c r="X616" s="655">
        <v>643480</v>
      </c>
      <c r="Y616" s="655">
        <v>0</v>
      </c>
      <c r="Z616" s="655">
        <v>0</v>
      </c>
      <c r="AA616" s="655">
        <v>0</v>
      </c>
      <c r="AB616" s="655">
        <v>0</v>
      </c>
      <c r="AC616" s="655">
        <v>-3961</v>
      </c>
      <c r="AD616" s="655">
        <v>89007</v>
      </c>
      <c r="AE616" s="655">
        <v>20250634</v>
      </c>
      <c r="AF616" s="655">
        <v>269324</v>
      </c>
      <c r="AG616" s="655">
        <v>325774</v>
      </c>
      <c r="AH616" s="655">
        <v>0</v>
      </c>
      <c r="AI616" s="655">
        <v>3838596</v>
      </c>
      <c r="AJ616" s="655">
        <v>9544159</v>
      </c>
      <c r="AK616" s="655">
        <v>34228487</v>
      </c>
      <c r="AL616" s="655">
        <v>23171083</v>
      </c>
      <c r="AM616" s="655">
        <v>11057404</v>
      </c>
    </row>
    <row r="617" spans="1:39" x14ac:dyDescent="0.2">
      <c r="A617" s="648">
        <v>2014</v>
      </c>
      <c r="B617" s="648">
        <v>5</v>
      </c>
      <c r="C617" s="657" t="s">
        <v>355</v>
      </c>
      <c r="D617" s="648">
        <v>6246</v>
      </c>
      <c r="E617" s="648" t="s">
        <v>1298</v>
      </c>
      <c r="F617" s="655">
        <v>1009249</v>
      </c>
      <c r="G617" s="655">
        <v>16863</v>
      </c>
      <c r="H617" s="655">
        <v>61166</v>
      </c>
      <c r="I617" s="655">
        <v>118868</v>
      </c>
      <c r="J617" s="655">
        <v>81590</v>
      </c>
      <c r="K617" s="655">
        <v>7794</v>
      </c>
      <c r="L617" s="655">
        <v>8944</v>
      </c>
      <c r="M617" s="655">
        <v>0</v>
      </c>
      <c r="N617" s="655">
        <v>50006</v>
      </c>
      <c r="O617" s="655">
        <v>13505</v>
      </c>
      <c r="P617" s="655">
        <v>8070</v>
      </c>
      <c r="Q617" s="655">
        <v>9072</v>
      </c>
      <c r="R617" s="655">
        <v>840</v>
      </c>
      <c r="S617" s="655">
        <v>5496</v>
      </c>
      <c r="T617" s="655">
        <v>656</v>
      </c>
      <c r="U617" s="655">
        <v>37525</v>
      </c>
      <c r="V617" s="655">
        <v>0</v>
      </c>
      <c r="W617" s="655">
        <v>0</v>
      </c>
      <c r="X617" s="655">
        <v>71134</v>
      </c>
      <c r="Y617" s="655">
        <v>0</v>
      </c>
      <c r="Z617" s="655">
        <v>0</v>
      </c>
      <c r="AA617" s="655">
        <v>0</v>
      </c>
      <c r="AB617" s="655">
        <v>0</v>
      </c>
      <c r="AC617" s="655">
        <v>0</v>
      </c>
      <c r="AD617" s="655">
        <v>10017</v>
      </c>
      <c r="AE617" s="655">
        <v>1490761</v>
      </c>
      <c r="AF617" s="655">
        <v>39787</v>
      </c>
      <c r="AG617" s="655">
        <v>85875</v>
      </c>
      <c r="AH617" s="655">
        <v>0</v>
      </c>
      <c r="AI617" s="655">
        <v>221496</v>
      </c>
      <c r="AJ617" s="655">
        <v>2146438</v>
      </c>
      <c r="AK617" s="655">
        <v>3984357</v>
      </c>
      <c r="AL617" s="655">
        <v>1838596</v>
      </c>
      <c r="AM617" s="655">
        <v>2145761</v>
      </c>
    </row>
    <row r="618" spans="1:39" x14ac:dyDescent="0.2">
      <c r="A618" s="648">
        <v>2014</v>
      </c>
      <c r="B618" s="648">
        <v>11</v>
      </c>
      <c r="C618" s="657" t="s">
        <v>356</v>
      </c>
      <c r="D618" s="648">
        <v>6264</v>
      </c>
      <c r="E618" s="648" t="s">
        <v>1299</v>
      </c>
      <c r="F618" s="655">
        <v>5761953</v>
      </c>
      <c r="G618" s="655">
        <v>70976</v>
      </c>
      <c r="H618" s="655">
        <v>66634</v>
      </c>
      <c r="I618" s="655">
        <v>739780</v>
      </c>
      <c r="J618" s="655">
        <v>506344</v>
      </c>
      <c r="K618" s="655">
        <v>48660</v>
      </c>
      <c r="L618" s="655">
        <v>53866</v>
      </c>
      <c r="M618" s="655">
        <v>0</v>
      </c>
      <c r="N618" s="655">
        <v>274351</v>
      </c>
      <c r="O618" s="655">
        <v>5192</v>
      </c>
      <c r="P618" s="655">
        <v>46663</v>
      </c>
      <c r="Q618" s="655">
        <v>51202</v>
      </c>
      <c r="R618" s="655">
        <v>0</v>
      </c>
      <c r="S618" s="655">
        <v>22265</v>
      </c>
      <c r="T618" s="655">
        <v>2859</v>
      </c>
      <c r="U618" s="655">
        <v>110656</v>
      </c>
      <c r="V618" s="655">
        <v>0</v>
      </c>
      <c r="W618" s="655">
        <v>144135</v>
      </c>
      <c r="X618" s="655">
        <v>135133</v>
      </c>
      <c r="Y618" s="655">
        <v>0</v>
      </c>
      <c r="Z618" s="655">
        <v>0</v>
      </c>
      <c r="AA618" s="655">
        <v>0</v>
      </c>
      <c r="AB618" s="655">
        <v>0</v>
      </c>
      <c r="AC618" s="655">
        <v>-6067</v>
      </c>
      <c r="AD618" s="655">
        <v>43965</v>
      </c>
      <c r="AE618" s="655">
        <v>7990637</v>
      </c>
      <c r="AF618" s="655">
        <v>165267</v>
      </c>
      <c r="AG618" s="655">
        <v>476375</v>
      </c>
      <c r="AH618" s="655">
        <v>0</v>
      </c>
      <c r="AI618" s="655">
        <v>1162724</v>
      </c>
      <c r="AJ618" s="655">
        <v>3162530</v>
      </c>
      <c r="AK618" s="655">
        <v>12957533</v>
      </c>
      <c r="AL618" s="655">
        <v>9231200</v>
      </c>
      <c r="AM618" s="655">
        <v>3726333</v>
      </c>
    </row>
    <row r="619" spans="1:39" x14ac:dyDescent="0.2">
      <c r="A619" s="648">
        <v>2014</v>
      </c>
      <c r="B619" s="648">
        <v>7</v>
      </c>
      <c r="C619" s="657" t="s">
        <v>357</v>
      </c>
      <c r="D619" s="648">
        <v>6273</v>
      </c>
      <c r="E619" s="648" t="s">
        <v>1640</v>
      </c>
      <c r="F619" s="655">
        <v>5071249</v>
      </c>
      <c r="G619" s="655">
        <v>0</v>
      </c>
      <c r="H619" s="655">
        <v>34694</v>
      </c>
      <c r="I619" s="655">
        <v>600286</v>
      </c>
      <c r="J619" s="655">
        <v>451545</v>
      </c>
      <c r="K619" s="655">
        <v>49523</v>
      </c>
      <c r="L619" s="655">
        <v>44903</v>
      </c>
      <c r="M619" s="655">
        <v>0</v>
      </c>
      <c r="N619" s="655">
        <v>255513</v>
      </c>
      <c r="O619" s="655">
        <v>9144</v>
      </c>
      <c r="P619" s="655">
        <v>42118</v>
      </c>
      <c r="Q619" s="655">
        <v>47060</v>
      </c>
      <c r="R619" s="655">
        <v>0</v>
      </c>
      <c r="S619" s="655">
        <v>30437</v>
      </c>
      <c r="T619" s="655">
        <v>3426</v>
      </c>
      <c r="U619" s="655">
        <v>103200</v>
      </c>
      <c r="V619" s="655">
        <v>0</v>
      </c>
      <c r="W619" s="655">
        <v>183753</v>
      </c>
      <c r="X619" s="655">
        <v>16922</v>
      </c>
      <c r="Y619" s="655">
        <v>0</v>
      </c>
      <c r="Z619" s="655">
        <v>0</v>
      </c>
      <c r="AA619" s="655">
        <v>0</v>
      </c>
      <c r="AB619" s="655">
        <v>0</v>
      </c>
      <c r="AC619" s="655">
        <v>0</v>
      </c>
      <c r="AD619" s="655">
        <v>48164</v>
      </c>
      <c r="AE619" s="655">
        <v>6895609</v>
      </c>
      <c r="AF619" s="655">
        <v>186691</v>
      </c>
      <c r="AG619" s="655">
        <v>401551</v>
      </c>
      <c r="AH619" s="655">
        <v>0</v>
      </c>
      <c r="AI619" s="655">
        <v>2187597</v>
      </c>
      <c r="AJ619" s="655">
        <v>1449237</v>
      </c>
      <c r="AK619" s="655">
        <v>11120685</v>
      </c>
      <c r="AL619" s="655">
        <v>9907132</v>
      </c>
      <c r="AM619" s="655">
        <v>1213553</v>
      </c>
    </row>
    <row r="620" spans="1:39" x14ac:dyDescent="0.2">
      <c r="A620" s="648">
        <v>2014</v>
      </c>
      <c r="B620" s="648">
        <v>10</v>
      </c>
      <c r="C620" s="657" t="s">
        <v>358</v>
      </c>
      <c r="D620" s="648">
        <v>6408</v>
      </c>
      <c r="E620" s="648" t="s">
        <v>1300</v>
      </c>
      <c r="F620" s="655">
        <v>5222746</v>
      </c>
      <c r="G620" s="655">
        <v>0</v>
      </c>
      <c r="H620" s="655">
        <v>97487</v>
      </c>
      <c r="I620" s="655">
        <v>701016</v>
      </c>
      <c r="J620" s="655">
        <v>437638</v>
      </c>
      <c r="K620" s="655">
        <v>46245</v>
      </c>
      <c r="L620" s="655">
        <v>51009</v>
      </c>
      <c r="M620" s="655">
        <v>0</v>
      </c>
      <c r="N620" s="655">
        <v>257384</v>
      </c>
      <c r="O620" s="655">
        <v>0</v>
      </c>
      <c r="P620" s="655">
        <v>42468</v>
      </c>
      <c r="Q620" s="655">
        <v>46640</v>
      </c>
      <c r="R620" s="655">
        <v>0</v>
      </c>
      <c r="S620" s="655">
        <v>23870</v>
      </c>
      <c r="T620" s="655">
        <v>2774</v>
      </c>
      <c r="U620" s="655">
        <v>22500</v>
      </c>
      <c r="V620" s="655">
        <v>0</v>
      </c>
      <c r="W620" s="655">
        <v>251200</v>
      </c>
      <c r="X620" s="655">
        <v>74241</v>
      </c>
      <c r="Y620" s="655">
        <v>0</v>
      </c>
      <c r="Z620" s="655">
        <v>0</v>
      </c>
      <c r="AA620" s="655">
        <v>0</v>
      </c>
      <c r="AB620" s="655">
        <v>0</v>
      </c>
      <c r="AC620" s="655">
        <v>0</v>
      </c>
      <c r="AD620" s="655">
        <v>38524</v>
      </c>
      <c r="AE620" s="655">
        <v>7238694</v>
      </c>
      <c r="AF620" s="655">
        <v>85694</v>
      </c>
      <c r="AG620" s="655">
        <v>273170</v>
      </c>
      <c r="AH620" s="655">
        <v>0</v>
      </c>
      <c r="AI620" s="655">
        <v>1224272</v>
      </c>
      <c r="AJ620" s="655">
        <v>2542528</v>
      </c>
      <c r="AK620" s="655">
        <v>11364358</v>
      </c>
      <c r="AL620" s="655">
        <v>8588696</v>
      </c>
      <c r="AM620" s="655">
        <v>2775662</v>
      </c>
    </row>
    <row r="621" spans="1:39" x14ac:dyDescent="0.2">
      <c r="A621" s="648">
        <v>2014</v>
      </c>
      <c r="B621" s="648">
        <v>13</v>
      </c>
      <c r="C621" s="657" t="s">
        <v>359</v>
      </c>
      <c r="D621" s="648">
        <v>6453</v>
      </c>
      <c r="E621" s="648" t="s">
        <v>1301</v>
      </c>
      <c r="F621" s="655">
        <v>3648116</v>
      </c>
      <c r="G621" s="655">
        <v>0</v>
      </c>
      <c r="H621" s="655">
        <v>50370</v>
      </c>
      <c r="I621" s="655">
        <v>226477</v>
      </c>
      <c r="J621" s="655">
        <v>318675</v>
      </c>
      <c r="K621" s="655">
        <v>33203</v>
      </c>
      <c r="L621" s="655">
        <v>34580</v>
      </c>
      <c r="M621" s="655">
        <v>0</v>
      </c>
      <c r="N621" s="655">
        <v>170359</v>
      </c>
      <c r="O621" s="655">
        <v>0</v>
      </c>
      <c r="P621" s="655">
        <v>32058</v>
      </c>
      <c r="Q621" s="655">
        <v>35456</v>
      </c>
      <c r="R621" s="655">
        <v>0</v>
      </c>
      <c r="S621" s="655">
        <v>17496</v>
      </c>
      <c r="T621" s="655">
        <v>1848</v>
      </c>
      <c r="U621" s="655">
        <v>49538</v>
      </c>
      <c r="V621" s="655">
        <v>0</v>
      </c>
      <c r="W621" s="655">
        <v>60610</v>
      </c>
      <c r="X621" s="655">
        <v>38338</v>
      </c>
      <c r="Y621" s="655">
        <v>0</v>
      </c>
      <c r="Z621" s="655">
        <v>0</v>
      </c>
      <c r="AA621" s="655">
        <v>0</v>
      </c>
      <c r="AB621" s="655">
        <v>0</v>
      </c>
      <c r="AC621" s="655">
        <v>0</v>
      </c>
      <c r="AD621" s="655">
        <v>22629</v>
      </c>
      <c r="AE621" s="655">
        <v>4694495</v>
      </c>
      <c r="AF621" s="655">
        <v>0</v>
      </c>
      <c r="AG621" s="655">
        <v>286888</v>
      </c>
      <c r="AH621" s="655">
        <v>0</v>
      </c>
      <c r="AI621" s="655">
        <v>1784756</v>
      </c>
      <c r="AJ621" s="655">
        <v>1485299</v>
      </c>
      <c r="AK621" s="655">
        <v>8251438</v>
      </c>
      <c r="AL621" s="655">
        <v>6603125</v>
      </c>
      <c r="AM621" s="655">
        <v>1648313</v>
      </c>
    </row>
    <row r="622" spans="1:39" x14ac:dyDescent="0.2">
      <c r="A622" s="648">
        <v>2014</v>
      </c>
      <c r="B622" s="648">
        <v>13</v>
      </c>
      <c r="C622" s="657" t="s">
        <v>360</v>
      </c>
      <c r="D622" s="648">
        <v>6460</v>
      </c>
      <c r="E622" s="648" t="s">
        <v>1302</v>
      </c>
      <c r="F622" s="655">
        <v>4172965</v>
      </c>
      <c r="G622" s="655">
        <v>0</v>
      </c>
      <c r="H622" s="655">
        <v>22489</v>
      </c>
      <c r="I622" s="655">
        <v>515621</v>
      </c>
      <c r="J622" s="655">
        <v>360707</v>
      </c>
      <c r="K622" s="655">
        <v>40346</v>
      </c>
      <c r="L622" s="655">
        <v>38922</v>
      </c>
      <c r="M622" s="655">
        <v>0</v>
      </c>
      <c r="N622" s="655">
        <v>205077</v>
      </c>
      <c r="O622" s="655">
        <v>0</v>
      </c>
      <c r="P622" s="655">
        <v>34612</v>
      </c>
      <c r="Q622" s="655">
        <v>38281</v>
      </c>
      <c r="R622" s="655">
        <v>0</v>
      </c>
      <c r="S622" s="655">
        <v>21062</v>
      </c>
      <c r="T622" s="655">
        <v>2225</v>
      </c>
      <c r="U622" s="655">
        <v>194951</v>
      </c>
      <c r="V622" s="655">
        <v>378975</v>
      </c>
      <c r="W622" s="655">
        <v>72893</v>
      </c>
      <c r="X622" s="655">
        <v>0</v>
      </c>
      <c r="Y622" s="655">
        <v>0</v>
      </c>
      <c r="Z622" s="655">
        <v>0</v>
      </c>
      <c r="AA622" s="655">
        <v>0</v>
      </c>
      <c r="AB622" s="655">
        <v>0</v>
      </c>
      <c r="AC622" s="655">
        <v>0</v>
      </c>
      <c r="AD622" s="655">
        <v>33287</v>
      </c>
      <c r="AE622" s="655">
        <v>6065839</v>
      </c>
      <c r="AF622" s="655">
        <v>140783</v>
      </c>
      <c r="AG622" s="655">
        <v>317521</v>
      </c>
      <c r="AH622" s="655">
        <v>0</v>
      </c>
      <c r="AI622" s="655">
        <v>1078084</v>
      </c>
      <c r="AJ622" s="655">
        <v>-378976</v>
      </c>
      <c r="AK622" s="655">
        <v>7223251</v>
      </c>
      <c r="AL622" s="655">
        <v>7703495</v>
      </c>
      <c r="AM622" s="655">
        <v>-480244</v>
      </c>
    </row>
    <row r="623" spans="1:39" x14ac:dyDescent="0.2">
      <c r="A623" s="648">
        <v>2014</v>
      </c>
      <c r="B623" s="648">
        <v>15</v>
      </c>
      <c r="C623" s="657" t="s">
        <v>361</v>
      </c>
      <c r="D623" s="648">
        <v>6462</v>
      </c>
      <c r="E623" s="648" t="s">
        <v>1303</v>
      </c>
      <c r="F623" s="655">
        <v>1658791</v>
      </c>
      <c r="G623" s="655">
        <v>0</v>
      </c>
      <c r="H623" s="655">
        <v>80044</v>
      </c>
      <c r="I623" s="655">
        <v>192261</v>
      </c>
      <c r="J623" s="655">
        <v>167716</v>
      </c>
      <c r="K623" s="655">
        <v>15038</v>
      </c>
      <c r="L623" s="655">
        <v>19577</v>
      </c>
      <c r="M623" s="655">
        <v>0</v>
      </c>
      <c r="N623" s="655">
        <v>80589</v>
      </c>
      <c r="O623" s="655">
        <v>13468</v>
      </c>
      <c r="P623" s="655">
        <v>13666</v>
      </c>
      <c r="Q623" s="655">
        <v>15007</v>
      </c>
      <c r="R623" s="655">
        <v>0</v>
      </c>
      <c r="S623" s="655">
        <v>8059</v>
      </c>
      <c r="T623" s="655">
        <v>868</v>
      </c>
      <c r="U623" s="655">
        <v>60985</v>
      </c>
      <c r="V623" s="655">
        <v>0</v>
      </c>
      <c r="W623" s="655">
        <v>42007</v>
      </c>
      <c r="X623" s="655">
        <v>86927</v>
      </c>
      <c r="Y623" s="655">
        <v>0</v>
      </c>
      <c r="Z623" s="655">
        <v>0</v>
      </c>
      <c r="AA623" s="655">
        <v>0</v>
      </c>
      <c r="AB623" s="655">
        <v>0</v>
      </c>
      <c r="AC623" s="655">
        <v>0</v>
      </c>
      <c r="AD623" s="655">
        <v>17232</v>
      </c>
      <c r="AE623" s="655">
        <v>2437771</v>
      </c>
      <c r="AF623" s="655">
        <v>45908</v>
      </c>
      <c r="AG623" s="655">
        <v>133035</v>
      </c>
      <c r="AH623" s="655">
        <v>0</v>
      </c>
      <c r="AI623" s="655">
        <v>332930</v>
      </c>
      <c r="AJ623" s="655">
        <v>1622332</v>
      </c>
      <c r="AK623" s="655">
        <v>4571976</v>
      </c>
      <c r="AL623" s="655">
        <v>3396046</v>
      </c>
      <c r="AM623" s="655">
        <v>1175930</v>
      </c>
    </row>
    <row r="624" spans="1:39" x14ac:dyDescent="0.2">
      <c r="A624" s="648">
        <v>2014</v>
      </c>
      <c r="B624" s="648">
        <v>7</v>
      </c>
      <c r="C624" s="657" t="s">
        <v>362</v>
      </c>
      <c r="D624" s="648">
        <v>6471</v>
      </c>
      <c r="E624" s="648" t="s">
        <v>1304</v>
      </c>
      <c r="F624" s="655">
        <v>2735040</v>
      </c>
      <c r="G624" s="655">
        <v>71144</v>
      </c>
      <c r="H624" s="655">
        <v>22034</v>
      </c>
      <c r="I624" s="655">
        <v>315762</v>
      </c>
      <c r="J624" s="655">
        <v>262136</v>
      </c>
      <c r="K624" s="655">
        <v>26735</v>
      </c>
      <c r="L624" s="655">
        <v>27370</v>
      </c>
      <c r="M624" s="655">
        <v>0</v>
      </c>
      <c r="N624" s="655">
        <v>134934</v>
      </c>
      <c r="O624" s="655">
        <v>7704</v>
      </c>
      <c r="P624" s="655">
        <v>22676</v>
      </c>
      <c r="Q624" s="655">
        <v>25344</v>
      </c>
      <c r="R624" s="655">
        <v>0</v>
      </c>
      <c r="S624" s="655">
        <v>18223</v>
      </c>
      <c r="T624" s="655">
        <v>2091</v>
      </c>
      <c r="U624" s="655">
        <v>0</v>
      </c>
      <c r="V624" s="655">
        <v>0</v>
      </c>
      <c r="W624" s="655">
        <v>36006</v>
      </c>
      <c r="X624" s="655">
        <v>24476</v>
      </c>
      <c r="Y624" s="655">
        <v>0</v>
      </c>
      <c r="Z624" s="655">
        <v>0</v>
      </c>
      <c r="AA624" s="655">
        <v>0</v>
      </c>
      <c r="AB624" s="655">
        <v>0</v>
      </c>
      <c r="AC624" s="655">
        <v>0</v>
      </c>
      <c r="AD624" s="655">
        <v>22675</v>
      </c>
      <c r="AE624" s="655">
        <v>3709000</v>
      </c>
      <c r="AF624" s="655">
        <v>30605</v>
      </c>
      <c r="AG624" s="655">
        <v>205553</v>
      </c>
      <c r="AH624" s="655">
        <v>0</v>
      </c>
      <c r="AI624" s="655">
        <v>458610</v>
      </c>
      <c r="AJ624" s="655">
        <v>1606691</v>
      </c>
      <c r="AK624" s="655">
        <v>6010459</v>
      </c>
      <c r="AL624" s="655">
        <v>5092823</v>
      </c>
      <c r="AM624" s="655">
        <v>917636</v>
      </c>
    </row>
    <row r="625" spans="1:39" x14ac:dyDescent="0.2">
      <c r="A625" s="648">
        <v>2014</v>
      </c>
      <c r="B625" s="648">
        <v>1</v>
      </c>
      <c r="C625" s="657" t="s">
        <v>363</v>
      </c>
      <c r="D625" s="648">
        <v>6509</v>
      </c>
      <c r="E625" s="648" t="s">
        <v>1305</v>
      </c>
      <c r="F625" s="655">
        <v>2397614</v>
      </c>
      <c r="G625" s="655">
        <v>20748</v>
      </c>
      <c r="H625" s="655">
        <v>64880</v>
      </c>
      <c r="I625" s="655">
        <v>291763</v>
      </c>
      <c r="J625" s="655">
        <v>219030</v>
      </c>
      <c r="K625" s="655">
        <v>25132</v>
      </c>
      <c r="L625" s="655">
        <v>17204</v>
      </c>
      <c r="M625" s="655">
        <v>0</v>
      </c>
      <c r="N625" s="655">
        <v>121180</v>
      </c>
      <c r="O625" s="655">
        <v>25574</v>
      </c>
      <c r="P625" s="655">
        <v>21353</v>
      </c>
      <c r="Q625" s="655">
        <v>23842</v>
      </c>
      <c r="R625" s="655">
        <v>0</v>
      </c>
      <c r="S625" s="655">
        <v>12041</v>
      </c>
      <c r="T625" s="655">
        <v>1280</v>
      </c>
      <c r="U625" s="655">
        <v>96900</v>
      </c>
      <c r="V625" s="655">
        <v>0</v>
      </c>
      <c r="W625" s="655">
        <v>78013</v>
      </c>
      <c r="X625" s="655">
        <v>81629</v>
      </c>
      <c r="Y625" s="655">
        <v>0</v>
      </c>
      <c r="Z625" s="655">
        <v>0</v>
      </c>
      <c r="AA625" s="655">
        <v>0</v>
      </c>
      <c r="AB625" s="655">
        <v>0</v>
      </c>
      <c r="AC625" s="655">
        <v>0</v>
      </c>
      <c r="AD625" s="655">
        <v>29583</v>
      </c>
      <c r="AE625" s="655">
        <v>3468600</v>
      </c>
      <c r="AF625" s="655">
        <v>76513</v>
      </c>
      <c r="AG625" s="655">
        <v>203312</v>
      </c>
      <c r="AH625" s="655">
        <v>0</v>
      </c>
      <c r="AI625" s="655">
        <v>1093482</v>
      </c>
      <c r="AJ625" s="655">
        <v>861337</v>
      </c>
      <c r="AK625" s="655">
        <v>5703244</v>
      </c>
      <c r="AL625" s="655">
        <v>5195387</v>
      </c>
      <c r="AM625" s="655">
        <v>507857</v>
      </c>
    </row>
    <row r="626" spans="1:39" x14ac:dyDescent="0.2">
      <c r="A626" s="648">
        <v>2014</v>
      </c>
      <c r="B626" s="648">
        <v>11</v>
      </c>
      <c r="C626" s="657" t="s">
        <v>364</v>
      </c>
      <c r="D626" s="648">
        <v>6512</v>
      </c>
      <c r="E626" s="648" t="s">
        <v>1306</v>
      </c>
      <c r="F626" s="655">
        <v>2319062</v>
      </c>
      <c r="G626" s="655">
        <v>79094</v>
      </c>
      <c r="H626" s="655">
        <v>31966</v>
      </c>
      <c r="I626" s="655">
        <v>301392</v>
      </c>
      <c r="J626" s="655">
        <v>224802</v>
      </c>
      <c r="K626" s="655">
        <v>23238</v>
      </c>
      <c r="L626" s="655">
        <v>27339</v>
      </c>
      <c r="M626" s="655">
        <v>0</v>
      </c>
      <c r="N626" s="655">
        <v>110861</v>
      </c>
      <c r="O626" s="655">
        <v>7438</v>
      </c>
      <c r="P626" s="655">
        <v>19434</v>
      </c>
      <c r="Q626" s="655">
        <v>21325</v>
      </c>
      <c r="R626" s="655">
        <v>0</v>
      </c>
      <c r="S626" s="655">
        <v>9126</v>
      </c>
      <c r="T626" s="655">
        <v>1172</v>
      </c>
      <c r="U626" s="655">
        <v>97781</v>
      </c>
      <c r="V626" s="655">
        <v>0</v>
      </c>
      <c r="W626" s="655">
        <v>54609</v>
      </c>
      <c r="X626" s="655">
        <v>181446</v>
      </c>
      <c r="Y626" s="655">
        <v>0</v>
      </c>
      <c r="Z626" s="655">
        <v>0</v>
      </c>
      <c r="AA626" s="655">
        <v>0</v>
      </c>
      <c r="AB626" s="655">
        <v>0</v>
      </c>
      <c r="AC626" s="655">
        <v>0</v>
      </c>
      <c r="AD626" s="655">
        <v>20920</v>
      </c>
      <c r="AE626" s="655">
        <v>3489165</v>
      </c>
      <c r="AF626" s="655">
        <v>48968</v>
      </c>
      <c r="AG626" s="655">
        <v>87485</v>
      </c>
      <c r="AH626" s="655">
        <v>0</v>
      </c>
      <c r="AI626" s="655">
        <v>578254</v>
      </c>
      <c r="AJ626" s="655">
        <v>1615693</v>
      </c>
      <c r="AK626" s="655">
        <v>5819565</v>
      </c>
      <c r="AL626" s="655">
        <v>4671595</v>
      </c>
      <c r="AM626" s="655">
        <v>1147970</v>
      </c>
    </row>
    <row r="627" spans="1:39" x14ac:dyDescent="0.2">
      <c r="A627" s="648">
        <v>2014</v>
      </c>
      <c r="B627" s="648">
        <v>5</v>
      </c>
      <c r="C627" s="657" t="s">
        <v>365</v>
      </c>
      <c r="D627" s="648">
        <v>6516</v>
      </c>
      <c r="E627" s="648" t="s">
        <v>1307</v>
      </c>
      <c r="F627" s="655">
        <v>1064024</v>
      </c>
      <c r="G627" s="655">
        <v>0</v>
      </c>
      <c r="H627" s="655">
        <v>60970</v>
      </c>
      <c r="I627" s="655">
        <v>97525</v>
      </c>
      <c r="J627" s="655">
        <v>102137</v>
      </c>
      <c r="K627" s="655">
        <v>9876</v>
      </c>
      <c r="L627" s="655">
        <v>9660</v>
      </c>
      <c r="M627" s="655">
        <v>0</v>
      </c>
      <c r="N627" s="655">
        <v>51487</v>
      </c>
      <c r="O627" s="655">
        <v>6288</v>
      </c>
      <c r="P627" s="655">
        <v>10038</v>
      </c>
      <c r="Q627" s="655">
        <v>11283</v>
      </c>
      <c r="R627" s="655">
        <v>837</v>
      </c>
      <c r="S627" s="655">
        <v>5494</v>
      </c>
      <c r="T627" s="655">
        <v>655</v>
      </c>
      <c r="U627" s="655">
        <v>0</v>
      </c>
      <c r="V627" s="655">
        <v>0</v>
      </c>
      <c r="W627" s="655">
        <v>85784</v>
      </c>
      <c r="X627" s="655">
        <v>58015</v>
      </c>
      <c r="Y627" s="655">
        <v>0</v>
      </c>
      <c r="Z627" s="655">
        <v>0</v>
      </c>
      <c r="AA627" s="655">
        <v>0</v>
      </c>
      <c r="AB627" s="655">
        <v>0</v>
      </c>
      <c r="AC627" s="655">
        <v>0</v>
      </c>
      <c r="AD627" s="655">
        <v>11565</v>
      </c>
      <c r="AE627" s="655">
        <v>1562508</v>
      </c>
      <c r="AF627" s="655">
        <v>15303</v>
      </c>
      <c r="AG627" s="655">
        <v>94400</v>
      </c>
      <c r="AH627" s="655">
        <v>266006</v>
      </c>
      <c r="AI627" s="655">
        <v>185794</v>
      </c>
      <c r="AJ627" s="655">
        <v>1319100</v>
      </c>
      <c r="AK627" s="655">
        <v>3443111</v>
      </c>
      <c r="AL627" s="655">
        <v>1835222</v>
      </c>
      <c r="AM627" s="655">
        <v>1607889</v>
      </c>
    </row>
    <row r="628" spans="1:39" x14ac:dyDescent="0.2">
      <c r="A628" s="648">
        <v>2014</v>
      </c>
      <c r="B628" s="648">
        <v>13</v>
      </c>
      <c r="C628" s="657" t="s">
        <v>366</v>
      </c>
      <c r="D628" s="648">
        <v>6534</v>
      </c>
      <c r="E628" s="648" t="s">
        <v>1312</v>
      </c>
      <c r="F628" s="655">
        <v>4415689</v>
      </c>
      <c r="G628" s="655">
        <v>39153</v>
      </c>
      <c r="H628" s="655">
        <v>41519</v>
      </c>
      <c r="I628" s="655">
        <v>381767</v>
      </c>
      <c r="J628" s="655">
        <v>360714</v>
      </c>
      <c r="K628" s="655">
        <v>36784</v>
      </c>
      <c r="L628" s="655">
        <v>40680</v>
      </c>
      <c r="M628" s="655">
        <v>0</v>
      </c>
      <c r="N628" s="655">
        <v>210936</v>
      </c>
      <c r="O628" s="655">
        <v>3311</v>
      </c>
      <c r="P628" s="655">
        <v>37868</v>
      </c>
      <c r="Q628" s="655">
        <v>41882</v>
      </c>
      <c r="R628" s="655">
        <v>0</v>
      </c>
      <c r="S628" s="655">
        <v>21859</v>
      </c>
      <c r="T628" s="655">
        <v>2307</v>
      </c>
      <c r="U628" s="655">
        <v>110161</v>
      </c>
      <c r="V628" s="655">
        <v>0</v>
      </c>
      <c r="W628" s="655">
        <v>72012</v>
      </c>
      <c r="X628" s="655">
        <v>79900</v>
      </c>
      <c r="Y628" s="655">
        <v>0</v>
      </c>
      <c r="Z628" s="655">
        <v>0</v>
      </c>
      <c r="AA628" s="655">
        <v>0</v>
      </c>
      <c r="AB628" s="655">
        <v>0</v>
      </c>
      <c r="AC628" s="655">
        <v>0</v>
      </c>
      <c r="AD628" s="655">
        <v>30799</v>
      </c>
      <c r="AE628" s="655">
        <v>5865743</v>
      </c>
      <c r="AF628" s="655">
        <v>70392</v>
      </c>
      <c r="AG628" s="655">
        <v>343513</v>
      </c>
      <c r="AH628" s="655">
        <v>0</v>
      </c>
      <c r="AI628" s="655">
        <v>1138821</v>
      </c>
      <c r="AJ628" s="655">
        <v>1049869</v>
      </c>
      <c r="AK628" s="655">
        <v>8468338</v>
      </c>
      <c r="AL628" s="655">
        <v>7846485</v>
      </c>
      <c r="AM628" s="655">
        <v>621853</v>
      </c>
    </row>
    <row r="629" spans="1:39" x14ac:dyDescent="0.2">
      <c r="A629" s="648">
        <v>2014</v>
      </c>
      <c r="B629" s="648">
        <v>11</v>
      </c>
      <c r="C629" s="657" t="s">
        <v>367</v>
      </c>
      <c r="D629" s="648">
        <v>6561</v>
      </c>
      <c r="E629" s="648" t="s">
        <v>1313</v>
      </c>
      <c r="F629" s="655">
        <v>2002179</v>
      </c>
      <c r="G629" s="655">
        <v>0</v>
      </c>
      <c r="H629" s="655">
        <v>29442</v>
      </c>
      <c r="I629" s="655">
        <v>175856</v>
      </c>
      <c r="J629" s="655">
        <v>147453</v>
      </c>
      <c r="K629" s="655">
        <v>12175</v>
      </c>
      <c r="L629" s="655">
        <v>20146</v>
      </c>
      <c r="M629" s="655">
        <v>0</v>
      </c>
      <c r="N629" s="655">
        <v>92897</v>
      </c>
      <c r="O629" s="655">
        <v>8025</v>
      </c>
      <c r="P629" s="655">
        <v>16587</v>
      </c>
      <c r="Q629" s="655">
        <v>18200</v>
      </c>
      <c r="R629" s="655">
        <v>0</v>
      </c>
      <c r="S629" s="655">
        <v>7508</v>
      </c>
      <c r="T629" s="655">
        <v>961</v>
      </c>
      <c r="U629" s="655">
        <v>17250</v>
      </c>
      <c r="V629" s="655">
        <v>0</v>
      </c>
      <c r="W629" s="655">
        <v>192332</v>
      </c>
      <c r="X629" s="655">
        <v>141022</v>
      </c>
      <c r="Y629" s="655">
        <v>0</v>
      </c>
      <c r="Z629" s="655">
        <v>0</v>
      </c>
      <c r="AA629" s="655">
        <v>0</v>
      </c>
      <c r="AB629" s="655">
        <v>0</v>
      </c>
      <c r="AC629" s="655">
        <v>0</v>
      </c>
      <c r="AD629" s="655">
        <v>19730</v>
      </c>
      <c r="AE629" s="655">
        <v>2862303</v>
      </c>
      <c r="AF629" s="655">
        <v>122420</v>
      </c>
      <c r="AG629" s="655">
        <v>178795</v>
      </c>
      <c r="AH629" s="655">
        <v>0</v>
      </c>
      <c r="AI629" s="655">
        <v>957344</v>
      </c>
      <c r="AJ629" s="655">
        <v>552532</v>
      </c>
      <c r="AK629" s="655">
        <v>4673394</v>
      </c>
      <c r="AL629" s="655">
        <v>4189284</v>
      </c>
      <c r="AM629" s="655">
        <v>484110</v>
      </c>
    </row>
    <row r="630" spans="1:39" x14ac:dyDescent="0.2">
      <c r="A630" s="648">
        <v>2014</v>
      </c>
      <c r="B630" s="648">
        <v>11</v>
      </c>
      <c r="C630" s="657" t="s">
        <v>368</v>
      </c>
      <c r="D630" s="648">
        <v>6579</v>
      </c>
      <c r="E630" s="648" t="s">
        <v>1314</v>
      </c>
      <c r="F630" s="655">
        <v>20730603</v>
      </c>
      <c r="G630" s="655">
        <v>0</v>
      </c>
      <c r="H630" s="655">
        <v>613973</v>
      </c>
      <c r="I630" s="655">
        <v>1931298</v>
      </c>
      <c r="J630" s="655">
        <v>1813056</v>
      </c>
      <c r="K630" s="655">
        <v>214655</v>
      </c>
      <c r="L630" s="655">
        <v>203851</v>
      </c>
      <c r="M630" s="655">
        <v>0</v>
      </c>
      <c r="N630" s="655">
        <v>966565</v>
      </c>
      <c r="O630" s="655">
        <v>0</v>
      </c>
      <c r="P630" s="655">
        <v>191347</v>
      </c>
      <c r="Q630" s="655">
        <v>209961</v>
      </c>
      <c r="R630" s="655">
        <v>0</v>
      </c>
      <c r="S630" s="655">
        <v>78119</v>
      </c>
      <c r="T630" s="655">
        <v>9996</v>
      </c>
      <c r="U630" s="655">
        <v>826024</v>
      </c>
      <c r="V630" s="655">
        <v>700495</v>
      </c>
      <c r="W630" s="655">
        <v>374875</v>
      </c>
      <c r="X630" s="655">
        <v>1163152</v>
      </c>
      <c r="Y630" s="655">
        <v>0</v>
      </c>
      <c r="Z630" s="655">
        <v>0</v>
      </c>
      <c r="AA630" s="655">
        <v>0</v>
      </c>
      <c r="AB630" s="655">
        <v>0</v>
      </c>
      <c r="AC630" s="655">
        <v>6601</v>
      </c>
      <c r="AD630" s="655">
        <v>138380</v>
      </c>
      <c r="AE630" s="655">
        <v>29896191</v>
      </c>
      <c r="AF630" s="655">
        <v>489680</v>
      </c>
      <c r="AG630" s="655">
        <v>1592939</v>
      </c>
      <c r="AH630" s="655">
        <v>0</v>
      </c>
      <c r="AI630" s="655">
        <v>8476276</v>
      </c>
      <c r="AJ630" s="655">
        <v>5590823</v>
      </c>
      <c r="AK630" s="655">
        <v>46045909</v>
      </c>
      <c r="AL630" s="655">
        <v>40262228</v>
      </c>
      <c r="AM630" s="655">
        <v>5783681</v>
      </c>
    </row>
    <row r="631" spans="1:39" x14ac:dyDescent="0.2">
      <c r="A631" s="648">
        <v>2014</v>
      </c>
      <c r="B631" s="648">
        <v>1</v>
      </c>
      <c r="C631" s="657" t="s">
        <v>369</v>
      </c>
      <c r="D631" s="648">
        <v>6591</v>
      </c>
      <c r="E631" s="648" t="s">
        <v>1333</v>
      </c>
      <c r="F631" s="655">
        <v>2531328</v>
      </c>
      <c r="G631" s="655">
        <v>179809</v>
      </c>
      <c r="H631" s="655">
        <v>89672</v>
      </c>
      <c r="I631" s="655">
        <v>283054</v>
      </c>
      <c r="J631" s="655">
        <v>236827</v>
      </c>
      <c r="K631" s="655">
        <v>25626</v>
      </c>
      <c r="L631" s="655">
        <v>26709</v>
      </c>
      <c r="M631" s="655">
        <v>0</v>
      </c>
      <c r="N631" s="655">
        <v>129785</v>
      </c>
      <c r="O631" s="655">
        <v>22232</v>
      </c>
      <c r="P631" s="655">
        <v>20748</v>
      </c>
      <c r="Q631" s="655">
        <v>23167</v>
      </c>
      <c r="R631" s="655">
        <v>0</v>
      </c>
      <c r="S631" s="655">
        <v>13656</v>
      </c>
      <c r="T631" s="655">
        <v>1452</v>
      </c>
      <c r="U631" s="655">
        <v>0</v>
      </c>
      <c r="V631" s="655">
        <v>0</v>
      </c>
      <c r="W631" s="655">
        <v>18003</v>
      </c>
      <c r="X631" s="655">
        <v>217573</v>
      </c>
      <c r="Y631" s="655">
        <v>0</v>
      </c>
      <c r="Z631" s="655">
        <v>0</v>
      </c>
      <c r="AA631" s="655">
        <v>0</v>
      </c>
      <c r="AB631" s="655">
        <v>0</v>
      </c>
      <c r="AC631" s="655">
        <v>1193</v>
      </c>
      <c r="AD631" s="655">
        <v>28089</v>
      </c>
      <c r="AE631" s="655">
        <v>3792745</v>
      </c>
      <c r="AF631" s="655">
        <v>85694</v>
      </c>
      <c r="AG631" s="655">
        <v>198347</v>
      </c>
      <c r="AH631" s="655">
        <v>0</v>
      </c>
      <c r="AI631" s="655">
        <v>1604520</v>
      </c>
      <c r="AJ631" s="655">
        <v>530448</v>
      </c>
      <c r="AK631" s="655">
        <v>6211754</v>
      </c>
      <c r="AL631" s="655">
        <v>5288435</v>
      </c>
      <c r="AM631" s="655">
        <v>923319</v>
      </c>
    </row>
    <row r="632" spans="1:39" x14ac:dyDescent="0.2">
      <c r="A632" s="648">
        <v>2014</v>
      </c>
      <c r="B632" s="648">
        <v>15</v>
      </c>
      <c r="C632" s="657" t="s">
        <v>370</v>
      </c>
      <c r="D632" s="648">
        <v>6592</v>
      </c>
      <c r="E632" s="648" t="s">
        <v>2013</v>
      </c>
      <c r="F632" s="655">
        <v>3847065</v>
      </c>
      <c r="G632" s="655">
        <v>144169</v>
      </c>
      <c r="H632" s="655">
        <v>33965</v>
      </c>
      <c r="I632" s="655">
        <v>553061</v>
      </c>
      <c r="J632" s="655">
        <v>343658</v>
      </c>
      <c r="K632" s="655">
        <v>33651</v>
      </c>
      <c r="L632" s="655">
        <v>41045</v>
      </c>
      <c r="M632" s="655">
        <v>0</v>
      </c>
      <c r="N632" s="655">
        <v>191537</v>
      </c>
      <c r="O632" s="655">
        <v>25222</v>
      </c>
      <c r="P632" s="655">
        <v>31438</v>
      </c>
      <c r="Q632" s="655">
        <v>34521</v>
      </c>
      <c r="R632" s="655">
        <v>0</v>
      </c>
      <c r="S632" s="655">
        <v>19643</v>
      </c>
      <c r="T632" s="655">
        <v>2114</v>
      </c>
      <c r="U632" s="655">
        <v>98677</v>
      </c>
      <c r="V632" s="655">
        <v>0</v>
      </c>
      <c r="W632" s="655">
        <v>140835</v>
      </c>
      <c r="X632" s="655">
        <v>92956</v>
      </c>
      <c r="Y632" s="655">
        <v>0</v>
      </c>
      <c r="Z632" s="655">
        <v>0</v>
      </c>
      <c r="AA632" s="655">
        <v>0</v>
      </c>
      <c r="AB632" s="655">
        <v>0</v>
      </c>
      <c r="AC632" s="655">
        <v>0</v>
      </c>
      <c r="AD632" s="655">
        <v>38342</v>
      </c>
      <c r="AE632" s="655">
        <v>5595215</v>
      </c>
      <c r="AF632" s="655">
        <v>113239</v>
      </c>
      <c r="AG632" s="655">
        <v>310558</v>
      </c>
      <c r="AH632" s="655">
        <v>0</v>
      </c>
      <c r="AI632" s="655">
        <v>1239043</v>
      </c>
      <c r="AJ632" s="655">
        <v>1469610</v>
      </c>
      <c r="AK632" s="655">
        <v>8727665</v>
      </c>
      <c r="AL632" s="655">
        <v>7772471</v>
      </c>
      <c r="AM632" s="655">
        <v>955194</v>
      </c>
    </row>
    <row r="633" spans="1:39" x14ac:dyDescent="0.2">
      <c r="A633" s="648">
        <v>2014</v>
      </c>
      <c r="B633" s="648">
        <v>11</v>
      </c>
      <c r="C633" s="657" t="s">
        <v>371</v>
      </c>
      <c r="D633" s="648">
        <v>6615</v>
      </c>
      <c r="E633" s="648" t="s">
        <v>1334</v>
      </c>
      <c r="F633" s="655">
        <v>3612002</v>
      </c>
      <c r="G633" s="655">
        <v>0</v>
      </c>
      <c r="H633" s="655">
        <v>90187</v>
      </c>
      <c r="I633" s="655">
        <v>256225</v>
      </c>
      <c r="J633" s="655">
        <v>321964</v>
      </c>
      <c r="K633" s="655">
        <v>32910</v>
      </c>
      <c r="L633" s="655">
        <v>34468</v>
      </c>
      <c r="M633" s="655">
        <v>0</v>
      </c>
      <c r="N633" s="655">
        <v>164986</v>
      </c>
      <c r="O633" s="655">
        <v>0</v>
      </c>
      <c r="P633" s="655">
        <v>30526</v>
      </c>
      <c r="Q633" s="655">
        <v>33495</v>
      </c>
      <c r="R633" s="655">
        <v>0</v>
      </c>
      <c r="S633" s="655">
        <v>13334</v>
      </c>
      <c r="T633" s="655">
        <v>1706</v>
      </c>
      <c r="U633" s="655">
        <v>44100</v>
      </c>
      <c r="V633" s="655">
        <v>0</v>
      </c>
      <c r="W633" s="655">
        <v>42007</v>
      </c>
      <c r="X633" s="655">
        <v>140160</v>
      </c>
      <c r="Y633" s="655">
        <v>0</v>
      </c>
      <c r="Z633" s="655">
        <v>0</v>
      </c>
      <c r="AA633" s="655">
        <v>0</v>
      </c>
      <c r="AB633" s="655">
        <v>0</v>
      </c>
      <c r="AC633" s="655">
        <v>1560</v>
      </c>
      <c r="AD633" s="655">
        <v>22227</v>
      </c>
      <c r="AE633" s="655">
        <v>4797403</v>
      </c>
      <c r="AF633" s="655">
        <v>0</v>
      </c>
      <c r="AG633" s="655">
        <v>276462</v>
      </c>
      <c r="AH633" s="655">
        <v>0</v>
      </c>
      <c r="AI633" s="655">
        <v>1179637</v>
      </c>
      <c r="AJ633" s="655">
        <v>1782097</v>
      </c>
      <c r="AK633" s="655">
        <v>8035599</v>
      </c>
      <c r="AL633" s="655">
        <v>6134591</v>
      </c>
      <c r="AM633" s="655">
        <v>1901008</v>
      </c>
    </row>
    <row r="634" spans="1:39" x14ac:dyDescent="0.2">
      <c r="A634" s="648">
        <v>2014</v>
      </c>
      <c r="B634" s="648">
        <v>13</v>
      </c>
      <c r="C634" s="657" t="s">
        <v>372</v>
      </c>
      <c r="D634" s="648">
        <v>6651</v>
      </c>
      <c r="E634" s="648" t="s">
        <v>1335</v>
      </c>
      <c r="F634" s="655">
        <v>2044414</v>
      </c>
      <c r="G634" s="655">
        <v>150278</v>
      </c>
      <c r="H634" s="655">
        <v>55634</v>
      </c>
      <c r="I634" s="655">
        <v>276547</v>
      </c>
      <c r="J634" s="655">
        <v>192297</v>
      </c>
      <c r="K634" s="655">
        <v>20542</v>
      </c>
      <c r="L634" s="655">
        <v>23522</v>
      </c>
      <c r="M634" s="655">
        <v>0</v>
      </c>
      <c r="N634" s="655">
        <v>102049</v>
      </c>
      <c r="O634" s="655">
        <v>10787</v>
      </c>
      <c r="P634" s="655">
        <v>16830</v>
      </c>
      <c r="Q634" s="655">
        <v>18614</v>
      </c>
      <c r="R634" s="655">
        <v>0</v>
      </c>
      <c r="S634" s="655">
        <v>11277</v>
      </c>
      <c r="T634" s="655">
        <v>1190</v>
      </c>
      <c r="U634" s="655">
        <v>74160</v>
      </c>
      <c r="V634" s="655">
        <v>0</v>
      </c>
      <c r="W634" s="655">
        <v>84014</v>
      </c>
      <c r="X634" s="655">
        <v>102035</v>
      </c>
      <c r="Y634" s="655">
        <v>0</v>
      </c>
      <c r="Z634" s="655">
        <v>0</v>
      </c>
      <c r="AA634" s="655">
        <v>0</v>
      </c>
      <c r="AB634" s="655">
        <v>0</v>
      </c>
      <c r="AC634" s="655">
        <v>-48908</v>
      </c>
      <c r="AD634" s="655">
        <v>20643</v>
      </c>
      <c r="AE634" s="655">
        <v>3114639</v>
      </c>
      <c r="AF634" s="655">
        <v>48968</v>
      </c>
      <c r="AG634" s="655">
        <v>174127</v>
      </c>
      <c r="AH634" s="655">
        <v>0</v>
      </c>
      <c r="AI634" s="655">
        <v>1121915</v>
      </c>
      <c r="AJ634" s="655">
        <v>361470</v>
      </c>
      <c r="AK634" s="655">
        <v>4821119</v>
      </c>
      <c r="AL634" s="655">
        <v>4744689</v>
      </c>
      <c r="AM634" s="655">
        <v>76430</v>
      </c>
    </row>
    <row r="635" spans="1:39" x14ac:dyDescent="0.2">
      <c r="A635" s="648">
        <v>2014</v>
      </c>
      <c r="B635" s="648">
        <v>10</v>
      </c>
      <c r="C635" s="657" t="s">
        <v>373</v>
      </c>
      <c r="D635" s="648">
        <v>6660</v>
      </c>
      <c r="E635" s="648" t="s">
        <v>652</v>
      </c>
      <c r="F635" s="655">
        <v>10089244</v>
      </c>
      <c r="G635" s="655">
        <v>136286</v>
      </c>
      <c r="H635" s="655">
        <v>112755</v>
      </c>
      <c r="I635" s="655">
        <v>1436354</v>
      </c>
      <c r="J635" s="655">
        <v>909246</v>
      </c>
      <c r="K635" s="655">
        <v>102205</v>
      </c>
      <c r="L635" s="655">
        <v>97244</v>
      </c>
      <c r="M635" s="655">
        <v>0</v>
      </c>
      <c r="N635" s="655">
        <v>504953</v>
      </c>
      <c r="O635" s="655">
        <v>31955</v>
      </c>
      <c r="P635" s="655">
        <v>83884</v>
      </c>
      <c r="Q635" s="655">
        <v>92125</v>
      </c>
      <c r="R635" s="655">
        <v>0</v>
      </c>
      <c r="S635" s="655">
        <v>46829</v>
      </c>
      <c r="T635" s="655">
        <v>5442</v>
      </c>
      <c r="U635" s="655">
        <v>296743</v>
      </c>
      <c r="V635" s="655">
        <v>0</v>
      </c>
      <c r="W635" s="655">
        <v>91815</v>
      </c>
      <c r="X635" s="655">
        <v>265547</v>
      </c>
      <c r="Y635" s="655">
        <v>0</v>
      </c>
      <c r="Z635" s="655">
        <v>0</v>
      </c>
      <c r="AA635" s="655">
        <v>0</v>
      </c>
      <c r="AB635" s="655">
        <v>0</v>
      </c>
      <c r="AC635" s="655">
        <v>0</v>
      </c>
      <c r="AD635" s="655">
        <v>88383</v>
      </c>
      <c r="AE635" s="655">
        <v>14214244</v>
      </c>
      <c r="AF635" s="655">
        <v>189751</v>
      </c>
      <c r="AG635" s="655">
        <v>739919</v>
      </c>
      <c r="AH635" s="655">
        <v>0</v>
      </c>
      <c r="AI635" s="655">
        <v>1595608</v>
      </c>
      <c r="AJ635" s="655">
        <v>4163791</v>
      </c>
      <c r="AK635" s="655">
        <v>20903313</v>
      </c>
      <c r="AL635" s="655">
        <v>16698594</v>
      </c>
      <c r="AM635" s="655">
        <v>4204719</v>
      </c>
    </row>
    <row r="636" spans="1:39" x14ac:dyDescent="0.2">
      <c r="A636" s="648">
        <v>2014</v>
      </c>
      <c r="B636" s="648">
        <v>15</v>
      </c>
      <c r="C636" s="657" t="s">
        <v>374</v>
      </c>
      <c r="D636" s="648">
        <v>6700</v>
      </c>
      <c r="E636" s="648" t="s">
        <v>1336</v>
      </c>
      <c r="F636" s="655">
        <v>3110010</v>
      </c>
      <c r="G636" s="655">
        <v>74053</v>
      </c>
      <c r="H636" s="655">
        <v>213841</v>
      </c>
      <c r="I636" s="655">
        <v>479429</v>
      </c>
      <c r="J636" s="655">
        <v>303709</v>
      </c>
      <c r="K636" s="655">
        <v>32287</v>
      </c>
      <c r="L636" s="655">
        <v>32169</v>
      </c>
      <c r="M636" s="655">
        <v>0</v>
      </c>
      <c r="N636" s="655">
        <v>153170</v>
      </c>
      <c r="O636" s="655">
        <v>4647</v>
      </c>
      <c r="P636" s="655">
        <v>25130</v>
      </c>
      <c r="Q636" s="655">
        <v>27595</v>
      </c>
      <c r="R636" s="655">
        <v>0</v>
      </c>
      <c r="S636" s="655">
        <v>15346</v>
      </c>
      <c r="T636" s="655">
        <v>1652</v>
      </c>
      <c r="U636" s="655">
        <v>0</v>
      </c>
      <c r="V636" s="655">
        <v>0</v>
      </c>
      <c r="W636" s="655">
        <v>133222</v>
      </c>
      <c r="X636" s="655">
        <v>113557</v>
      </c>
      <c r="Y636" s="655">
        <v>0</v>
      </c>
      <c r="Z636" s="655">
        <v>0</v>
      </c>
      <c r="AA636" s="655">
        <v>0</v>
      </c>
      <c r="AB636" s="655">
        <v>0</v>
      </c>
      <c r="AC636" s="655">
        <v>0</v>
      </c>
      <c r="AD636" s="655">
        <v>26545</v>
      </c>
      <c r="AE636" s="655">
        <v>4693272</v>
      </c>
      <c r="AF636" s="655">
        <v>88755</v>
      </c>
      <c r="AG636" s="655">
        <v>234570</v>
      </c>
      <c r="AH636" s="655">
        <v>0</v>
      </c>
      <c r="AI636" s="655">
        <v>1014188</v>
      </c>
      <c r="AJ636" s="655">
        <v>262396</v>
      </c>
      <c r="AK636" s="655">
        <v>6293181</v>
      </c>
      <c r="AL636" s="655">
        <v>5887495</v>
      </c>
      <c r="AM636" s="655">
        <v>405686</v>
      </c>
    </row>
    <row r="637" spans="1:39" x14ac:dyDescent="0.2">
      <c r="A637" s="648">
        <v>2014</v>
      </c>
      <c r="B637" s="648">
        <v>5</v>
      </c>
      <c r="C637" s="657" t="s">
        <v>375</v>
      </c>
      <c r="D637" s="648">
        <v>6741</v>
      </c>
      <c r="E637" s="648" t="s">
        <v>1485</v>
      </c>
      <c r="F637" s="655">
        <v>5621198</v>
      </c>
      <c r="G637" s="655">
        <v>0</v>
      </c>
      <c r="H637" s="655">
        <v>265381</v>
      </c>
      <c r="I637" s="655">
        <v>451156</v>
      </c>
      <c r="J637" s="655">
        <v>519067</v>
      </c>
      <c r="K637" s="655">
        <v>54507</v>
      </c>
      <c r="L637" s="655">
        <v>59126</v>
      </c>
      <c r="M637" s="655">
        <v>0</v>
      </c>
      <c r="N637" s="655">
        <v>276275</v>
      </c>
      <c r="O637" s="655">
        <v>688</v>
      </c>
      <c r="P637" s="655">
        <v>49179</v>
      </c>
      <c r="Q637" s="655">
        <v>55283</v>
      </c>
      <c r="R637" s="655">
        <v>4398</v>
      </c>
      <c r="S637" s="655">
        <v>29481</v>
      </c>
      <c r="T637" s="655">
        <v>3514</v>
      </c>
      <c r="U637" s="655">
        <v>270050</v>
      </c>
      <c r="V637" s="655">
        <v>0</v>
      </c>
      <c r="W637" s="655">
        <v>53979</v>
      </c>
      <c r="X637" s="655">
        <v>96152</v>
      </c>
      <c r="Y637" s="655">
        <v>0</v>
      </c>
      <c r="Z637" s="655">
        <v>0</v>
      </c>
      <c r="AA637" s="655">
        <v>0</v>
      </c>
      <c r="AB637" s="655">
        <v>0</v>
      </c>
      <c r="AC637" s="655">
        <v>6014</v>
      </c>
      <c r="AD637" s="655">
        <v>51797</v>
      </c>
      <c r="AE637" s="655">
        <v>7763651</v>
      </c>
      <c r="AF637" s="655">
        <v>220356</v>
      </c>
      <c r="AG637" s="655">
        <v>446211</v>
      </c>
      <c r="AH637" s="655">
        <v>0</v>
      </c>
      <c r="AI637" s="655">
        <v>1545857</v>
      </c>
      <c r="AJ637" s="655">
        <v>2091247</v>
      </c>
      <c r="AK637" s="655">
        <v>12067322</v>
      </c>
      <c r="AL637" s="655">
        <v>9395991</v>
      </c>
      <c r="AM637" s="655">
        <v>2671331</v>
      </c>
    </row>
    <row r="638" spans="1:39" x14ac:dyDescent="0.2">
      <c r="A638" s="648">
        <v>2014</v>
      </c>
      <c r="B638" s="648">
        <v>15</v>
      </c>
      <c r="C638" s="657" t="s">
        <v>376</v>
      </c>
      <c r="D638" s="648">
        <v>6759</v>
      </c>
      <c r="E638" s="648" t="s">
        <v>1337</v>
      </c>
      <c r="F638" s="655">
        <v>4463002</v>
      </c>
      <c r="G638" s="655">
        <v>0</v>
      </c>
      <c r="H638" s="655">
        <v>102040</v>
      </c>
      <c r="I638" s="655">
        <v>816783</v>
      </c>
      <c r="J638" s="655">
        <v>408520</v>
      </c>
      <c r="K638" s="655">
        <v>41921</v>
      </c>
      <c r="L638" s="655">
        <v>50964</v>
      </c>
      <c r="M638" s="655">
        <v>0</v>
      </c>
      <c r="N638" s="655">
        <v>229006</v>
      </c>
      <c r="O638" s="655">
        <v>0</v>
      </c>
      <c r="P638" s="655">
        <v>36344</v>
      </c>
      <c r="Q638" s="655">
        <v>39908</v>
      </c>
      <c r="R638" s="655">
        <v>0</v>
      </c>
      <c r="S638" s="655">
        <v>22901</v>
      </c>
      <c r="T638" s="655">
        <v>2466</v>
      </c>
      <c r="U638" s="655">
        <v>0</v>
      </c>
      <c r="V638" s="655">
        <v>0</v>
      </c>
      <c r="W638" s="655">
        <v>117480</v>
      </c>
      <c r="X638" s="655">
        <v>0</v>
      </c>
      <c r="Y638" s="655">
        <v>88738</v>
      </c>
      <c r="Z638" s="655">
        <v>0</v>
      </c>
      <c r="AA638" s="655">
        <v>0</v>
      </c>
      <c r="AB638" s="655">
        <v>0</v>
      </c>
      <c r="AC638" s="655">
        <v>2651</v>
      </c>
      <c r="AD638" s="655">
        <v>34892</v>
      </c>
      <c r="AE638" s="655">
        <v>6210356</v>
      </c>
      <c r="AF638" s="655">
        <v>64271</v>
      </c>
      <c r="AG638" s="655">
        <v>313436</v>
      </c>
      <c r="AH638" s="655">
        <v>0</v>
      </c>
      <c r="AI638" s="655">
        <v>1086815</v>
      </c>
      <c r="AJ638" s="655">
        <v>446847</v>
      </c>
      <c r="AK638" s="655">
        <v>8121725</v>
      </c>
      <c r="AL638" s="655">
        <v>7346473</v>
      </c>
      <c r="AM638" s="655">
        <v>775252</v>
      </c>
    </row>
    <row r="639" spans="1:39" x14ac:dyDescent="0.2">
      <c r="A639" s="648">
        <v>2014</v>
      </c>
      <c r="B639" s="648">
        <v>7</v>
      </c>
      <c r="C639" s="657" t="s">
        <v>377</v>
      </c>
      <c r="D639" s="648">
        <v>6762</v>
      </c>
      <c r="E639" s="648" t="s">
        <v>1338</v>
      </c>
      <c r="F639" s="655">
        <v>4398921</v>
      </c>
      <c r="G639" s="655">
        <v>0</v>
      </c>
      <c r="H639" s="655">
        <v>143401</v>
      </c>
      <c r="I639" s="655">
        <v>468507</v>
      </c>
      <c r="J639" s="655">
        <v>412402</v>
      </c>
      <c r="K639" s="655">
        <v>42220</v>
      </c>
      <c r="L639" s="655">
        <v>44303</v>
      </c>
      <c r="M639" s="655">
        <v>0</v>
      </c>
      <c r="N639" s="655">
        <v>215037</v>
      </c>
      <c r="O639" s="655">
        <v>0</v>
      </c>
      <c r="P639" s="655">
        <v>37289</v>
      </c>
      <c r="Q639" s="655">
        <v>41677</v>
      </c>
      <c r="R639" s="655">
        <v>0</v>
      </c>
      <c r="S639" s="655">
        <v>27664</v>
      </c>
      <c r="T639" s="655">
        <v>3173</v>
      </c>
      <c r="U639" s="655">
        <v>24597</v>
      </c>
      <c r="V639" s="655">
        <v>0</v>
      </c>
      <c r="W639" s="655">
        <v>34782</v>
      </c>
      <c r="X639" s="655">
        <v>0</v>
      </c>
      <c r="Y639" s="655">
        <v>0</v>
      </c>
      <c r="Z639" s="655">
        <v>0</v>
      </c>
      <c r="AA639" s="655">
        <v>0</v>
      </c>
      <c r="AB639" s="655">
        <v>0</v>
      </c>
      <c r="AC639" s="655">
        <v>0</v>
      </c>
      <c r="AD639" s="655">
        <v>33496</v>
      </c>
      <c r="AE639" s="655">
        <v>5860477</v>
      </c>
      <c r="AF639" s="655">
        <v>134662</v>
      </c>
      <c r="AG639" s="655">
        <v>309112</v>
      </c>
      <c r="AH639" s="655">
        <v>0</v>
      </c>
      <c r="AI639" s="655">
        <v>1060253</v>
      </c>
      <c r="AJ639" s="655">
        <v>907458</v>
      </c>
      <c r="AK639" s="655">
        <v>8271962</v>
      </c>
      <c r="AL639" s="655">
        <v>7802001</v>
      </c>
      <c r="AM639" s="655">
        <v>469961</v>
      </c>
    </row>
    <row r="640" spans="1:39" x14ac:dyDescent="0.2">
      <c r="A640" s="648">
        <v>2014</v>
      </c>
      <c r="B640" s="648">
        <v>10</v>
      </c>
      <c r="C640" s="657" t="s">
        <v>378</v>
      </c>
      <c r="D640" s="648">
        <v>6768</v>
      </c>
      <c r="E640" s="648" t="s">
        <v>1339</v>
      </c>
      <c r="F640" s="655">
        <v>10818868</v>
      </c>
      <c r="G640" s="655">
        <v>0</v>
      </c>
      <c r="H640" s="655">
        <v>426266</v>
      </c>
      <c r="I640" s="655">
        <v>1891511</v>
      </c>
      <c r="J640" s="655">
        <v>936422</v>
      </c>
      <c r="K640" s="655">
        <v>103505</v>
      </c>
      <c r="L640" s="655">
        <v>115223</v>
      </c>
      <c r="M640" s="655">
        <v>0</v>
      </c>
      <c r="N640" s="655">
        <v>556860</v>
      </c>
      <c r="O640" s="655">
        <v>0</v>
      </c>
      <c r="P640" s="655">
        <v>93199</v>
      </c>
      <c r="Q640" s="655">
        <v>102355</v>
      </c>
      <c r="R640" s="655">
        <v>0</v>
      </c>
      <c r="S640" s="655">
        <v>51643</v>
      </c>
      <c r="T640" s="655">
        <v>6001</v>
      </c>
      <c r="U640" s="655">
        <v>286383</v>
      </c>
      <c r="V640" s="655">
        <v>0</v>
      </c>
      <c r="W640" s="655">
        <v>181117</v>
      </c>
      <c r="X640" s="655">
        <v>180706</v>
      </c>
      <c r="Y640" s="655">
        <v>0</v>
      </c>
      <c r="Z640" s="655">
        <v>0</v>
      </c>
      <c r="AA640" s="655">
        <v>0</v>
      </c>
      <c r="AB640" s="655">
        <v>0</v>
      </c>
      <c r="AC640" s="655">
        <v>0</v>
      </c>
      <c r="AD640" s="655">
        <v>80503</v>
      </c>
      <c r="AE640" s="655">
        <v>15669556</v>
      </c>
      <c r="AF640" s="655">
        <v>278506</v>
      </c>
      <c r="AG640" s="655">
        <v>732870</v>
      </c>
      <c r="AH640" s="655">
        <v>0</v>
      </c>
      <c r="AI640" s="655">
        <v>2210058</v>
      </c>
      <c r="AJ640" s="655">
        <v>2384718</v>
      </c>
      <c r="AK640" s="655">
        <v>21275708</v>
      </c>
      <c r="AL640" s="655">
        <v>19151227</v>
      </c>
      <c r="AM640" s="655">
        <v>2124481</v>
      </c>
    </row>
    <row r="641" spans="1:39" x14ac:dyDescent="0.2">
      <c r="A641" s="648">
        <v>2014</v>
      </c>
      <c r="B641" s="648">
        <v>7</v>
      </c>
      <c r="C641" s="657" t="s">
        <v>379</v>
      </c>
      <c r="D641" s="648">
        <v>6795</v>
      </c>
      <c r="E641" s="648" t="s">
        <v>1340</v>
      </c>
      <c r="F641" s="655">
        <v>66129448</v>
      </c>
      <c r="G641" s="655">
        <v>0</v>
      </c>
      <c r="H641" s="655">
        <v>1221666</v>
      </c>
      <c r="I641" s="655">
        <v>15044255</v>
      </c>
      <c r="J641" s="655">
        <v>5592535</v>
      </c>
      <c r="K641" s="655">
        <v>606628</v>
      </c>
      <c r="L641" s="655">
        <v>786942</v>
      </c>
      <c r="M641" s="655">
        <v>0</v>
      </c>
      <c r="N641" s="655">
        <v>3613098</v>
      </c>
      <c r="O641" s="655">
        <v>0</v>
      </c>
      <c r="P641" s="655">
        <v>617227</v>
      </c>
      <c r="Q641" s="655">
        <v>689864</v>
      </c>
      <c r="R641" s="655">
        <v>0</v>
      </c>
      <c r="S641" s="655">
        <v>464816</v>
      </c>
      <c r="T641" s="655">
        <v>53311</v>
      </c>
      <c r="U641" s="655">
        <v>3241650</v>
      </c>
      <c r="V641" s="655">
        <v>846659</v>
      </c>
      <c r="W641" s="655">
        <v>1345641</v>
      </c>
      <c r="X641" s="655">
        <v>427966</v>
      </c>
      <c r="Y641" s="655">
        <v>0</v>
      </c>
      <c r="Z641" s="655">
        <v>0</v>
      </c>
      <c r="AA641" s="655">
        <v>0</v>
      </c>
      <c r="AB641" s="655">
        <v>0</v>
      </c>
      <c r="AC641" s="655">
        <v>48684</v>
      </c>
      <c r="AD641" s="655">
        <v>541622</v>
      </c>
      <c r="AE641" s="655">
        <v>100188768</v>
      </c>
      <c r="AF641" s="655">
        <v>2211124</v>
      </c>
      <c r="AG641" s="655">
        <v>4648900</v>
      </c>
      <c r="AH641" s="655">
        <v>0</v>
      </c>
      <c r="AI641" s="655">
        <v>15289573</v>
      </c>
      <c r="AJ641" s="655">
        <v>8305614</v>
      </c>
      <c r="AK641" s="655">
        <v>130643979</v>
      </c>
      <c r="AL641" s="655">
        <v>120183325</v>
      </c>
      <c r="AM641" s="655">
        <v>10460654</v>
      </c>
    </row>
    <row r="642" spans="1:39" x14ac:dyDescent="0.2">
      <c r="A642" s="648">
        <v>2014</v>
      </c>
      <c r="B642" s="648">
        <v>11</v>
      </c>
      <c r="C642" s="657" t="s">
        <v>380</v>
      </c>
      <c r="D642" s="648">
        <v>6822</v>
      </c>
      <c r="E642" s="648" t="s">
        <v>1341</v>
      </c>
      <c r="F642" s="655">
        <v>47262077</v>
      </c>
      <c r="G642" s="655">
        <v>0</v>
      </c>
      <c r="H642" s="655">
        <v>673065</v>
      </c>
      <c r="I642" s="655">
        <v>3373773</v>
      </c>
      <c r="J642" s="655">
        <v>3546084</v>
      </c>
      <c r="K642" s="655">
        <v>362515</v>
      </c>
      <c r="L642" s="655">
        <v>473007</v>
      </c>
      <c r="M642" s="655">
        <v>0</v>
      </c>
      <c r="N642" s="655">
        <v>2159696</v>
      </c>
      <c r="O642" s="655">
        <v>0</v>
      </c>
      <c r="P642" s="655">
        <v>429306</v>
      </c>
      <c r="Q642" s="655">
        <v>471068</v>
      </c>
      <c r="R642" s="655">
        <v>0</v>
      </c>
      <c r="S642" s="655">
        <v>174549</v>
      </c>
      <c r="T642" s="655">
        <v>22336</v>
      </c>
      <c r="U642" s="655">
        <v>466500</v>
      </c>
      <c r="V642" s="655">
        <v>0</v>
      </c>
      <c r="W642" s="655">
        <v>3480523</v>
      </c>
      <c r="X642" s="655">
        <v>2216092</v>
      </c>
      <c r="Y642" s="655">
        <v>0</v>
      </c>
      <c r="Z642" s="655">
        <v>0</v>
      </c>
      <c r="AA642" s="655">
        <v>0</v>
      </c>
      <c r="AB642" s="655">
        <v>0</v>
      </c>
      <c r="AC642" s="655">
        <v>-2693</v>
      </c>
      <c r="AD642" s="655">
        <v>115205</v>
      </c>
      <c r="AE642" s="655">
        <v>64992693</v>
      </c>
      <c r="AF642" s="655">
        <v>0</v>
      </c>
      <c r="AG642" s="655">
        <v>3654777</v>
      </c>
      <c r="AH642" s="655">
        <v>0</v>
      </c>
      <c r="AI642" s="655">
        <v>5868209</v>
      </c>
      <c r="AJ642" s="655">
        <v>30724650</v>
      </c>
      <c r="AK642" s="655">
        <v>105240329</v>
      </c>
      <c r="AL642" s="655">
        <v>72862324</v>
      </c>
      <c r="AM642" s="655">
        <v>32378005</v>
      </c>
    </row>
    <row r="643" spans="1:39" x14ac:dyDescent="0.2">
      <c r="A643" s="648">
        <v>2014</v>
      </c>
      <c r="B643" s="648">
        <v>7</v>
      </c>
      <c r="C643" s="657" t="s">
        <v>381</v>
      </c>
      <c r="D643" s="648">
        <v>6840</v>
      </c>
      <c r="E643" s="648" t="s">
        <v>1342</v>
      </c>
      <c r="F643" s="655">
        <v>12051637</v>
      </c>
      <c r="G643" s="655">
        <v>0</v>
      </c>
      <c r="H643" s="655">
        <v>104381</v>
      </c>
      <c r="I643" s="655">
        <v>1503868</v>
      </c>
      <c r="J643" s="655">
        <v>1120324</v>
      </c>
      <c r="K643" s="655">
        <v>124159</v>
      </c>
      <c r="L643" s="655">
        <v>102560</v>
      </c>
      <c r="M643" s="655">
        <v>0</v>
      </c>
      <c r="N643" s="655">
        <v>603365</v>
      </c>
      <c r="O643" s="655">
        <v>0</v>
      </c>
      <c r="P643" s="655">
        <v>104610</v>
      </c>
      <c r="Q643" s="655">
        <v>116920</v>
      </c>
      <c r="R643" s="655">
        <v>0</v>
      </c>
      <c r="S643" s="655">
        <v>77621</v>
      </c>
      <c r="T643" s="655">
        <v>8903</v>
      </c>
      <c r="U643" s="655">
        <v>144191</v>
      </c>
      <c r="V643" s="655">
        <v>0</v>
      </c>
      <c r="W643" s="655">
        <v>94263</v>
      </c>
      <c r="X643" s="655">
        <v>203900</v>
      </c>
      <c r="Y643" s="655">
        <v>0</v>
      </c>
      <c r="Z643" s="655">
        <v>0</v>
      </c>
      <c r="AA643" s="655">
        <v>0</v>
      </c>
      <c r="AB643" s="655">
        <v>0</v>
      </c>
      <c r="AC643" s="655">
        <v>-24004</v>
      </c>
      <c r="AD643" s="655">
        <v>88570</v>
      </c>
      <c r="AE643" s="655">
        <v>16248128</v>
      </c>
      <c r="AF643" s="655">
        <v>220356</v>
      </c>
      <c r="AG643" s="655">
        <v>906404</v>
      </c>
      <c r="AH643" s="655">
        <v>0</v>
      </c>
      <c r="AI643" s="655">
        <v>3816572</v>
      </c>
      <c r="AJ643" s="655">
        <v>3248109</v>
      </c>
      <c r="AK643" s="655">
        <v>24439569</v>
      </c>
      <c r="AL643" s="655">
        <v>22827235</v>
      </c>
      <c r="AM643" s="655">
        <v>1612334</v>
      </c>
    </row>
    <row r="644" spans="1:39" x14ac:dyDescent="0.2">
      <c r="A644" s="648">
        <v>2014</v>
      </c>
      <c r="B644" s="648">
        <v>15</v>
      </c>
      <c r="C644" s="657" t="s">
        <v>382</v>
      </c>
      <c r="D644" s="648">
        <v>6854</v>
      </c>
      <c r="E644" s="648" t="s">
        <v>1343</v>
      </c>
      <c r="F644" s="655">
        <v>3433882</v>
      </c>
      <c r="G644" s="655">
        <v>0</v>
      </c>
      <c r="H644" s="655">
        <v>37945</v>
      </c>
      <c r="I644" s="655">
        <v>501105</v>
      </c>
      <c r="J644" s="655">
        <v>352180</v>
      </c>
      <c r="K644" s="655">
        <v>39173</v>
      </c>
      <c r="L644" s="655">
        <v>39050</v>
      </c>
      <c r="M644" s="655">
        <v>0</v>
      </c>
      <c r="N644" s="655">
        <v>170676</v>
      </c>
      <c r="O644" s="655">
        <v>16576</v>
      </c>
      <c r="P644" s="655">
        <v>27984</v>
      </c>
      <c r="Q644" s="655">
        <v>30728</v>
      </c>
      <c r="R644" s="655">
        <v>0</v>
      </c>
      <c r="S644" s="655">
        <v>17068</v>
      </c>
      <c r="T644" s="655">
        <v>1838</v>
      </c>
      <c r="U644" s="655">
        <v>168341</v>
      </c>
      <c r="V644" s="655">
        <v>0</v>
      </c>
      <c r="W644" s="655">
        <v>36006</v>
      </c>
      <c r="X644" s="655">
        <v>0</v>
      </c>
      <c r="Y644" s="655">
        <v>0</v>
      </c>
      <c r="Z644" s="655">
        <v>0</v>
      </c>
      <c r="AA644" s="655">
        <v>0</v>
      </c>
      <c r="AB644" s="655">
        <v>0</v>
      </c>
      <c r="AC644" s="655">
        <v>0</v>
      </c>
      <c r="AD644" s="655">
        <v>35052</v>
      </c>
      <c r="AE644" s="655">
        <v>4837500</v>
      </c>
      <c r="AF644" s="655">
        <v>94876</v>
      </c>
      <c r="AG644" s="655">
        <v>267602</v>
      </c>
      <c r="AH644" s="655">
        <v>0</v>
      </c>
      <c r="AI644" s="655">
        <v>868477</v>
      </c>
      <c r="AJ644" s="655">
        <v>2803883</v>
      </c>
      <c r="AK644" s="655">
        <v>8872338</v>
      </c>
      <c r="AL644" s="655">
        <v>5981238</v>
      </c>
      <c r="AM644" s="655">
        <v>2891100</v>
      </c>
    </row>
    <row r="645" spans="1:39" x14ac:dyDescent="0.2">
      <c r="A645" s="648">
        <v>2014</v>
      </c>
      <c r="B645" s="648">
        <v>5</v>
      </c>
      <c r="C645" s="657" t="s">
        <v>383</v>
      </c>
      <c r="D645" s="648">
        <v>6867</v>
      </c>
      <c r="E645" s="648" t="s">
        <v>1344</v>
      </c>
      <c r="F645" s="655">
        <v>9625885</v>
      </c>
      <c r="G645" s="655">
        <v>0</v>
      </c>
      <c r="H645" s="655">
        <v>265266</v>
      </c>
      <c r="I645" s="655">
        <v>1228852</v>
      </c>
      <c r="J645" s="655">
        <v>841593</v>
      </c>
      <c r="K645" s="655">
        <v>92956</v>
      </c>
      <c r="L645" s="655">
        <v>105616</v>
      </c>
      <c r="M645" s="655">
        <v>0</v>
      </c>
      <c r="N645" s="655">
        <v>494909</v>
      </c>
      <c r="O645" s="655">
        <v>0</v>
      </c>
      <c r="P645" s="655">
        <v>83075</v>
      </c>
      <c r="Q645" s="655">
        <v>93385</v>
      </c>
      <c r="R645" s="655">
        <v>7887</v>
      </c>
      <c r="S645" s="655">
        <v>52811</v>
      </c>
      <c r="T645" s="655">
        <v>6295</v>
      </c>
      <c r="U645" s="655">
        <v>355396</v>
      </c>
      <c r="V645" s="655">
        <v>107237</v>
      </c>
      <c r="W645" s="655">
        <v>95401</v>
      </c>
      <c r="X645" s="655">
        <v>486517</v>
      </c>
      <c r="Y645" s="655">
        <v>0</v>
      </c>
      <c r="Z645" s="655">
        <v>0</v>
      </c>
      <c r="AA645" s="655">
        <v>0</v>
      </c>
      <c r="AB645" s="655">
        <v>0</v>
      </c>
      <c r="AC645" s="655">
        <v>11882</v>
      </c>
      <c r="AD645" s="655">
        <v>79389</v>
      </c>
      <c r="AE645" s="655">
        <v>13875574</v>
      </c>
      <c r="AF645" s="655">
        <v>345837</v>
      </c>
      <c r="AG645" s="655">
        <v>692968</v>
      </c>
      <c r="AH645" s="655">
        <v>0</v>
      </c>
      <c r="AI645" s="655">
        <v>3089757</v>
      </c>
      <c r="AJ645" s="655">
        <v>4121083</v>
      </c>
      <c r="AK645" s="655">
        <v>22125219</v>
      </c>
      <c r="AL645" s="655">
        <v>18787606</v>
      </c>
      <c r="AM645" s="655">
        <v>3337613</v>
      </c>
    </row>
    <row r="646" spans="1:39" x14ac:dyDescent="0.2">
      <c r="A646" s="648">
        <v>2014</v>
      </c>
      <c r="B646" s="648">
        <v>5</v>
      </c>
      <c r="C646" s="657" t="s">
        <v>384</v>
      </c>
      <c r="D646" s="648">
        <v>6921</v>
      </c>
      <c r="E646" s="648" t="s">
        <v>653</v>
      </c>
      <c r="F646" s="655">
        <v>1925976</v>
      </c>
      <c r="G646" s="655">
        <v>60921</v>
      </c>
      <c r="H646" s="655">
        <v>97805</v>
      </c>
      <c r="I646" s="655">
        <v>338280</v>
      </c>
      <c r="J646" s="655">
        <v>193606</v>
      </c>
      <c r="K646" s="655">
        <v>20436</v>
      </c>
      <c r="L646" s="655">
        <v>17534</v>
      </c>
      <c r="M646" s="655">
        <v>0</v>
      </c>
      <c r="N646" s="655">
        <v>102367</v>
      </c>
      <c r="O646" s="655">
        <v>4278</v>
      </c>
      <c r="P646" s="655">
        <v>16998</v>
      </c>
      <c r="Q646" s="655">
        <v>19108</v>
      </c>
      <c r="R646" s="655">
        <v>1680</v>
      </c>
      <c r="S646" s="655">
        <v>11008</v>
      </c>
      <c r="T646" s="655">
        <v>1314</v>
      </c>
      <c r="U646" s="655">
        <v>34125</v>
      </c>
      <c r="V646" s="655">
        <v>0</v>
      </c>
      <c r="W646" s="655">
        <v>80249</v>
      </c>
      <c r="X646" s="655">
        <v>33964</v>
      </c>
      <c r="Y646" s="655">
        <v>0</v>
      </c>
      <c r="Z646" s="655">
        <v>0</v>
      </c>
      <c r="AA646" s="655">
        <v>0</v>
      </c>
      <c r="AB646" s="655">
        <v>0</v>
      </c>
      <c r="AC646" s="655">
        <v>0</v>
      </c>
      <c r="AD646" s="655">
        <v>19619</v>
      </c>
      <c r="AE646" s="655">
        <v>2940030</v>
      </c>
      <c r="AF646" s="655">
        <v>61210</v>
      </c>
      <c r="AG646" s="655">
        <v>173635</v>
      </c>
      <c r="AH646" s="655">
        <v>0</v>
      </c>
      <c r="AI646" s="655">
        <v>654129</v>
      </c>
      <c r="AJ646" s="655">
        <v>502608</v>
      </c>
      <c r="AK646" s="655">
        <v>4331612</v>
      </c>
      <c r="AL646" s="655">
        <v>3600838</v>
      </c>
      <c r="AM646" s="655">
        <v>730774</v>
      </c>
    </row>
    <row r="647" spans="1:39" x14ac:dyDescent="0.2">
      <c r="A647" s="648">
        <v>2014</v>
      </c>
      <c r="B647" s="648">
        <v>10</v>
      </c>
      <c r="C647" s="657" t="s">
        <v>385</v>
      </c>
      <c r="D647" s="648">
        <v>6930</v>
      </c>
      <c r="E647" s="648" t="s">
        <v>1345</v>
      </c>
      <c r="F647" s="655">
        <v>5012234</v>
      </c>
      <c r="G647" s="655">
        <v>0</v>
      </c>
      <c r="H647" s="655">
        <v>56798</v>
      </c>
      <c r="I647" s="655">
        <v>548232</v>
      </c>
      <c r="J647" s="655">
        <v>425775</v>
      </c>
      <c r="K647" s="655">
        <v>44852</v>
      </c>
      <c r="L647" s="655">
        <v>45463</v>
      </c>
      <c r="M647" s="655">
        <v>0</v>
      </c>
      <c r="N647" s="655">
        <v>242345</v>
      </c>
      <c r="O647" s="655">
        <v>0</v>
      </c>
      <c r="P647" s="655">
        <v>41616</v>
      </c>
      <c r="Q647" s="655">
        <v>45705</v>
      </c>
      <c r="R647" s="655">
        <v>0</v>
      </c>
      <c r="S647" s="655">
        <v>22475</v>
      </c>
      <c r="T647" s="655">
        <v>2612</v>
      </c>
      <c r="U647" s="655">
        <v>245724</v>
      </c>
      <c r="V647" s="655">
        <v>0</v>
      </c>
      <c r="W647" s="655">
        <v>48008</v>
      </c>
      <c r="X647" s="655">
        <v>190540</v>
      </c>
      <c r="Y647" s="655">
        <v>0</v>
      </c>
      <c r="Z647" s="655">
        <v>0</v>
      </c>
      <c r="AA647" s="655">
        <v>0</v>
      </c>
      <c r="AB647" s="655">
        <v>0</v>
      </c>
      <c r="AC647" s="655">
        <v>0</v>
      </c>
      <c r="AD647" s="655">
        <v>35036</v>
      </c>
      <c r="AE647" s="655">
        <v>6937343</v>
      </c>
      <c r="AF647" s="655">
        <v>134662</v>
      </c>
      <c r="AG647" s="655">
        <v>401780</v>
      </c>
      <c r="AH647" s="655">
        <v>0</v>
      </c>
      <c r="AI647" s="655">
        <v>858220</v>
      </c>
      <c r="AJ647" s="655">
        <v>1387207</v>
      </c>
      <c r="AK647" s="655">
        <v>9719212</v>
      </c>
      <c r="AL647" s="655">
        <v>8413019</v>
      </c>
      <c r="AM647" s="655">
        <v>1306193</v>
      </c>
    </row>
    <row r="648" spans="1:39" x14ac:dyDescent="0.2">
      <c r="A648" s="648">
        <v>2014</v>
      </c>
      <c r="B648" s="648">
        <v>15</v>
      </c>
      <c r="C648" s="657" t="s">
        <v>386</v>
      </c>
      <c r="D648" s="648">
        <v>6937</v>
      </c>
      <c r="E648" s="648" t="s">
        <v>1346</v>
      </c>
      <c r="F648" s="655">
        <v>2961952</v>
      </c>
      <c r="G648" s="655">
        <v>0</v>
      </c>
      <c r="H648" s="655">
        <v>30452</v>
      </c>
      <c r="I648" s="655">
        <v>388622</v>
      </c>
      <c r="J648" s="655">
        <v>317792</v>
      </c>
      <c r="K648" s="655">
        <v>41359</v>
      </c>
      <c r="L648" s="655">
        <v>52793</v>
      </c>
      <c r="M648" s="655">
        <v>0</v>
      </c>
      <c r="N648" s="655">
        <v>145874</v>
      </c>
      <c r="O648" s="655">
        <v>0</v>
      </c>
      <c r="P648" s="655">
        <v>25030</v>
      </c>
      <c r="Q648" s="655">
        <v>27485</v>
      </c>
      <c r="R648" s="655">
        <v>0</v>
      </c>
      <c r="S648" s="655">
        <v>14588</v>
      </c>
      <c r="T648" s="655">
        <v>1571</v>
      </c>
      <c r="U648" s="655">
        <v>142086</v>
      </c>
      <c r="V648" s="655">
        <v>0</v>
      </c>
      <c r="W648" s="655">
        <v>36006</v>
      </c>
      <c r="X648" s="655">
        <v>67604</v>
      </c>
      <c r="Y648" s="655">
        <v>0</v>
      </c>
      <c r="Z648" s="655">
        <v>0</v>
      </c>
      <c r="AA648" s="655">
        <v>0</v>
      </c>
      <c r="AB648" s="655">
        <v>0</v>
      </c>
      <c r="AC648" s="655">
        <v>0</v>
      </c>
      <c r="AD648" s="655">
        <v>21967</v>
      </c>
      <c r="AE648" s="655">
        <v>4231247</v>
      </c>
      <c r="AF648" s="655">
        <v>159146</v>
      </c>
      <c r="AG648" s="655">
        <v>193534</v>
      </c>
      <c r="AH648" s="655">
        <v>0</v>
      </c>
      <c r="AI648" s="655">
        <v>3041144</v>
      </c>
      <c r="AJ648" s="655">
        <v>1799620</v>
      </c>
      <c r="AK648" s="655">
        <v>9424691</v>
      </c>
      <c r="AL648" s="655">
        <v>7462044</v>
      </c>
      <c r="AM648" s="655">
        <v>1962647</v>
      </c>
    </row>
    <row r="649" spans="1:39" x14ac:dyDescent="0.2">
      <c r="A649" s="648">
        <v>2014</v>
      </c>
      <c r="B649" s="648">
        <v>1</v>
      </c>
      <c r="C649" s="657" t="s">
        <v>387</v>
      </c>
      <c r="D649" s="648">
        <v>6943</v>
      </c>
      <c r="E649" s="648" t="s">
        <v>1347</v>
      </c>
      <c r="F649" s="655">
        <v>1813040</v>
      </c>
      <c r="G649" s="655">
        <v>0</v>
      </c>
      <c r="H649" s="655">
        <v>44445</v>
      </c>
      <c r="I649" s="655">
        <v>207441</v>
      </c>
      <c r="J649" s="655">
        <v>168434</v>
      </c>
      <c r="K649" s="655">
        <v>17428</v>
      </c>
      <c r="L649" s="655">
        <v>15773</v>
      </c>
      <c r="M649" s="655">
        <v>0</v>
      </c>
      <c r="N649" s="655">
        <v>93524</v>
      </c>
      <c r="O649" s="655">
        <v>4736</v>
      </c>
      <c r="P649" s="655">
        <v>15007</v>
      </c>
      <c r="Q649" s="655">
        <v>16757</v>
      </c>
      <c r="R649" s="655">
        <v>0</v>
      </c>
      <c r="S649" s="655">
        <v>9183</v>
      </c>
      <c r="T649" s="655">
        <v>977</v>
      </c>
      <c r="U649" s="655">
        <v>86250</v>
      </c>
      <c r="V649" s="655">
        <v>0</v>
      </c>
      <c r="W649" s="655">
        <v>54009</v>
      </c>
      <c r="X649" s="655">
        <v>0</v>
      </c>
      <c r="Y649" s="655">
        <v>31504</v>
      </c>
      <c r="Z649" s="655">
        <v>0</v>
      </c>
      <c r="AA649" s="655">
        <v>0</v>
      </c>
      <c r="AB649" s="655">
        <v>0</v>
      </c>
      <c r="AC649" s="655">
        <v>0</v>
      </c>
      <c r="AD649" s="655">
        <v>16863</v>
      </c>
      <c r="AE649" s="655">
        <v>2498637</v>
      </c>
      <c r="AF649" s="655">
        <v>0</v>
      </c>
      <c r="AG649" s="655">
        <v>149594</v>
      </c>
      <c r="AH649" s="655">
        <v>0</v>
      </c>
      <c r="AI649" s="655">
        <v>372178</v>
      </c>
      <c r="AJ649" s="655">
        <v>880746</v>
      </c>
      <c r="AK649" s="655">
        <v>3901155</v>
      </c>
      <c r="AL649" s="655">
        <v>3347119</v>
      </c>
      <c r="AM649" s="655">
        <v>554036</v>
      </c>
    </row>
    <row r="650" spans="1:39" x14ac:dyDescent="0.2">
      <c r="A650" s="648">
        <v>2014</v>
      </c>
      <c r="B650" s="648">
        <v>1</v>
      </c>
      <c r="C650" s="657" t="s">
        <v>388</v>
      </c>
      <c r="D650" s="648">
        <v>6950</v>
      </c>
      <c r="E650" s="648" t="s">
        <v>1348</v>
      </c>
      <c r="F650" s="655">
        <v>9652649</v>
      </c>
      <c r="G650" s="655">
        <v>0</v>
      </c>
      <c r="H650" s="655">
        <v>259125</v>
      </c>
      <c r="I650" s="655">
        <v>1195466</v>
      </c>
      <c r="J650" s="655">
        <v>831855</v>
      </c>
      <c r="K650" s="655">
        <v>92050</v>
      </c>
      <c r="L650" s="655">
        <v>89386</v>
      </c>
      <c r="M650" s="655">
        <v>0</v>
      </c>
      <c r="N650" s="655">
        <v>501894</v>
      </c>
      <c r="O650" s="655">
        <v>0</v>
      </c>
      <c r="P650" s="655">
        <v>86418</v>
      </c>
      <c r="Q650" s="655">
        <v>96491</v>
      </c>
      <c r="R650" s="655">
        <v>0</v>
      </c>
      <c r="S650" s="655">
        <v>49281</v>
      </c>
      <c r="T650" s="655">
        <v>5243</v>
      </c>
      <c r="U650" s="655">
        <v>198598</v>
      </c>
      <c r="V650" s="655">
        <v>0</v>
      </c>
      <c r="W650" s="655">
        <v>120620</v>
      </c>
      <c r="X650" s="655">
        <v>0</v>
      </c>
      <c r="Y650" s="655">
        <v>0</v>
      </c>
      <c r="Z650" s="655">
        <v>0</v>
      </c>
      <c r="AA650" s="655">
        <v>0</v>
      </c>
      <c r="AB650" s="655">
        <v>0</v>
      </c>
      <c r="AC650" s="655">
        <v>-11227</v>
      </c>
      <c r="AD650" s="655">
        <v>90517</v>
      </c>
      <c r="AE650" s="655">
        <v>13077332</v>
      </c>
      <c r="AF650" s="655">
        <v>0</v>
      </c>
      <c r="AG650" s="655">
        <v>431763</v>
      </c>
      <c r="AH650" s="655">
        <v>0</v>
      </c>
      <c r="AI650" s="655">
        <v>1460252</v>
      </c>
      <c r="AJ650" s="655">
        <v>2054295</v>
      </c>
      <c r="AK650" s="655">
        <v>17023642</v>
      </c>
      <c r="AL650" s="655">
        <v>15216980</v>
      </c>
      <c r="AM650" s="655">
        <v>1806662</v>
      </c>
    </row>
    <row r="651" spans="1:39" x14ac:dyDescent="0.2">
      <c r="A651" s="648">
        <v>2014</v>
      </c>
      <c r="B651" s="648">
        <v>11</v>
      </c>
      <c r="C651" s="657" t="s">
        <v>389</v>
      </c>
      <c r="D651" s="648">
        <v>6957</v>
      </c>
      <c r="E651" s="648" t="s">
        <v>1349</v>
      </c>
      <c r="F651" s="655">
        <v>55718851</v>
      </c>
      <c r="G651" s="655">
        <v>0</v>
      </c>
      <c r="H651" s="655">
        <v>1622181</v>
      </c>
      <c r="I651" s="655">
        <v>5867591</v>
      </c>
      <c r="J651" s="655">
        <v>4559643</v>
      </c>
      <c r="K651" s="655">
        <v>519867</v>
      </c>
      <c r="L651" s="655">
        <v>502571</v>
      </c>
      <c r="M651" s="655">
        <v>0</v>
      </c>
      <c r="N651" s="655">
        <v>2626756</v>
      </c>
      <c r="O651" s="655">
        <v>0</v>
      </c>
      <c r="P651" s="655">
        <v>532923</v>
      </c>
      <c r="Q651" s="655">
        <v>584765</v>
      </c>
      <c r="R651" s="655">
        <v>0</v>
      </c>
      <c r="S651" s="655">
        <v>212298</v>
      </c>
      <c r="T651" s="655">
        <v>27166</v>
      </c>
      <c r="U651" s="655">
        <v>2353062</v>
      </c>
      <c r="V651" s="655">
        <v>1579973</v>
      </c>
      <c r="W651" s="655">
        <v>1107304</v>
      </c>
      <c r="X651" s="655">
        <v>1058622</v>
      </c>
      <c r="Y651" s="655">
        <v>0</v>
      </c>
      <c r="Z651" s="655">
        <v>0</v>
      </c>
      <c r="AA651" s="655">
        <v>0</v>
      </c>
      <c r="AB651" s="655">
        <v>0</v>
      </c>
      <c r="AC651" s="655">
        <v>167522</v>
      </c>
      <c r="AD651" s="655">
        <v>390197</v>
      </c>
      <c r="AE651" s="655">
        <v>78650898</v>
      </c>
      <c r="AF651" s="655">
        <v>786549</v>
      </c>
      <c r="AG651" s="655">
        <v>4660325</v>
      </c>
      <c r="AH651" s="655">
        <v>0</v>
      </c>
      <c r="AI651" s="655">
        <v>11912159</v>
      </c>
      <c r="AJ651" s="655">
        <v>17074512</v>
      </c>
      <c r="AK651" s="655">
        <v>113084443</v>
      </c>
      <c r="AL651" s="655">
        <v>96040976</v>
      </c>
      <c r="AM651" s="655">
        <v>17043467</v>
      </c>
    </row>
    <row r="652" spans="1:39" x14ac:dyDescent="0.2">
      <c r="A652" s="648">
        <v>2014</v>
      </c>
      <c r="B652" s="648">
        <v>1</v>
      </c>
      <c r="C652" s="657" t="s">
        <v>390</v>
      </c>
      <c r="D652" s="648">
        <v>6961</v>
      </c>
      <c r="E652" s="648" t="s">
        <v>1350</v>
      </c>
      <c r="F652" s="655">
        <v>18387187</v>
      </c>
      <c r="G652" s="655">
        <v>0</v>
      </c>
      <c r="H652" s="655">
        <v>280378</v>
      </c>
      <c r="I652" s="655">
        <v>2659324</v>
      </c>
      <c r="J652" s="655">
        <v>1556540</v>
      </c>
      <c r="K652" s="655">
        <v>172588</v>
      </c>
      <c r="L652" s="655">
        <v>176846</v>
      </c>
      <c r="M652" s="655">
        <v>0</v>
      </c>
      <c r="N652" s="655">
        <v>965529</v>
      </c>
      <c r="O652" s="655">
        <v>0</v>
      </c>
      <c r="P652" s="655">
        <v>222088</v>
      </c>
      <c r="Q652" s="655">
        <v>247974</v>
      </c>
      <c r="R652" s="655">
        <v>0</v>
      </c>
      <c r="S652" s="655">
        <v>94805</v>
      </c>
      <c r="T652" s="655">
        <v>10087</v>
      </c>
      <c r="U652" s="655">
        <v>739227</v>
      </c>
      <c r="V652" s="655">
        <v>130456</v>
      </c>
      <c r="W652" s="655">
        <v>53602</v>
      </c>
      <c r="X652" s="655">
        <v>0</v>
      </c>
      <c r="Y652" s="655">
        <v>0</v>
      </c>
      <c r="Z652" s="655">
        <v>0</v>
      </c>
      <c r="AA652" s="655">
        <v>0</v>
      </c>
      <c r="AB652" s="655">
        <v>0</v>
      </c>
      <c r="AC652" s="655">
        <v>-7391</v>
      </c>
      <c r="AD652" s="655">
        <v>140594</v>
      </c>
      <c r="AE652" s="655">
        <v>25548646</v>
      </c>
      <c r="AF652" s="655">
        <v>850819</v>
      </c>
      <c r="AG652" s="655">
        <v>1473366</v>
      </c>
      <c r="AH652" s="655">
        <v>0</v>
      </c>
      <c r="AI652" s="655">
        <v>4227699</v>
      </c>
      <c r="AJ652" s="655">
        <v>4980559</v>
      </c>
      <c r="AK652" s="655">
        <v>37081089</v>
      </c>
      <c r="AL652" s="655">
        <v>31892745</v>
      </c>
      <c r="AM652" s="655">
        <v>5188344</v>
      </c>
    </row>
    <row r="653" spans="1:39" x14ac:dyDescent="0.2">
      <c r="A653" s="648">
        <v>2014</v>
      </c>
      <c r="B653" s="648">
        <v>13</v>
      </c>
      <c r="C653" s="657" t="s">
        <v>391</v>
      </c>
      <c r="D653" s="648">
        <v>6969</v>
      </c>
      <c r="E653" s="648" t="s">
        <v>1393</v>
      </c>
      <c r="F653" s="655">
        <v>2610765</v>
      </c>
      <c r="G653" s="655">
        <v>98594</v>
      </c>
      <c r="H653" s="655">
        <v>49309</v>
      </c>
      <c r="I653" s="655">
        <v>524858</v>
      </c>
      <c r="J653" s="655">
        <v>232121</v>
      </c>
      <c r="K653" s="655">
        <v>25226</v>
      </c>
      <c r="L653" s="655">
        <v>20483</v>
      </c>
      <c r="M653" s="655">
        <v>0</v>
      </c>
      <c r="N653" s="655">
        <v>134142</v>
      </c>
      <c r="O653" s="655">
        <v>13818</v>
      </c>
      <c r="P653" s="655">
        <v>20787</v>
      </c>
      <c r="Q653" s="655">
        <v>22991</v>
      </c>
      <c r="R653" s="655">
        <v>0</v>
      </c>
      <c r="S653" s="655">
        <v>14377</v>
      </c>
      <c r="T653" s="655">
        <v>1517</v>
      </c>
      <c r="U653" s="655">
        <v>97317</v>
      </c>
      <c r="V653" s="655">
        <v>0</v>
      </c>
      <c r="W653" s="655">
        <v>60010</v>
      </c>
      <c r="X653" s="655">
        <v>72356</v>
      </c>
      <c r="Y653" s="655">
        <v>0</v>
      </c>
      <c r="Z653" s="655">
        <v>0</v>
      </c>
      <c r="AA653" s="655">
        <v>0</v>
      </c>
      <c r="AB653" s="655">
        <v>0</v>
      </c>
      <c r="AC653" s="655">
        <v>0</v>
      </c>
      <c r="AD653" s="655">
        <v>25347</v>
      </c>
      <c r="AE653" s="655">
        <v>3973324</v>
      </c>
      <c r="AF653" s="655">
        <v>55089</v>
      </c>
      <c r="AG653" s="655">
        <v>230269</v>
      </c>
      <c r="AH653" s="655">
        <v>0</v>
      </c>
      <c r="AI653" s="655">
        <v>505105</v>
      </c>
      <c r="AJ653" s="655">
        <v>16369</v>
      </c>
      <c r="AK653" s="655">
        <v>4780156</v>
      </c>
      <c r="AL653" s="655">
        <v>4777283</v>
      </c>
      <c r="AM653" s="655">
        <v>2873</v>
      </c>
    </row>
    <row r="654" spans="1:39" x14ac:dyDescent="0.2">
      <c r="A654" s="648">
        <v>2014</v>
      </c>
      <c r="B654" s="648">
        <v>9</v>
      </c>
      <c r="C654" s="657" t="s">
        <v>392</v>
      </c>
      <c r="D654" s="648">
        <v>6975</v>
      </c>
      <c r="E654" s="648" t="s">
        <v>1394</v>
      </c>
      <c r="F654" s="655">
        <v>7339079</v>
      </c>
      <c r="G654" s="655">
        <v>177785</v>
      </c>
      <c r="H654" s="655">
        <v>297481</v>
      </c>
      <c r="I654" s="655">
        <v>871753</v>
      </c>
      <c r="J654" s="655">
        <v>649815</v>
      </c>
      <c r="K654" s="655">
        <v>67194</v>
      </c>
      <c r="L654" s="655">
        <v>90448</v>
      </c>
      <c r="M654" s="655">
        <v>0</v>
      </c>
      <c r="N654" s="655">
        <v>362304</v>
      </c>
      <c r="O654" s="655">
        <v>2271</v>
      </c>
      <c r="P654" s="655">
        <v>60179</v>
      </c>
      <c r="Q654" s="655">
        <v>65606</v>
      </c>
      <c r="R654" s="655">
        <v>0</v>
      </c>
      <c r="S654" s="655">
        <v>32462</v>
      </c>
      <c r="T654" s="655">
        <v>3813</v>
      </c>
      <c r="U654" s="655">
        <v>131085</v>
      </c>
      <c r="V654" s="655">
        <v>12321</v>
      </c>
      <c r="W654" s="655">
        <v>153236</v>
      </c>
      <c r="X654" s="655">
        <v>31297</v>
      </c>
      <c r="Y654" s="655">
        <v>0</v>
      </c>
      <c r="Z654" s="655">
        <v>0</v>
      </c>
      <c r="AA654" s="655">
        <v>0</v>
      </c>
      <c r="AB654" s="655">
        <v>0</v>
      </c>
      <c r="AC654" s="655">
        <v>0</v>
      </c>
      <c r="AD654" s="655">
        <v>51632</v>
      </c>
      <c r="AE654" s="655">
        <v>10296497</v>
      </c>
      <c r="AF654" s="655">
        <v>263203</v>
      </c>
      <c r="AG654" s="655">
        <v>491302</v>
      </c>
      <c r="AH654" s="655">
        <v>0</v>
      </c>
      <c r="AI654" s="655">
        <v>1293978</v>
      </c>
      <c r="AJ654" s="655">
        <v>2853381</v>
      </c>
      <c r="AK654" s="655">
        <v>15198361</v>
      </c>
      <c r="AL654" s="655">
        <v>12197508</v>
      </c>
      <c r="AM654" s="655">
        <v>3000853</v>
      </c>
    </row>
    <row r="655" spans="1:39" x14ac:dyDescent="0.2">
      <c r="A655" s="648">
        <v>2014</v>
      </c>
      <c r="B655" s="648">
        <v>12</v>
      </c>
      <c r="C655" s="657" t="s">
        <v>393</v>
      </c>
      <c r="D655" s="648">
        <v>6983</v>
      </c>
      <c r="E655" s="648" t="s">
        <v>1395</v>
      </c>
      <c r="F655" s="655">
        <v>5257939</v>
      </c>
      <c r="G655" s="655">
        <v>0</v>
      </c>
      <c r="H655" s="655">
        <v>21442</v>
      </c>
      <c r="I655" s="655">
        <v>473765</v>
      </c>
      <c r="J655" s="655">
        <v>424071</v>
      </c>
      <c r="K655" s="655">
        <v>47649</v>
      </c>
      <c r="L655" s="655">
        <v>48233</v>
      </c>
      <c r="M655" s="655">
        <v>0</v>
      </c>
      <c r="N655" s="655">
        <v>258175</v>
      </c>
      <c r="O655" s="655">
        <v>0</v>
      </c>
      <c r="P655" s="655">
        <v>46038</v>
      </c>
      <c r="Q655" s="655">
        <v>51732</v>
      </c>
      <c r="R655" s="655">
        <v>0</v>
      </c>
      <c r="S655" s="655">
        <v>25901</v>
      </c>
      <c r="T655" s="655">
        <v>3099</v>
      </c>
      <c r="U655" s="655">
        <v>26103</v>
      </c>
      <c r="V655" s="655">
        <v>0</v>
      </c>
      <c r="W655" s="655">
        <v>180202</v>
      </c>
      <c r="X655" s="655">
        <v>252205</v>
      </c>
      <c r="Y655" s="655">
        <v>0</v>
      </c>
      <c r="Z655" s="655">
        <v>0</v>
      </c>
      <c r="AA655" s="655">
        <v>0</v>
      </c>
      <c r="AB655" s="655">
        <v>0</v>
      </c>
      <c r="AC655" s="655">
        <v>0</v>
      </c>
      <c r="AD655" s="655">
        <v>39031</v>
      </c>
      <c r="AE655" s="655">
        <v>7077523</v>
      </c>
      <c r="AF655" s="655">
        <v>122420</v>
      </c>
      <c r="AG655" s="655">
        <v>420477</v>
      </c>
      <c r="AH655" s="655">
        <v>0</v>
      </c>
      <c r="AI655" s="655">
        <v>712987</v>
      </c>
      <c r="AJ655" s="655">
        <v>5773963</v>
      </c>
      <c r="AK655" s="655">
        <v>14107370</v>
      </c>
      <c r="AL655" s="655">
        <v>7955569</v>
      </c>
      <c r="AM655" s="655">
        <v>6151801</v>
      </c>
    </row>
    <row r="656" spans="1:39" x14ac:dyDescent="0.2">
      <c r="A656" s="648">
        <v>2014</v>
      </c>
      <c r="B656" s="648">
        <v>7</v>
      </c>
      <c r="C656" s="657" t="s">
        <v>394</v>
      </c>
      <c r="D656" s="648">
        <v>6985</v>
      </c>
      <c r="E656" s="648" t="s">
        <v>1396</v>
      </c>
      <c r="F656" s="655">
        <v>5262114</v>
      </c>
      <c r="G656" s="655">
        <v>62626</v>
      </c>
      <c r="H656" s="655">
        <v>59007</v>
      </c>
      <c r="I656" s="655">
        <v>577012</v>
      </c>
      <c r="J656" s="655">
        <v>454448</v>
      </c>
      <c r="K656" s="655">
        <v>43579</v>
      </c>
      <c r="L656" s="655">
        <v>54502</v>
      </c>
      <c r="M656" s="655">
        <v>0</v>
      </c>
      <c r="N656" s="655">
        <v>259607</v>
      </c>
      <c r="O656" s="655">
        <v>739</v>
      </c>
      <c r="P656" s="655">
        <v>44041</v>
      </c>
      <c r="Q656" s="655">
        <v>49224</v>
      </c>
      <c r="R656" s="655">
        <v>0</v>
      </c>
      <c r="S656" s="655">
        <v>33533</v>
      </c>
      <c r="T656" s="655">
        <v>3848</v>
      </c>
      <c r="U656" s="655">
        <v>58909</v>
      </c>
      <c r="V656" s="655">
        <v>0</v>
      </c>
      <c r="W656" s="655">
        <v>66620</v>
      </c>
      <c r="X656" s="655">
        <v>0</v>
      </c>
      <c r="Y656" s="655">
        <v>0</v>
      </c>
      <c r="Z656" s="655">
        <v>0</v>
      </c>
      <c r="AA656" s="655">
        <v>0</v>
      </c>
      <c r="AB656" s="655">
        <v>0</v>
      </c>
      <c r="AC656" s="655">
        <v>0</v>
      </c>
      <c r="AD656" s="655">
        <v>38932</v>
      </c>
      <c r="AE656" s="655">
        <v>6990877</v>
      </c>
      <c r="AF656" s="655">
        <v>0</v>
      </c>
      <c r="AG656" s="655">
        <v>351225</v>
      </c>
      <c r="AH656" s="655">
        <v>0</v>
      </c>
      <c r="AI656" s="655">
        <v>1290303</v>
      </c>
      <c r="AJ656" s="655">
        <v>4070903</v>
      </c>
      <c r="AK656" s="655">
        <v>12703308</v>
      </c>
      <c r="AL656" s="655">
        <v>8315617</v>
      </c>
      <c r="AM656" s="655">
        <v>4387691</v>
      </c>
    </row>
    <row r="657" spans="1:39" x14ac:dyDescent="0.2">
      <c r="A657" s="648">
        <v>2014</v>
      </c>
      <c r="B657" s="648">
        <v>12</v>
      </c>
      <c r="C657" s="657" t="s">
        <v>395</v>
      </c>
      <c r="D657" s="648">
        <v>6987</v>
      </c>
      <c r="E657" s="648" t="s">
        <v>1397</v>
      </c>
      <c r="F657" s="655">
        <v>4284257</v>
      </c>
      <c r="G657" s="655">
        <v>61328</v>
      </c>
      <c r="H657" s="655">
        <v>36952</v>
      </c>
      <c r="I657" s="655">
        <v>763982</v>
      </c>
      <c r="J657" s="655">
        <v>385942</v>
      </c>
      <c r="K657" s="655">
        <v>40470</v>
      </c>
      <c r="L657" s="655">
        <v>43219</v>
      </c>
      <c r="M657" s="655">
        <v>0</v>
      </c>
      <c r="N657" s="655">
        <v>227055</v>
      </c>
      <c r="O657" s="655">
        <v>185</v>
      </c>
      <c r="P657" s="655">
        <v>35209</v>
      </c>
      <c r="Q657" s="655">
        <v>39563</v>
      </c>
      <c r="R657" s="655">
        <v>0</v>
      </c>
      <c r="S657" s="655">
        <v>22788</v>
      </c>
      <c r="T657" s="655">
        <v>2731</v>
      </c>
      <c r="U657" s="655">
        <v>132288</v>
      </c>
      <c r="V657" s="655">
        <v>0</v>
      </c>
      <c r="W657" s="655">
        <v>64360</v>
      </c>
      <c r="X657" s="655">
        <v>0</v>
      </c>
      <c r="Y657" s="655">
        <v>201713</v>
      </c>
      <c r="Z657" s="655">
        <v>0</v>
      </c>
      <c r="AA657" s="655">
        <v>0</v>
      </c>
      <c r="AB657" s="655">
        <v>0</v>
      </c>
      <c r="AC657" s="655">
        <v>0</v>
      </c>
      <c r="AD657" s="655">
        <v>33583</v>
      </c>
      <c r="AE657" s="655">
        <v>5905033</v>
      </c>
      <c r="AF657" s="655">
        <v>94876</v>
      </c>
      <c r="AG657" s="655">
        <v>328483</v>
      </c>
      <c r="AH657" s="655">
        <v>0</v>
      </c>
      <c r="AI657" s="655">
        <v>751222</v>
      </c>
      <c r="AJ657" s="655">
        <v>59557</v>
      </c>
      <c r="AK657" s="655">
        <v>7139171</v>
      </c>
      <c r="AL657" s="655">
        <v>7315429</v>
      </c>
      <c r="AM657" s="655">
        <v>-176258</v>
      </c>
    </row>
    <row r="658" spans="1:39" x14ac:dyDescent="0.2">
      <c r="A658" s="648">
        <v>2014</v>
      </c>
      <c r="B658" s="648">
        <v>12</v>
      </c>
      <c r="C658" s="657" t="s">
        <v>396</v>
      </c>
      <c r="D658" s="648">
        <v>6990</v>
      </c>
      <c r="E658" s="648" t="s">
        <v>1398</v>
      </c>
      <c r="F658" s="655">
        <v>4534886</v>
      </c>
      <c r="G658" s="655">
        <v>0</v>
      </c>
      <c r="H658" s="655">
        <v>290525</v>
      </c>
      <c r="I658" s="655">
        <v>672645</v>
      </c>
      <c r="J658" s="655">
        <v>413188</v>
      </c>
      <c r="K658" s="655">
        <v>47534</v>
      </c>
      <c r="L658" s="655">
        <v>48759</v>
      </c>
      <c r="M658" s="655">
        <v>0</v>
      </c>
      <c r="N658" s="655">
        <v>233686</v>
      </c>
      <c r="O658" s="655">
        <v>0</v>
      </c>
      <c r="P658" s="655">
        <v>41052</v>
      </c>
      <c r="Q658" s="655">
        <v>46129</v>
      </c>
      <c r="R658" s="655">
        <v>0</v>
      </c>
      <c r="S658" s="655">
        <v>23444</v>
      </c>
      <c r="T658" s="655">
        <v>2805</v>
      </c>
      <c r="U658" s="655">
        <v>190597</v>
      </c>
      <c r="V658" s="655">
        <v>0</v>
      </c>
      <c r="W658" s="655">
        <v>119316</v>
      </c>
      <c r="X658" s="655">
        <v>187692</v>
      </c>
      <c r="Y658" s="655">
        <v>0</v>
      </c>
      <c r="Z658" s="655">
        <v>0</v>
      </c>
      <c r="AA658" s="655">
        <v>0</v>
      </c>
      <c r="AB658" s="655">
        <v>0</v>
      </c>
      <c r="AC658" s="655">
        <v>0</v>
      </c>
      <c r="AD658" s="655">
        <v>37148</v>
      </c>
      <c r="AE658" s="655">
        <v>6815110</v>
      </c>
      <c r="AF658" s="655">
        <v>146904</v>
      </c>
      <c r="AG658" s="655">
        <v>305516</v>
      </c>
      <c r="AH658" s="655">
        <v>0</v>
      </c>
      <c r="AI658" s="655">
        <v>1130766</v>
      </c>
      <c r="AJ658" s="655">
        <v>1858152</v>
      </c>
      <c r="AK658" s="655">
        <v>10256448</v>
      </c>
      <c r="AL658" s="655">
        <v>8066210</v>
      </c>
      <c r="AM658" s="655">
        <v>2190238</v>
      </c>
    </row>
    <row r="659" spans="1:39" x14ac:dyDescent="0.2">
      <c r="A659" s="648">
        <v>2014</v>
      </c>
      <c r="B659" s="648">
        <v>12</v>
      </c>
      <c r="C659" s="657" t="s">
        <v>397</v>
      </c>
      <c r="D659" s="648">
        <v>6992</v>
      </c>
      <c r="E659" s="648" t="s">
        <v>1399</v>
      </c>
      <c r="F659" s="655">
        <v>3346830</v>
      </c>
      <c r="G659" s="655">
        <v>0</v>
      </c>
      <c r="H659" s="655">
        <v>21648</v>
      </c>
      <c r="I659" s="655">
        <v>569244</v>
      </c>
      <c r="J659" s="655">
        <v>306412</v>
      </c>
      <c r="K659" s="655">
        <v>35406</v>
      </c>
      <c r="L659" s="655">
        <v>34486</v>
      </c>
      <c r="M659" s="655">
        <v>0</v>
      </c>
      <c r="N659" s="655">
        <v>175561</v>
      </c>
      <c r="O659" s="655">
        <v>2430</v>
      </c>
      <c r="P659" s="655">
        <v>27653</v>
      </c>
      <c r="Q659" s="655">
        <v>31073</v>
      </c>
      <c r="R659" s="655">
        <v>0</v>
      </c>
      <c r="S659" s="655">
        <v>17613</v>
      </c>
      <c r="T659" s="655">
        <v>2108</v>
      </c>
      <c r="U659" s="655">
        <v>164076</v>
      </c>
      <c r="V659" s="655">
        <v>0</v>
      </c>
      <c r="W659" s="655">
        <v>48008</v>
      </c>
      <c r="X659" s="655">
        <v>125189</v>
      </c>
      <c r="Y659" s="655">
        <v>0</v>
      </c>
      <c r="Z659" s="655">
        <v>0</v>
      </c>
      <c r="AA659" s="655">
        <v>0</v>
      </c>
      <c r="AB659" s="655">
        <v>0</v>
      </c>
      <c r="AC659" s="655">
        <v>0</v>
      </c>
      <c r="AD659" s="655">
        <v>31987</v>
      </c>
      <c r="AE659" s="655">
        <v>4875750</v>
      </c>
      <c r="AF659" s="655">
        <v>73452</v>
      </c>
      <c r="AG659" s="655">
        <v>288664</v>
      </c>
      <c r="AH659" s="655">
        <v>0</v>
      </c>
      <c r="AI659" s="655">
        <v>915204</v>
      </c>
      <c r="AJ659" s="655">
        <v>375884</v>
      </c>
      <c r="AK659" s="655">
        <v>6528954</v>
      </c>
      <c r="AL659" s="655">
        <v>6111597</v>
      </c>
      <c r="AM659" s="655">
        <v>417357</v>
      </c>
    </row>
    <row r="660" spans="1:39" x14ac:dyDescent="0.2">
      <c r="A660" s="648">
        <v>2014</v>
      </c>
      <c r="B660" s="648">
        <v>12</v>
      </c>
      <c r="C660" s="657" t="s">
        <v>398</v>
      </c>
      <c r="D660" s="648">
        <v>7002</v>
      </c>
      <c r="E660" s="648" t="s">
        <v>1400</v>
      </c>
      <c r="F660" s="655">
        <v>1200328</v>
      </c>
      <c r="G660" s="655">
        <v>0</v>
      </c>
      <c r="H660" s="655">
        <v>14947</v>
      </c>
      <c r="I660" s="655">
        <v>201503</v>
      </c>
      <c r="J660" s="655">
        <v>130097</v>
      </c>
      <c r="K660" s="655">
        <v>14660</v>
      </c>
      <c r="L660" s="655">
        <v>16157</v>
      </c>
      <c r="M660" s="655">
        <v>0</v>
      </c>
      <c r="N660" s="655">
        <v>63143</v>
      </c>
      <c r="O660" s="655">
        <v>0</v>
      </c>
      <c r="P660" s="655">
        <v>9873</v>
      </c>
      <c r="Q660" s="655">
        <v>11094</v>
      </c>
      <c r="R660" s="655">
        <v>0</v>
      </c>
      <c r="S660" s="655">
        <v>6335</v>
      </c>
      <c r="T660" s="655">
        <v>758</v>
      </c>
      <c r="U660" s="655">
        <v>58840</v>
      </c>
      <c r="V660" s="655">
        <v>0</v>
      </c>
      <c r="W660" s="655">
        <v>24004</v>
      </c>
      <c r="X660" s="655">
        <v>0</v>
      </c>
      <c r="Y660" s="655">
        <v>31843</v>
      </c>
      <c r="Z660" s="655">
        <v>0</v>
      </c>
      <c r="AA660" s="655">
        <v>0</v>
      </c>
      <c r="AB660" s="655">
        <v>0</v>
      </c>
      <c r="AC660" s="655">
        <v>0</v>
      </c>
      <c r="AD660" s="655">
        <v>11015</v>
      </c>
      <c r="AE660" s="655">
        <v>1708881</v>
      </c>
      <c r="AF660" s="655">
        <v>24484</v>
      </c>
      <c r="AG660" s="655">
        <v>100516</v>
      </c>
      <c r="AH660" s="655">
        <v>0</v>
      </c>
      <c r="AI660" s="655">
        <v>746460</v>
      </c>
      <c r="AJ660" s="655">
        <v>511997</v>
      </c>
      <c r="AK660" s="655">
        <v>3092338</v>
      </c>
      <c r="AL660" s="655">
        <v>2572321</v>
      </c>
      <c r="AM660" s="655">
        <v>520017</v>
      </c>
    </row>
    <row r="661" spans="1:39" x14ac:dyDescent="0.2">
      <c r="A661" s="648">
        <v>2014</v>
      </c>
      <c r="B661" s="648">
        <v>10</v>
      </c>
      <c r="C661" s="657" t="s">
        <v>399</v>
      </c>
      <c r="D661" s="648">
        <v>7029</v>
      </c>
      <c r="E661" s="648" t="s">
        <v>1401</v>
      </c>
      <c r="F661" s="655">
        <v>7006613</v>
      </c>
      <c r="G661" s="655">
        <v>0</v>
      </c>
      <c r="H661" s="655">
        <v>172609</v>
      </c>
      <c r="I661" s="655">
        <v>671204</v>
      </c>
      <c r="J661" s="655">
        <v>603697</v>
      </c>
      <c r="K661" s="655">
        <v>65762</v>
      </c>
      <c r="L661" s="655">
        <v>55578</v>
      </c>
      <c r="M661" s="655">
        <v>0</v>
      </c>
      <c r="N661" s="655">
        <v>335499</v>
      </c>
      <c r="O661" s="655">
        <v>0</v>
      </c>
      <c r="P661" s="655">
        <v>62249</v>
      </c>
      <c r="Q661" s="655">
        <v>68365</v>
      </c>
      <c r="R661" s="655">
        <v>0</v>
      </c>
      <c r="S661" s="655">
        <v>31114</v>
      </c>
      <c r="T661" s="655">
        <v>3616</v>
      </c>
      <c r="U661" s="655">
        <v>297450</v>
      </c>
      <c r="V661" s="655">
        <v>0</v>
      </c>
      <c r="W661" s="655">
        <v>95674</v>
      </c>
      <c r="X661" s="655">
        <v>476337</v>
      </c>
      <c r="Y661" s="655">
        <v>0</v>
      </c>
      <c r="Z661" s="655">
        <v>0</v>
      </c>
      <c r="AA661" s="655">
        <v>0</v>
      </c>
      <c r="AB661" s="655">
        <v>0</v>
      </c>
      <c r="AC661" s="655">
        <v>0</v>
      </c>
      <c r="AD661" s="655">
        <v>51123</v>
      </c>
      <c r="AE661" s="655">
        <v>9894644</v>
      </c>
      <c r="AF661" s="655">
        <v>195872</v>
      </c>
      <c r="AG661" s="655">
        <v>511272</v>
      </c>
      <c r="AH661" s="655">
        <v>0</v>
      </c>
      <c r="AI661" s="655">
        <v>1459268</v>
      </c>
      <c r="AJ661" s="655">
        <v>1533900</v>
      </c>
      <c r="AK661" s="655">
        <v>13594956</v>
      </c>
      <c r="AL661" s="655">
        <v>12069640</v>
      </c>
      <c r="AM661" s="655">
        <v>1525316</v>
      </c>
    </row>
    <row r="662" spans="1:39" x14ac:dyDescent="0.2">
      <c r="A662" s="648">
        <v>2014</v>
      </c>
      <c r="B662" s="648">
        <v>9</v>
      </c>
      <c r="C662" s="657" t="s">
        <v>400</v>
      </c>
      <c r="D662" s="648">
        <v>7038</v>
      </c>
      <c r="E662" s="648" t="s">
        <v>1402</v>
      </c>
      <c r="F662" s="655">
        <v>4729085</v>
      </c>
      <c r="G662" s="655">
        <v>62750</v>
      </c>
      <c r="H662" s="655">
        <v>26859</v>
      </c>
      <c r="I662" s="655">
        <v>520652</v>
      </c>
      <c r="J662" s="655">
        <v>420955</v>
      </c>
      <c r="K662" s="655">
        <v>46914</v>
      </c>
      <c r="L662" s="655">
        <v>47175</v>
      </c>
      <c r="M662" s="655">
        <v>0</v>
      </c>
      <c r="N662" s="655">
        <v>231645</v>
      </c>
      <c r="O662" s="655">
        <v>13584</v>
      </c>
      <c r="P662" s="655">
        <v>38722</v>
      </c>
      <c r="Q662" s="655">
        <v>42214</v>
      </c>
      <c r="R662" s="655">
        <v>0</v>
      </c>
      <c r="S662" s="655">
        <v>20872</v>
      </c>
      <c r="T662" s="655">
        <v>2452</v>
      </c>
      <c r="U662" s="655">
        <v>231819</v>
      </c>
      <c r="V662" s="655">
        <v>0</v>
      </c>
      <c r="W662" s="655">
        <v>18003</v>
      </c>
      <c r="X662" s="655">
        <v>129170</v>
      </c>
      <c r="Y662" s="655">
        <v>0</v>
      </c>
      <c r="Z662" s="655">
        <v>0</v>
      </c>
      <c r="AA662" s="655">
        <v>0</v>
      </c>
      <c r="AB662" s="655">
        <v>0</v>
      </c>
      <c r="AC662" s="655">
        <v>0</v>
      </c>
      <c r="AD662" s="655">
        <v>40568</v>
      </c>
      <c r="AE662" s="655">
        <v>6542303</v>
      </c>
      <c r="AF662" s="655">
        <v>97936</v>
      </c>
      <c r="AG662" s="655">
        <v>350715</v>
      </c>
      <c r="AH662" s="655">
        <v>0</v>
      </c>
      <c r="AI662" s="655">
        <v>961735</v>
      </c>
      <c r="AJ662" s="655">
        <v>1142310</v>
      </c>
      <c r="AK662" s="655">
        <v>9094999</v>
      </c>
      <c r="AL662" s="655">
        <v>8119570</v>
      </c>
      <c r="AM662" s="655">
        <v>975429</v>
      </c>
    </row>
    <row r="663" spans="1:39" x14ac:dyDescent="0.2">
      <c r="A663" s="648">
        <v>2014</v>
      </c>
      <c r="B663" s="648">
        <v>15</v>
      </c>
      <c r="C663" s="657" t="s">
        <v>401</v>
      </c>
      <c r="D663" s="648">
        <v>7047</v>
      </c>
      <c r="E663" s="648" t="s">
        <v>1403</v>
      </c>
      <c r="F663" s="655">
        <v>2306625</v>
      </c>
      <c r="G663" s="655">
        <v>0</v>
      </c>
      <c r="H663" s="655">
        <v>81538</v>
      </c>
      <c r="I663" s="655">
        <v>236567</v>
      </c>
      <c r="J663" s="655">
        <v>208369</v>
      </c>
      <c r="K663" s="655">
        <v>22489</v>
      </c>
      <c r="L663" s="655">
        <v>25643</v>
      </c>
      <c r="M663" s="655">
        <v>0</v>
      </c>
      <c r="N663" s="655">
        <v>110183</v>
      </c>
      <c r="O663" s="655">
        <v>0</v>
      </c>
      <c r="P663" s="655">
        <v>18773</v>
      </c>
      <c r="Q663" s="655">
        <v>20614</v>
      </c>
      <c r="R663" s="655">
        <v>0</v>
      </c>
      <c r="S663" s="655">
        <v>11019</v>
      </c>
      <c r="T663" s="655">
        <v>1187</v>
      </c>
      <c r="U663" s="655">
        <v>104167</v>
      </c>
      <c r="V663" s="655">
        <v>0</v>
      </c>
      <c r="W663" s="655">
        <v>26810</v>
      </c>
      <c r="X663" s="655">
        <v>48960</v>
      </c>
      <c r="Y663" s="655">
        <v>0</v>
      </c>
      <c r="Z663" s="655">
        <v>0</v>
      </c>
      <c r="AA663" s="655">
        <v>0</v>
      </c>
      <c r="AB663" s="655">
        <v>0</v>
      </c>
      <c r="AC663" s="655">
        <v>0</v>
      </c>
      <c r="AD663" s="655">
        <v>18261</v>
      </c>
      <c r="AE663" s="655">
        <v>3204683</v>
      </c>
      <c r="AF663" s="655">
        <v>70392</v>
      </c>
      <c r="AG663" s="655">
        <v>173205</v>
      </c>
      <c r="AH663" s="655">
        <v>0</v>
      </c>
      <c r="AI663" s="655">
        <v>938960</v>
      </c>
      <c r="AJ663" s="655">
        <v>1713884</v>
      </c>
      <c r="AK663" s="655">
        <v>6101124</v>
      </c>
      <c r="AL663" s="655">
        <v>4278039</v>
      </c>
      <c r="AM663" s="655">
        <v>1823085</v>
      </c>
    </row>
    <row r="664" spans="1:39" x14ac:dyDescent="0.2">
      <c r="A664" s="648">
        <v>2014</v>
      </c>
      <c r="B664" s="648">
        <v>11</v>
      </c>
      <c r="C664" s="657" t="s">
        <v>402</v>
      </c>
      <c r="D664" s="648">
        <v>7056</v>
      </c>
      <c r="E664" s="648" t="s">
        <v>1404</v>
      </c>
      <c r="F664" s="655">
        <v>10441202</v>
      </c>
      <c r="G664" s="655">
        <v>0</v>
      </c>
      <c r="H664" s="655">
        <v>338185</v>
      </c>
      <c r="I664" s="655">
        <v>1185087</v>
      </c>
      <c r="J664" s="655">
        <v>869259</v>
      </c>
      <c r="K664" s="655">
        <v>93529</v>
      </c>
      <c r="L664" s="655">
        <v>113436</v>
      </c>
      <c r="M664" s="655">
        <v>0</v>
      </c>
      <c r="N664" s="655">
        <v>495879</v>
      </c>
      <c r="O664" s="655">
        <v>0</v>
      </c>
      <c r="P664" s="655">
        <v>86131</v>
      </c>
      <c r="Q664" s="655">
        <v>94510</v>
      </c>
      <c r="R664" s="655">
        <v>0</v>
      </c>
      <c r="S664" s="655">
        <v>40078</v>
      </c>
      <c r="T664" s="655">
        <v>5128</v>
      </c>
      <c r="U664" s="655">
        <v>334500</v>
      </c>
      <c r="V664" s="655">
        <v>0</v>
      </c>
      <c r="W664" s="655">
        <v>135646</v>
      </c>
      <c r="X664" s="655">
        <v>533200</v>
      </c>
      <c r="Y664" s="655">
        <v>0</v>
      </c>
      <c r="Z664" s="655">
        <v>0</v>
      </c>
      <c r="AA664" s="655">
        <v>0</v>
      </c>
      <c r="AB664" s="655">
        <v>0</v>
      </c>
      <c r="AC664" s="655">
        <v>8641</v>
      </c>
      <c r="AD664" s="655">
        <v>70332</v>
      </c>
      <c r="AE664" s="655">
        <v>14704079</v>
      </c>
      <c r="AF664" s="655">
        <v>238719</v>
      </c>
      <c r="AG664" s="655">
        <v>719190</v>
      </c>
      <c r="AH664" s="655">
        <v>0</v>
      </c>
      <c r="AI664" s="655">
        <v>2117105</v>
      </c>
      <c r="AJ664" s="655">
        <v>1527967</v>
      </c>
      <c r="AK664" s="655">
        <v>19307060</v>
      </c>
      <c r="AL664" s="655">
        <v>16995883</v>
      </c>
      <c r="AM664" s="655">
        <v>2311177</v>
      </c>
    </row>
    <row r="665" spans="1:39" x14ac:dyDescent="0.2">
      <c r="A665" s="648">
        <v>2014</v>
      </c>
      <c r="B665" s="648">
        <v>13</v>
      </c>
      <c r="C665" s="657" t="s">
        <v>403</v>
      </c>
      <c r="D665" s="648">
        <v>7092</v>
      </c>
      <c r="E665" s="648" t="s">
        <v>1405</v>
      </c>
      <c r="F665" s="655">
        <v>2647333</v>
      </c>
      <c r="G665" s="655">
        <v>34057</v>
      </c>
      <c r="H665" s="655">
        <v>65550</v>
      </c>
      <c r="I665" s="655">
        <v>328208</v>
      </c>
      <c r="J665" s="655">
        <v>251779</v>
      </c>
      <c r="K665" s="655">
        <v>28154</v>
      </c>
      <c r="L665" s="655">
        <v>29088</v>
      </c>
      <c r="M665" s="655">
        <v>0</v>
      </c>
      <c r="N665" s="655">
        <v>130829</v>
      </c>
      <c r="O665" s="655">
        <v>127</v>
      </c>
      <c r="P665" s="655">
        <v>21739</v>
      </c>
      <c r="Q665" s="655">
        <v>24044</v>
      </c>
      <c r="R665" s="655">
        <v>0</v>
      </c>
      <c r="S665" s="655">
        <v>13450</v>
      </c>
      <c r="T665" s="655">
        <v>1419</v>
      </c>
      <c r="U665" s="655">
        <v>0</v>
      </c>
      <c r="V665" s="655">
        <v>0</v>
      </c>
      <c r="W665" s="655">
        <v>69167</v>
      </c>
      <c r="X665" s="655">
        <v>25892</v>
      </c>
      <c r="Y665" s="655">
        <v>0</v>
      </c>
      <c r="Z665" s="655">
        <v>0</v>
      </c>
      <c r="AA665" s="655">
        <v>0</v>
      </c>
      <c r="AB665" s="655">
        <v>0</v>
      </c>
      <c r="AC665" s="655">
        <v>0</v>
      </c>
      <c r="AD665" s="655">
        <v>25428</v>
      </c>
      <c r="AE665" s="655">
        <v>3645408</v>
      </c>
      <c r="AF665" s="655">
        <v>82634</v>
      </c>
      <c r="AG665" s="655">
        <v>206494</v>
      </c>
      <c r="AH665" s="655">
        <v>0</v>
      </c>
      <c r="AI665" s="655">
        <v>614748</v>
      </c>
      <c r="AJ665" s="655">
        <v>1018714</v>
      </c>
      <c r="AK665" s="655">
        <v>5567998</v>
      </c>
      <c r="AL665" s="655">
        <v>4985346</v>
      </c>
      <c r="AM665" s="655">
        <v>582652</v>
      </c>
    </row>
    <row r="666" spans="1:39" x14ac:dyDescent="0.2">
      <c r="A666" s="648">
        <v>2014</v>
      </c>
      <c r="B666" s="648">
        <v>12</v>
      </c>
      <c r="C666" s="657" t="s">
        <v>404</v>
      </c>
      <c r="D666" s="648">
        <v>7098</v>
      </c>
      <c r="E666" s="648" t="s">
        <v>1406</v>
      </c>
      <c r="F666" s="655">
        <v>3605881</v>
      </c>
      <c r="G666" s="655">
        <v>20421</v>
      </c>
      <c r="H666" s="655">
        <v>41476</v>
      </c>
      <c r="I666" s="655">
        <v>460054</v>
      </c>
      <c r="J666" s="655">
        <v>312688</v>
      </c>
      <c r="K666" s="655">
        <v>33909</v>
      </c>
      <c r="L666" s="655">
        <v>35258</v>
      </c>
      <c r="M666" s="655">
        <v>0</v>
      </c>
      <c r="N666" s="655">
        <v>183143</v>
      </c>
      <c r="O666" s="655">
        <v>0</v>
      </c>
      <c r="P666" s="655">
        <v>29769</v>
      </c>
      <c r="Q666" s="655">
        <v>33451</v>
      </c>
      <c r="R666" s="655">
        <v>0</v>
      </c>
      <c r="S666" s="655">
        <v>18373</v>
      </c>
      <c r="T666" s="655">
        <v>2199</v>
      </c>
      <c r="U666" s="655">
        <v>43171</v>
      </c>
      <c r="V666" s="655">
        <v>0</v>
      </c>
      <c r="W666" s="655">
        <v>24004</v>
      </c>
      <c r="X666" s="655">
        <v>0</v>
      </c>
      <c r="Y666" s="655">
        <v>0</v>
      </c>
      <c r="Z666" s="655">
        <v>0</v>
      </c>
      <c r="AA666" s="655">
        <v>0</v>
      </c>
      <c r="AB666" s="655">
        <v>0</v>
      </c>
      <c r="AC666" s="655">
        <v>0</v>
      </c>
      <c r="AD666" s="655">
        <v>27534</v>
      </c>
      <c r="AE666" s="655">
        <v>4816263</v>
      </c>
      <c r="AF666" s="655">
        <v>85694</v>
      </c>
      <c r="AG666" s="655">
        <v>258410</v>
      </c>
      <c r="AH666" s="655">
        <v>0</v>
      </c>
      <c r="AI666" s="655">
        <v>882631</v>
      </c>
      <c r="AJ666" s="655">
        <v>908985</v>
      </c>
      <c r="AK666" s="655">
        <v>6951983</v>
      </c>
      <c r="AL666" s="655">
        <v>6157646</v>
      </c>
      <c r="AM666" s="655">
        <v>794337</v>
      </c>
    </row>
    <row r="667" spans="1:39" x14ac:dyDescent="0.2">
      <c r="A667" s="648">
        <v>2014</v>
      </c>
      <c r="B667" s="648">
        <v>11</v>
      </c>
      <c r="C667" s="657" t="s">
        <v>405</v>
      </c>
      <c r="D667" s="648">
        <v>7110</v>
      </c>
      <c r="E667" s="648" t="s">
        <v>1407</v>
      </c>
      <c r="F667" s="655">
        <v>5282293</v>
      </c>
      <c r="G667" s="655">
        <v>0</v>
      </c>
      <c r="H667" s="655">
        <v>32320</v>
      </c>
      <c r="I667" s="655">
        <v>551963</v>
      </c>
      <c r="J667" s="655">
        <v>445241</v>
      </c>
      <c r="K667" s="655">
        <v>46225</v>
      </c>
      <c r="L667" s="655">
        <v>48665</v>
      </c>
      <c r="M667" s="655">
        <v>0</v>
      </c>
      <c r="N667" s="655">
        <v>245155</v>
      </c>
      <c r="O667" s="655">
        <v>0</v>
      </c>
      <c r="P667" s="655">
        <v>46013</v>
      </c>
      <c r="Q667" s="655">
        <v>50489</v>
      </c>
      <c r="R667" s="655">
        <v>0</v>
      </c>
      <c r="S667" s="655">
        <v>19814</v>
      </c>
      <c r="T667" s="655">
        <v>2535</v>
      </c>
      <c r="U667" s="655">
        <v>31402</v>
      </c>
      <c r="V667" s="655">
        <v>0</v>
      </c>
      <c r="W667" s="655">
        <v>388561</v>
      </c>
      <c r="X667" s="655">
        <v>567383</v>
      </c>
      <c r="Y667" s="655">
        <v>0</v>
      </c>
      <c r="Z667" s="655">
        <v>0</v>
      </c>
      <c r="AA667" s="655">
        <v>0</v>
      </c>
      <c r="AB667" s="655">
        <v>0</v>
      </c>
      <c r="AC667" s="655">
        <v>0</v>
      </c>
      <c r="AD667" s="655">
        <v>30067</v>
      </c>
      <c r="AE667" s="655">
        <v>7727992</v>
      </c>
      <c r="AF667" s="655">
        <v>165267</v>
      </c>
      <c r="AG667" s="655">
        <v>385502</v>
      </c>
      <c r="AH667" s="655">
        <v>0</v>
      </c>
      <c r="AI667" s="655">
        <v>4782646</v>
      </c>
      <c r="AJ667" s="655">
        <v>2586683</v>
      </c>
      <c r="AK667" s="655">
        <v>15648090</v>
      </c>
      <c r="AL667" s="655">
        <v>13564701</v>
      </c>
      <c r="AM667" s="655">
        <v>2083389</v>
      </c>
    </row>
    <row r="668" spans="1:39" x14ac:dyDescent="0.2">
      <c r="A668" s="648">
        <v>2015</v>
      </c>
      <c r="B668" s="648">
        <v>7</v>
      </c>
      <c r="C668" s="657" t="s">
        <v>77</v>
      </c>
      <c r="D668" s="648">
        <v>9</v>
      </c>
      <c r="E668" s="648" t="s">
        <v>998</v>
      </c>
      <c r="F668" s="655">
        <v>3860991</v>
      </c>
      <c r="G668" s="655">
        <v>20723</v>
      </c>
      <c r="H668" s="655">
        <v>116859</v>
      </c>
      <c r="I668" s="655">
        <v>484793</v>
      </c>
      <c r="J668" s="655">
        <v>343638</v>
      </c>
      <c r="K668" s="655">
        <v>36970</v>
      </c>
      <c r="L668" s="655">
        <v>31903</v>
      </c>
      <c r="M668" s="655">
        <v>0</v>
      </c>
      <c r="N668" s="655">
        <v>190044</v>
      </c>
      <c r="O668" s="655">
        <v>18539</v>
      </c>
      <c r="P668" s="655">
        <v>32167</v>
      </c>
      <c r="Q668" s="655">
        <v>35937</v>
      </c>
      <c r="R668" s="655">
        <v>0</v>
      </c>
      <c r="S668" s="655">
        <v>24588</v>
      </c>
      <c r="T668" s="655">
        <v>2820</v>
      </c>
      <c r="U668" s="655">
        <v>94829</v>
      </c>
      <c r="V668" s="655">
        <v>130822</v>
      </c>
      <c r="W668" s="655">
        <v>176795</v>
      </c>
      <c r="X668" s="655">
        <v>170822</v>
      </c>
      <c r="Y668" s="655">
        <v>0</v>
      </c>
      <c r="Z668" s="655">
        <v>0</v>
      </c>
      <c r="AA668" s="655">
        <v>0</v>
      </c>
      <c r="AB668" s="655">
        <v>0</v>
      </c>
      <c r="AC668" s="655">
        <v>-9409</v>
      </c>
      <c r="AD668" s="655">
        <v>41289</v>
      </c>
      <c r="AE668" s="655">
        <v>5722542</v>
      </c>
      <c r="AF668" s="655">
        <v>79575</v>
      </c>
      <c r="AG668" s="655">
        <v>333866</v>
      </c>
      <c r="AH668" s="655">
        <v>0</v>
      </c>
      <c r="AI668" s="655">
        <v>562152</v>
      </c>
      <c r="AJ668" s="655">
        <v>1306974</v>
      </c>
      <c r="AK668" s="655">
        <v>8005109</v>
      </c>
      <c r="AL668" s="655">
        <v>6568152</v>
      </c>
      <c r="AM668" s="655">
        <v>1436957</v>
      </c>
    </row>
    <row r="669" spans="1:39" x14ac:dyDescent="0.2">
      <c r="A669" s="648">
        <v>2015</v>
      </c>
      <c r="B669" s="648">
        <v>11</v>
      </c>
      <c r="C669" s="657" t="s">
        <v>75</v>
      </c>
      <c r="D669" s="648">
        <v>18</v>
      </c>
      <c r="E669" s="648" t="s">
        <v>1007</v>
      </c>
      <c r="F669" s="655">
        <v>2090594</v>
      </c>
      <c r="G669" s="655">
        <v>118309</v>
      </c>
      <c r="H669" s="655">
        <v>134284</v>
      </c>
      <c r="I669" s="655">
        <v>289780</v>
      </c>
      <c r="J669" s="655">
        <v>207277</v>
      </c>
      <c r="K669" s="655">
        <v>20405</v>
      </c>
      <c r="L669" s="655">
        <v>22574</v>
      </c>
      <c r="M669" s="655">
        <v>0</v>
      </c>
      <c r="N669" s="655">
        <v>101639</v>
      </c>
      <c r="O669" s="655">
        <v>4684</v>
      </c>
      <c r="P669" s="655">
        <v>17043</v>
      </c>
      <c r="Q669" s="655">
        <v>18706</v>
      </c>
      <c r="R669" s="655">
        <v>0</v>
      </c>
      <c r="S669" s="655">
        <v>8593</v>
      </c>
      <c r="T669" s="655">
        <v>1100</v>
      </c>
      <c r="U669" s="655">
        <v>60406</v>
      </c>
      <c r="V669" s="655">
        <v>0</v>
      </c>
      <c r="W669" s="655">
        <v>79573</v>
      </c>
      <c r="X669" s="655">
        <v>0</v>
      </c>
      <c r="Y669" s="655">
        <v>15260</v>
      </c>
      <c r="Z669" s="655">
        <v>0</v>
      </c>
      <c r="AA669" s="655">
        <v>0</v>
      </c>
      <c r="AB669" s="655">
        <v>0</v>
      </c>
      <c r="AC669" s="655">
        <v>-2020</v>
      </c>
      <c r="AD669" s="655">
        <v>16927</v>
      </c>
      <c r="AE669" s="655">
        <v>3140760</v>
      </c>
      <c r="AF669" s="655">
        <v>38196</v>
      </c>
      <c r="AG669" s="655">
        <v>183471</v>
      </c>
      <c r="AH669" s="655">
        <v>0</v>
      </c>
      <c r="AI669" s="655">
        <v>337811</v>
      </c>
      <c r="AJ669" s="655">
        <v>719020</v>
      </c>
      <c r="AK669" s="655">
        <v>4419258</v>
      </c>
      <c r="AL669" s="655">
        <v>3461297</v>
      </c>
      <c r="AM669" s="655">
        <v>957961</v>
      </c>
    </row>
    <row r="670" spans="1:39" x14ac:dyDescent="0.2">
      <c r="A670" s="648">
        <v>2015</v>
      </c>
      <c r="B670" s="648">
        <v>11</v>
      </c>
      <c r="C670" s="657" t="s">
        <v>76</v>
      </c>
      <c r="D670" s="648">
        <v>27</v>
      </c>
      <c r="E670" s="648" t="s">
        <v>2005</v>
      </c>
      <c r="F670" s="655">
        <v>9457666</v>
      </c>
      <c r="G670" s="655">
        <v>0</v>
      </c>
      <c r="H670" s="655">
        <v>109143</v>
      </c>
      <c r="I670" s="655">
        <v>1071890</v>
      </c>
      <c r="J670" s="655">
        <v>829197</v>
      </c>
      <c r="K670" s="655">
        <v>89482</v>
      </c>
      <c r="L670" s="655">
        <v>92799</v>
      </c>
      <c r="M670" s="655">
        <v>0</v>
      </c>
      <c r="N670" s="655">
        <v>448190</v>
      </c>
      <c r="O670" s="655">
        <v>0</v>
      </c>
      <c r="P670" s="655">
        <v>77940</v>
      </c>
      <c r="Q670" s="655">
        <v>85545</v>
      </c>
      <c r="R670" s="655">
        <v>0</v>
      </c>
      <c r="S670" s="655">
        <v>36604</v>
      </c>
      <c r="T670" s="655">
        <v>4666</v>
      </c>
      <c r="U670" s="655">
        <v>241390</v>
      </c>
      <c r="V670" s="655">
        <v>0</v>
      </c>
      <c r="W670" s="655">
        <v>311126</v>
      </c>
      <c r="X670" s="655">
        <v>592526</v>
      </c>
      <c r="Y670" s="655">
        <v>0</v>
      </c>
      <c r="Z670" s="655">
        <v>0</v>
      </c>
      <c r="AA670" s="655">
        <v>0</v>
      </c>
      <c r="AB670" s="655">
        <v>0</v>
      </c>
      <c r="AC670" s="655">
        <v>-553</v>
      </c>
      <c r="AD670" s="655">
        <v>62785</v>
      </c>
      <c r="AE670" s="655">
        <v>13384826</v>
      </c>
      <c r="AF670" s="655">
        <v>0</v>
      </c>
      <c r="AG670" s="655">
        <v>669603</v>
      </c>
      <c r="AH670" s="655">
        <v>0</v>
      </c>
      <c r="AI670" s="655">
        <v>2104714</v>
      </c>
      <c r="AJ670" s="655">
        <v>7521506</v>
      </c>
      <c r="AK670" s="655">
        <v>23680649</v>
      </c>
      <c r="AL670" s="655">
        <v>15651941</v>
      </c>
      <c r="AM670" s="655">
        <v>8028708</v>
      </c>
    </row>
    <row r="671" spans="1:39" x14ac:dyDescent="0.2">
      <c r="A671" s="648">
        <v>2015</v>
      </c>
      <c r="B671" s="648">
        <v>12</v>
      </c>
      <c r="C671" s="657" t="s">
        <v>79</v>
      </c>
      <c r="D671" s="648">
        <v>63</v>
      </c>
      <c r="E671" s="648" t="s">
        <v>1008</v>
      </c>
      <c r="F671" s="655">
        <v>3336840</v>
      </c>
      <c r="G671" s="655">
        <v>0</v>
      </c>
      <c r="H671" s="655">
        <v>164128</v>
      </c>
      <c r="I671" s="655">
        <v>367181</v>
      </c>
      <c r="J671" s="655">
        <v>306977</v>
      </c>
      <c r="K671" s="655">
        <v>35173</v>
      </c>
      <c r="L671" s="655">
        <v>33701</v>
      </c>
      <c r="M671" s="655">
        <v>0</v>
      </c>
      <c r="N671" s="655">
        <v>165350</v>
      </c>
      <c r="O671" s="655">
        <v>0</v>
      </c>
      <c r="P671" s="655">
        <v>28123</v>
      </c>
      <c r="Q671" s="655">
        <v>31581</v>
      </c>
      <c r="R671" s="655">
        <v>0</v>
      </c>
      <c r="S671" s="655">
        <v>16601</v>
      </c>
      <c r="T671" s="655">
        <v>1986</v>
      </c>
      <c r="U671" s="655">
        <v>141215</v>
      </c>
      <c r="V671" s="655">
        <v>4892</v>
      </c>
      <c r="W671" s="655">
        <v>12242</v>
      </c>
      <c r="X671" s="655">
        <v>22630</v>
      </c>
      <c r="Y671" s="655">
        <v>0</v>
      </c>
      <c r="Z671" s="655">
        <v>0</v>
      </c>
      <c r="AA671" s="655">
        <v>0</v>
      </c>
      <c r="AB671" s="655">
        <v>0</v>
      </c>
      <c r="AC671" s="655">
        <v>0</v>
      </c>
      <c r="AD671" s="655">
        <v>26925</v>
      </c>
      <c r="AE671" s="655">
        <v>4641695</v>
      </c>
      <c r="AF671" s="655">
        <v>38196</v>
      </c>
      <c r="AG671" s="655">
        <v>253900</v>
      </c>
      <c r="AH671" s="655">
        <v>0</v>
      </c>
      <c r="AI671" s="655">
        <v>937867</v>
      </c>
      <c r="AJ671" s="655">
        <v>1252954</v>
      </c>
      <c r="AK671" s="655">
        <v>7124612</v>
      </c>
      <c r="AL671" s="655">
        <v>5562848</v>
      </c>
      <c r="AM671" s="655">
        <v>1561764</v>
      </c>
    </row>
    <row r="672" spans="1:39" x14ac:dyDescent="0.2">
      <c r="A672" s="648">
        <v>2015</v>
      </c>
      <c r="B672" s="648">
        <v>5</v>
      </c>
      <c r="C672" s="657" t="s">
        <v>80</v>
      </c>
      <c r="D672" s="648">
        <v>72</v>
      </c>
      <c r="E672" s="648" t="s">
        <v>1009</v>
      </c>
      <c r="F672" s="655">
        <v>1302294</v>
      </c>
      <c r="G672" s="655">
        <v>31942</v>
      </c>
      <c r="H672" s="655">
        <v>127399</v>
      </c>
      <c r="I672" s="655">
        <v>144735</v>
      </c>
      <c r="J672" s="655">
        <v>95247</v>
      </c>
      <c r="K672" s="655">
        <v>7838</v>
      </c>
      <c r="L672" s="655">
        <v>8096</v>
      </c>
      <c r="M672" s="655">
        <v>0</v>
      </c>
      <c r="N672" s="655">
        <v>65052</v>
      </c>
      <c r="O672" s="655">
        <v>9220</v>
      </c>
      <c r="P672" s="655">
        <v>10593</v>
      </c>
      <c r="Q672" s="655">
        <v>11900</v>
      </c>
      <c r="R672" s="655">
        <v>200</v>
      </c>
      <c r="S672" s="655">
        <v>7029</v>
      </c>
      <c r="T672" s="655">
        <v>838</v>
      </c>
      <c r="U672" s="655">
        <v>0</v>
      </c>
      <c r="V672" s="655">
        <v>0</v>
      </c>
      <c r="W672" s="655">
        <v>43173</v>
      </c>
      <c r="X672" s="655">
        <v>66561</v>
      </c>
      <c r="Y672" s="655">
        <v>0</v>
      </c>
      <c r="Z672" s="655">
        <v>0</v>
      </c>
      <c r="AA672" s="655">
        <v>0</v>
      </c>
      <c r="AB672" s="655">
        <v>0</v>
      </c>
      <c r="AC672" s="655">
        <v>0</v>
      </c>
      <c r="AD672" s="655">
        <v>14109</v>
      </c>
      <c r="AE672" s="655">
        <v>1918008</v>
      </c>
      <c r="AF672" s="655">
        <v>41379</v>
      </c>
      <c r="AG672" s="655">
        <v>118614</v>
      </c>
      <c r="AH672" s="655">
        <v>0</v>
      </c>
      <c r="AI672" s="655">
        <v>214016</v>
      </c>
      <c r="AJ672" s="655">
        <v>615872</v>
      </c>
      <c r="AK672" s="655">
        <v>2907889</v>
      </c>
      <c r="AL672" s="655">
        <v>2309216</v>
      </c>
      <c r="AM672" s="655">
        <v>598673</v>
      </c>
    </row>
    <row r="673" spans="1:39" x14ac:dyDescent="0.2">
      <c r="A673" s="648">
        <v>2015</v>
      </c>
      <c r="B673" s="648">
        <v>15</v>
      </c>
      <c r="C673" s="657" t="s">
        <v>81</v>
      </c>
      <c r="D673" s="648">
        <v>81</v>
      </c>
      <c r="E673" s="648" t="s">
        <v>1010</v>
      </c>
      <c r="F673" s="655">
        <v>7528432</v>
      </c>
      <c r="G673" s="655">
        <v>0</v>
      </c>
      <c r="H673" s="655">
        <v>98221</v>
      </c>
      <c r="I673" s="655">
        <v>690902</v>
      </c>
      <c r="J673" s="655">
        <v>632360</v>
      </c>
      <c r="K673" s="655">
        <v>73309</v>
      </c>
      <c r="L673" s="655">
        <v>70507</v>
      </c>
      <c r="M673" s="655">
        <v>0</v>
      </c>
      <c r="N673" s="655">
        <v>357953</v>
      </c>
      <c r="O673" s="655">
        <v>0</v>
      </c>
      <c r="P673" s="655">
        <v>61587</v>
      </c>
      <c r="Q673" s="655">
        <v>67644</v>
      </c>
      <c r="R673" s="655">
        <v>968</v>
      </c>
      <c r="S673" s="655">
        <v>35829</v>
      </c>
      <c r="T673" s="655">
        <v>3873</v>
      </c>
      <c r="U673" s="655">
        <v>307500</v>
      </c>
      <c r="V673" s="655">
        <v>0</v>
      </c>
      <c r="W673" s="655">
        <v>122864</v>
      </c>
      <c r="X673" s="655">
        <v>95378</v>
      </c>
      <c r="Y673" s="655">
        <v>0</v>
      </c>
      <c r="Z673" s="655">
        <v>0</v>
      </c>
      <c r="AA673" s="655">
        <v>0</v>
      </c>
      <c r="AB673" s="655">
        <v>0</v>
      </c>
      <c r="AC673" s="655">
        <v>0</v>
      </c>
      <c r="AD673" s="655">
        <v>57955</v>
      </c>
      <c r="AE673" s="655">
        <v>10089372</v>
      </c>
      <c r="AF673" s="655">
        <v>181431</v>
      </c>
      <c r="AG673" s="655">
        <v>481594</v>
      </c>
      <c r="AH673" s="655">
        <v>0</v>
      </c>
      <c r="AI673" s="655">
        <v>1086351</v>
      </c>
      <c r="AJ673" s="655">
        <v>826370</v>
      </c>
      <c r="AK673" s="655">
        <v>12665118</v>
      </c>
      <c r="AL673" s="655">
        <v>12207420</v>
      </c>
      <c r="AM673" s="655">
        <v>457698</v>
      </c>
    </row>
    <row r="674" spans="1:39" x14ac:dyDescent="0.2">
      <c r="A674" s="648">
        <v>2015</v>
      </c>
      <c r="B674" s="648">
        <v>10</v>
      </c>
      <c r="C674" s="657" t="s">
        <v>82</v>
      </c>
      <c r="D674" s="648">
        <v>99</v>
      </c>
      <c r="E674" s="648" t="s">
        <v>1011</v>
      </c>
      <c r="F674" s="655">
        <v>3466287</v>
      </c>
      <c r="G674" s="655">
        <v>0</v>
      </c>
      <c r="H674" s="655">
        <v>16482</v>
      </c>
      <c r="I674" s="655">
        <v>353822</v>
      </c>
      <c r="J674" s="655">
        <v>302709</v>
      </c>
      <c r="K674" s="655">
        <v>34973</v>
      </c>
      <c r="L674" s="655">
        <v>28684</v>
      </c>
      <c r="M674" s="655">
        <v>0</v>
      </c>
      <c r="N674" s="655">
        <v>167374</v>
      </c>
      <c r="O674" s="655">
        <v>0</v>
      </c>
      <c r="P674" s="655">
        <v>29946</v>
      </c>
      <c r="Q674" s="655">
        <v>32896</v>
      </c>
      <c r="R674" s="655">
        <v>0</v>
      </c>
      <c r="S674" s="655">
        <v>15584</v>
      </c>
      <c r="T674" s="655">
        <v>1812</v>
      </c>
      <c r="U674" s="655">
        <v>0</v>
      </c>
      <c r="V674" s="655">
        <v>0</v>
      </c>
      <c r="W674" s="655">
        <v>66719</v>
      </c>
      <c r="X674" s="655">
        <v>8956</v>
      </c>
      <c r="Y674" s="655">
        <v>0</v>
      </c>
      <c r="Z674" s="655">
        <v>0</v>
      </c>
      <c r="AA674" s="655">
        <v>0</v>
      </c>
      <c r="AB674" s="655">
        <v>0</v>
      </c>
      <c r="AC674" s="655">
        <v>0</v>
      </c>
      <c r="AD674" s="655">
        <v>28260</v>
      </c>
      <c r="AE674" s="655">
        <v>4497984</v>
      </c>
      <c r="AF674" s="655">
        <v>0</v>
      </c>
      <c r="AG674" s="655">
        <v>267043</v>
      </c>
      <c r="AH674" s="655">
        <v>0</v>
      </c>
      <c r="AI674" s="655">
        <v>1332615</v>
      </c>
      <c r="AJ674" s="655">
        <v>1384268</v>
      </c>
      <c r="AK674" s="655">
        <v>7481910</v>
      </c>
      <c r="AL674" s="655">
        <v>6212840</v>
      </c>
      <c r="AM674" s="655">
        <v>1269070</v>
      </c>
    </row>
    <row r="675" spans="1:39" x14ac:dyDescent="0.2">
      <c r="A675" s="648">
        <v>2015</v>
      </c>
      <c r="B675" s="648">
        <v>7</v>
      </c>
      <c r="C675" s="657" t="s">
        <v>83</v>
      </c>
      <c r="D675" s="648">
        <v>108</v>
      </c>
      <c r="E675" s="648" t="s">
        <v>1012</v>
      </c>
      <c r="F675" s="655">
        <v>1659616</v>
      </c>
      <c r="G675" s="655">
        <v>0</v>
      </c>
      <c r="H675" s="655">
        <v>135761</v>
      </c>
      <c r="I675" s="655">
        <v>189579</v>
      </c>
      <c r="J675" s="655">
        <v>154444</v>
      </c>
      <c r="K675" s="655">
        <v>14518</v>
      </c>
      <c r="L675" s="655">
        <v>19159</v>
      </c>
      <c r="M675" s="655">
        <v>0</v>
      </c>
      <c r="N675" s="655">
        <v>82264</v>
      </c>
      <c r="O675" s="655">
        <v>0</v>
      </c>
      <c r="P675" s="655">
        <v>13674</v>
      </c>
      <c r="Q675" s="655">
        <v>15276</v>
      </c>
      <c r="R675" s="655">
        <v>0</v>
      </c>
      <c r="S675" s="655">
        <v>10501</v>
      </c>
      <c r="T675" s="655">
        <v>1205</v>
      </c>
      <c r="U675" s="655">
        <v>79787</v>
      </c>
      <c r="V675" s="655">
        <v>0</v>
      </c>
      <c r="W675" s="655">
        <v>60598</v>
      </c>
      <c r="X675" s="655">
        <v>875</v>
      </c>
      <c r="Y675" s="655">
        <v>0</v>
      </c>
      <c r="Z675" s="655">
        <v>0</v>
      </c>
      <c r="AA675" s="655">
        <v>0</v>
      </c>
      <c r="AB675" s="655">
        <v>0</v>
      </c>
      <c r="AC675" s="655">
        <v>0</v>
      </c>
      <c r="AD675" s="655">
        <v>14957</v>
      </c>
      <c r="AE675" s="655">
        <v>2422300</v>
      </c>
      <c r="AF675" s="655">
        <v>89124</v>
      </c>
      <c r="AG675" s="655">
        <v>137815</v>
      </c>
      <c r="AH675" s="655">
        <v>0</v>
      </c>
      <c r="AI675" s="655">
        <v>718330</v>
      </c>
      <c r="AJ675" s="655">
        <v>1462304</v>
      </c>
      <c r="AK675" s="655">
        <v>4829873</v>
      </c>
      <c r="AL675" s="655">
        <v>3282723</v>
      </c>
      <c r="AM675" s="655">
        <v>1547150</v>
      </c>
    </row>
    <row r="676" spans="1:39" x14ac:dyDescent="0.2">
      <c r="A676" s="648">
        <v>2015</v>
      </c>
      <c r="B676" s="648">
        <v>5</v>
      </c>
      <c r="C676" s="657" t="s">
        <v>84</v>
      </c>
      <c r="D676" s="648">
        <v>126</v>
      </c>
      <c r="E676" s="648" t="s">
        <v>1013</v>
      </c>
      <c r="F676" s="655">
        <v>8473556</v>
      </c>
      <c r="G676" s="655">
        <v>0</v>
      </c>
      <c r="H676" s="655">
        <v>1084912</v>
      </c>
      <c r="I676" s="655">
        <v>1253436</v>
      </c>
      <c r="J676" s="655">
        <v>737315</v>
      </c>
      <c r="K676" s="655">
        <v>89489</v>
      </c>
      <c r="L676" s="655">
        <v>77214</v>
      </c>
      <c r="M676" s="655">
        <v>0</v>
      </c>
      <c r="N676" s="655">
        <v>440565</v>
      </c>
      <c r="O676" s="655">
        <v>11077</v>
      </c>
      <c r="P676" s="655">
        <v>88571</v>
      </c>
      <c r="Q676" s="655">
        <v>99499</v>
      </c>
      <c r="R676" s="655">
        <v>1345</v>
      </c>
      <c r="S676" s="655">
        <v>46940</v>
      </c>
      <c r="T676" s="655">
        <v>5594</v>
      </c>
      <c r="U676" s="655">
        <v>334879</v>
      </c>
      <c r="V676" s="655">
        <v>0</v>
      </c>
      <c r="W676" s="655">
        <v>71004</v>
      </c>
      <c r="X676" s="655">
        <v>724933</v>
      </c>
      <c r="Y676" s="655">
        <v>0</v>
      </c>
      <c r="Z676" s="655">
        <v>0</v>
      </c>
      <c r="AA676" s="655">
        <v>0</v>
      </c>
      <c r="AB676" s="655">
        <v>0</v>
      </c>
      <c r="AC676" s="655">
        <v>0</v>
      </c>
      <c r="AD676" s="655">
        <v>83021</v>
      </c>
      <c r="AE676" s="655">
        <v>13457308</v>
      </c>
      <c r="AF676" s="655">
        <v>318300</v>
      </c>
      <c r="AG676" s="655">
        <v>715507</v>
      </c>
      <c r="AH676" s="655">
        <v>0</v>
      </c>
      <c r="AI676" s="655">
        <v>1977977</v>
      </c>
      <c r="AJ676" s="655">
        <v>2609562</v>
      </c>
      <c r="AK676" s="655">
        <v>19078654</v>
      </c>
      <c r="AL676" s="655">
        <v>16270942</v>
      </c>
      <c r="AM676" s="655">
        <v>2807712</v>
      </c>
    </row>
    <row r="677" spans="1:39" x14ac:dyDescent="0.2">
      <c r="A677" s="648">
        <v>2015</v>
      </c>
      <c r="B677" s="648">
        <v>1</v>
      </c>
      <c r="C677" s="657" t="s">
        <v>85</v>
      </c>
      <c r="D677" s="648">
        <v>135</v>
      </c>
      <c r="E677" s="648" t="s">
        <v>1014</v>
      </c>
      <c r="F677" s="655">
        <v>7588651</v>
      </c>
      <c r="G677" s="655">
        <v>0</v>
      </c>
      <c r="H677" s="655">
        <v>204002</v>
      </c>
      <c r="I677" s="655">
        <v>885697</v>
      </c>
      <c r="J677" s="655">
        <v>635208</v>
      </c>
      <c r="K677" s="655">
        <v>66930</v>
      </c>
      <c r="L677" s="655">
        <v>73592</v>
      </c>
      <c r="M677" s="655">
        <v>0</v>
      </c>
      <c r="N677" s="655">
        <v>386498</v>
      </c>
      <c r="O677" s="655">
        <v>5856</v>
      </c>
      <c r="P677" s="655">
        <v>67859</v>
      </c>
      <c r="Q677" s="655">
        <v>75738</v>
      </c>
      <c r="R677" s="655">
        <v>0</v>
      </c>
      <c r="S677" s="655">
        <v>38008</v>
      </c>
      <c r="T677" s="655">
        <v>4061</v>
      </c>
      <c r="U677" s="655">
        <v>93436</v>
      </c>
      <c r="V677" s="655">
        <v>0</v>
      </c>
      <c r="W677" s="655">
        <v>24484</v>
      </c>
      <c r="X677" s="655">
        <v>0</v>
      </c>
      <c r="Y677" s="655">
        <v>0</v>
      </c>
      <c r="Z677" s="655">
        <v>0</v>
      </c>
      <c r="AA677" s="655">
        <v>0</v>
      </c>
      <c r="AB677" s="655">
        <v>0</v>
      </c>
      <c r="AC677" s="655">
        <v>0</v>
      </c>
      <c r="AD677" s="655">
        <v>73532</v>
      </c>
      <c r="AE677" s="655">
        <v>10076488</v>
      </c>
      <c r="AF677" s="655">
        <v>210078</v>
      </c>
      <c r="AG677" s="655">
        <v>0</v>
      </c>
      <c r="AH677" s="655">
        <v>0</v>
      </c>
      <c r="AI677" s="655">
        <v>2121468</v>
      </c>
      <c r="AJ677" s="655">
        <v>5847609</v>
      </c>
      <c r="AK677" s="655">
        <v>18255643</v>
      </c>
      <c r="AL677" s="655">
        <v>12288963</v>
      </c>
      <c r="AM677" s="655">
        <v>5966680</v>
      </c>
    </row>
    <row r="678" spans="1:39" x14ac:dyDescent="0.2">
      <c r="A678" s="648">
        <v>2015</v>
      </c>
      <c r="B678" s="648">
        <v>7</v>
      </c>
      <c r="C678" s="657" t="s">
        <v>86</v>
      </c>
      <c r="D678" s="648">
        <v>153</v>
      </c>
      <c r="E678" s="648" t="s">
        <v>1482</v>
      </c>
      <c r="F678" s="655">
        <v>4091847</v>
      </c>
      <c r="G678" s="655">
        <v>0</v>
      </c>
      <c r="H678" s="655">
        <v>150974</v>
      </c>
      <c r="I678" s="655">
        <v>593418</v>
      </c>
      <c r="J678" s="655">
        <v>399591</v>
      </c>
      <c r="K678" s="655">
        <v>44691</v>
      </c>
      <c r="L678" s="655">
        <v>37006</v>
      </c>
      <c r="M678" s="655">
        <v>0</v>
      </c>
      <c r="N678" s="655">
        <v>205620</v>
      </c>
      <c r="O678" s="655">
        <v>0</v>
      </c>
      <c r="P678" s="655">
        <v>33268</v>
      </c>
      <c r="Q678" s="655">
        <v>37167</v>
      </c>
      <c r="R678" s="655">
        <v>0</v>
      </c>
      <c r="S678" s="655">
        <v>26247</v>
      </c>
      <c r="T678" s="655">
        <v>3013</v>
      </c>
      <c r="U678" s="655">
        <v>151398</v>
      </c>
      <c r="V678" s="655">
        <v>213773</v>
      </c>
      <c r="W678" s="655">
        <v>57413</v>
      </c>
      <c r="X678" s="655">
        <v>110872</v>
      </c>
      <c r="Y678" s="655">
        <v>0</v>
      </c>
      <c r="Z678" s="655">
        <v>0</v>
      </c>
      <c r="AA678" s="655">
        <v>0</v>
      </c>
      <c r="AB678" s="655">
        <v>0</v>
      </c>
      <c r="AC678" s="655">
        <v>6208</v>
      </c>
      <c r="AD678" s="655">
        <v>32769</v>
      </c>
      <c r="AE678" s="655">
        <v>6129737</v>
      </c>
      <c r="AF678" s="655">
        <v>162333</v>
      </c>
      <c r="AG678" s="655">
        <v>322356</v>
      </c>
      <c r="AH678" s="655">
        <v>0</v>
      </c>
      <c r="AI678" s="655">
        <v>840377</v>
      </c>
      <c r="AJ678" s="655">
        <v>-213773</v>
      </c>
      <c r="AK678" s="655">
        <v>7241030</v>
      </c>
      <c r="AL678" s="655">
        <v>6959081</v>
      </c>
      <c r="AM678" s="655">
        <v>281949</v>
      </c>
    </row>
    <row r="679" spans="1:39" x14ac:dyDescent="0.2">
      <c r="A679" s="648">
        <v>2015</v>
      </c>
      <c r="B679" s="648">
        <v>5</v>
      </c>
      <c r="C679" s="657" t="s">
        <v>87</v>
      </c>
      <c r="D679" s="648">
        <v>171</v>
      </c>
      <c r="E679" s="648" t="s">
        <v>1015</v>
      </c>
      <c r="F679" s="655">
        <v>3246660</v>
      </c>
      <c r="G679" s="655">
        <v>0</v>
      </c>
      <c r="H679" s="655">
        <v>190999</v>
      </c>
      <c r="I679" s="655">
        <v>289844</v>
      </c>
      <c r="J679" s="655">
        <v>313823</v>
      </c>
      <c r="K679" s="655">
        <v>35195</v>
      </c>
      <c r="L679" s="655">
        <v>40117</v>
      </c>
      <c r="M679" s="655">
        <v>0</v>
      </c>
      <c r="N679" s="655">
        <v>161009</v>
      </c>
      <c r="O679" s="655">
        <v>0</v>
      </c>
      <c r="P679" s="655">
        <v>26744</v>
      </c>
      <c r="Q679" s="655">
        <v>30044</v>
      </c>
      <c r="R679" s="655">
        <v>490</v>
      </c>
      <c r="S679" s="655">
        <v>17155</v>
      </c>
      <c r="T679" s="655">
        <v>2044</v>
      </c>
      <c r="U679" s="655">
        <v>156086</v>
      </c>
      <c r="V679" s="655">
        <v>0</v>
      </c>
      <c r="W679" s="655">
        <v>44248</v>
      </c>
      <c r="X679" s="655">
        <v>19725</v>
      </c>
      <c r="Y679" s="655">
        <v>0</v>
      </c>
      <c r="Z679" s="655">
        <v>0</v>
      </c>
      <c r="AA679" s="655">
        <v>0</v>
      </c>
      <c r="AB679" s="655">
        <v>0</v>
      </c>
      <c r="AC679" s="655">
        <v>-4285</v>
      </c>
      <c r="AD679" s="655">
        <v>28179</v>
      </c>
      <c r="AE679" s="655">
        <v>4541719</v>
      </c>
      <c r="AF679" s="655">
        <v>127320</v>
      </c>
      <c r="AG679" s="655">
        <v>266324</v>
      </c>
      <c r="AH679" s="655">
        <v>0</v>
      </c>
      <c r="AI679" s="655">
        <v>1211094</v>
      </c>
      <c r="AJ679" s="655">
        <v>1602864</v>
      </c>
      <c r="AK679" s="655">
        <v>7749321</v>
      </c>
      <c r="AL679" s="655">
        <v>6041238</v>
      </c>
      <c r="AM679" s="655">
        <v>1708083</v>
      </c>
    </row>
    <row r="680" spans="1:39" x14ac:dyDescent="0.2">
      <c r="A680" s="648">
        <v>2015</v>
      </c>
      <c r="B680" s="648">
        <v>11</v>
      </c>
      <c r="C680" s="657" t="s">
        <v>88</v>
      </c>
      <c r="D680" s="648">
        <v>225</v>
      </c>
      <c r="E680" s="648" t="s">
        <v>1016</v>
      </c>
      <c r="F680" s="655">
        <v>27416050</v>
      </c>
      <c r="G680" s="655">
        <v>0</v>
      </c>
      <c r="H680" s="655">
        <v>360961</v>
      </c>
      <c r="I680" s="655">
        <v>2317446</v>
      </c>
      <c r="J680" s="655">
        <v>2329430</v>
      </c>
      <c r="K680" s="655">
        <v>287113</v>
      </c>
      <c r="L680" s="655">
        <v>257344</v>
      </c>
      <c r="M680" s="655">
        <v>0</v>
      </c>
      <c r="N680" s="655">
        <v>1251883</v>
      </c>
      <c r="O680" s="655">
        <v>0</v>
      </c>
      <c r="P680" s="655">
        <v>227221</v>
      </c>
      <c r="Q680" s="655">
        <v>249392</v>
      </c>
      <c r="R680" s="655">
        <v>0</v>
      </c>
      <c r="S680" s="655">
        <v>102243</v>
      </c>
      <c r="T680" s="655">
        <v>13034</v>
      </c>
      <c r="U680" s="655">
        <v>1370802</v>
      </c>
      <c r="V680" s="655">
        <v>295068</v>
      </c>
      <c r="W680" s="655">
        <v>327087</v>
      </c>
      <c r="X680" s="655">
        <v>2168771</v>
      </c>
      <c r="Y680" s="655">
        <v>0</v>
      </c>
      <c r="Z680" s="655">
        <v>0</v>
      </c>
      <c r="AA680" s="655">
        <v>0</v>
      </c>
      <c r="AB680" s="655">
        <v>0</v>
      </c>
      <c r="AC680" s="655">
        <v>0</v>
      </c>
      <c r="AD680" s="655">
        <v>203105</v>
      </c>
      <c r="AE680" s="655">
        <v>38770740</v>
      </c>
      <c r="AF680" s="655">
        <v>744822</v>
      </c>
      <c r="AG680" s="655">
        <v>2344621</v>
      </c>
      <c r="AH680" s="655">
        <v>0</v>
      </c>
      <c r="AI680" s="655">
        <v>6721068</v>
      </c>
      <c r="AJ680" s="655">
        <v>2481214</v>
      </c>
      <c r="AK680" s="655">
        <v>51062465</v>
      </c>
      <c r="AL680" s="655">
        <v>48561071</v>
      </c>
      <c r="AM680" s="655">
        <v>2501394</v>
      </c>
    </row>
    <row r="681" spans="1:39" x14ac:dyDescent="0.2">
      <c r="A681" s="648">
        <v>2015</v>
      </c>
      <c r="B681" s="648">
        <v>10</v>
      </c>
      <c r="C681" s="657" t="s">
        <v>89</v>
      </c>
      <c r="D681" s="648">
        <v>234</v>
      </c>
      <c r="E681" s="648" t="s">
        <v>1017</v>
      </c>
      <c r="F681" s="655">
        <v>7959601</v>
      </c>
      <c r="G681" s="655">
        <v>0</v>
      </c>
      <c r="H681" s="655">
        <v>136807</v>
      </c>
      <c r="I681" s="655">
        <v>906833</v>
      </c>
      <c r="J681" s="655">
        <v>719195</v>
      </c>
      <c r="K681" s="655">
        <v>85744</v>
      </c>
      <c r="L681" s="655">
        <v>74596</v>
      </c>
      <c r="M681" s="655">
        <v>0</v>
      </c>
      <c r="N681" s="655">
        <v>387439</v>
      </c>
      <c r="O681" s="655">
        <v>0</v>
      </c>
      <c r="P681" s="655">
        <v>68329</v>
      </c>
      <c r="Q681" s="655">
        <v>75060</v>
      </c>
      <c r="R681" s="655">
        <v>0</v>
      </c>
      <c r="S681" s="655">
        <v>36074</v>
      </c>
      <c r="T681" s="655">
        <v>4195</v>
      </c>
      <c r="U681" s="655">
        <v>210643</v>
      </c>
      <c r="V681" s="655">
        <v>46314</v>
      </c>
      <c r="W681" s="655">
        <v>87098</v>
      </c>
      <c r="X681" s="655">
        <v>201150</v>
      </c>
      <c r="Y681" s="655">
        <v>0</v>
      </c>
      <c r="Z681" s="655">
        <v>0</v>
      </c>
      <c r="AA681" s="655">
        <v>0</v>
      </c>
      <c r="AB681" s="655">
        <v>0</v>
      </c>
      <c r="AC681" s="655">
        <v>0</v>
      </c>
      <c r="AD681" s="655">
        <v>60223</v>
      </c>
      <c r="AE681" s="655">
        <v>10938855</v>
      </c>
      <c r="AF681" s="655">
        <v>268473</v>
      </c>
      <c r="AG681" s="655">
        <v>569271</v>
      </c>
      <c r="AH681" s="655">
        <v>0</v>
      </c>
      <c r="AI681" s="655">
        <v>1841564</v>
      </c>
      <c r="AJ681" s="655">
        <v>6207170</v>
      </c>
      <c r="AK681" s="655">
        <v>19825333</v>
      </c>
      <c r="AL681" s="655">
        <v>13644669</v>
      </c>
      <c r="AM681" s="655">
        <v>6180664</v>
      </c>
    </row>
    <row r="682" spans="1:39" x14ac:dyDescent="0.2">
      <c r="A682" s="648">
        <v>2015</v>
      </c>
      <c r="B682" s="648">
        <v>9</v>
      </c>
      <c r="C682" s="657" t="s">
        <v>90</v>
      </c>
      <c r="D682" s="648">
        <v>243</v>
      </c>
      <c r="E682" s="648" t="s">
        <v>1018</v>
      </c>
      <c r="F682" s="655">
        <v>1751161</v>
      </c>
      <c r="G682" s="655">
        <v>0</v>
      </c>
      <c r="H682" s="655">
        <v>126678</v>
      </c>
      <c r="I682" s="655">
        <v>303865</v>
      </c>
      <c r="J682" s="655">
        <v>161479</v>
      </c>
      <c r="K682" s="655">
        <v>17762</v>
      </c>
      <c r="L682" s="655">
        <v>20406</v>
      </c>
      <c r="M682" s="655">
        <v>0</v>
      </c>
      <c r="N682" s="655">
        <v>89742</v>
      </c>
      <c r="O682" s="655">
        <v>3589</v>
      </c>
      <c r="P682" s="655">
        <v>15259</v>
      </c>
      <c r="Q682" s="655">
        <v>16643</v>
      </c>
      <c r="R682" s="655">
        <v>0</v>
      </c>
      <c r="S682" s="655">
        <v>8059</v>
      </c>
      <c r="T682" s="655">
        <v>946</v>
      </c>
      <c r="U682" s="655">
        <v>0</v>
      </c>
      <c r="V682" s="655">
        <v>0</v>
      </c>
      <c r="W682" s="655">
        <v>12242</v>
      </c>
      <c r="X682" s="655">
        <v>7713</v>
      </c>
      <c r="Y682" s="655">
        <v>0</v>
      </c>
      <c r="Z682" s="655">
        <v>0</v>
      </c>
      <c r="AA682" s="655">
        <v>0</v>
      </c>
      <c r="AB682" s="655">
        <v>0</v>
      </c>
      <c r="AC682" s="655">
        <v>0</v>
      </c>
      <c r="AD682" s="655">
        <v>16393</v>
      </c>
      <c r="AE682" s="655">
        <v>2519151</v>
      </c>
      <c r="AF682" s="655">
        <v>50928</v>
      </c>
      <c r="AG682" s="655">
        <v>136906</v>
      </c>
      <c r="AH682" s="655">
        <v>0</v>
      </c>
      <c r="AI682" s="655">
        <v>480962</v>
      </c>
      <c r="AJ682" s="655">
        <v>933664</v>
      </c>
      <c r="AK682" s="655">
        <v>4121611</v>
      </c>
      <c r="AL682" s="655">
        <v>3012594</v>
      </c>
      <c r="AM682" s="655">
        <v>1109017</v>
      </c>
    </row>
    <row r="683" spans="1:39" x14ac:dyDescent="0.2">
      <c r="A683" s="648">
        <v>2015</v>
      </c>
      <c r="B683" s="648">
        <v>11</v>
      </c>
      <c r="C683" s="657" t="s">
        <v>91</v>
      </c>
      <c r="D683" s="648">
        <v>261</v>
      </c>
      <c r="E683" s="648" t="s">
        <v>1019</v>
      </c>
      <c r="F683" s="655">
        <v>63035495</v>
      </c>
      <c r="G683" s="655">
        <v>0</v>
      </c>
      <c r="H683" s="655">
        <v>1072951</v>
      </c>
      <c r="I683" s="655">
        <v>4617960</v>
      </c>
      <c r="J683" s="655">
        <v>4923918</v>
      </c>
      <c r="K683" s="655">
        <v>541337</v>
      </c>
      <c r="L683" s="655">
        <v>566191</v>
      </c>
      <c r="M683" s="655">
        <v>0</v>
      </c>
      <c r="N683" s="655">
        <v>2888715</v>
      </c>
      <c r="O683" s="655">
        <v>0</v>
      </c>
      <c r="P683" s="655">
        <v>532746</v>
      </c>
      <c r="Q683" s="655">
        <v>584729</v>
      </c>
      <c r="R683" s="655">
        <v>0</v>
      </c>
      <c r="S683" s="655">
        <v>235926</v>
      </c>
      <c r="T683" s="655">
        <v>30075</v>
      </c>
      <c r="U683" s="655">
        <v>1727371</v>
      </c>
      <c r="V683" s="655">
        <v>1762237</v>
      </c>
      <c r="W683" s="655">
        <v>2836690</v>
      </c>
      <c r="X683" s="655">
        <v>2518823</v>
      </c>
      <c r="Y683" s="655">
        <v>0</v>
      </c>
      <c r="Z683" s="655">
        <v>0</v>
      </c>
      <c r="AA683" s="655">
        <v>0</v>
      </c>
      <c r="AB683" s="655">
        <v>0</v>
      </c>
      <c r="AC683" s="655">
        <v>-6121</v>
      </c>
      <c r="AD683" s="655">
        <v>253394</v>
      </c>
      <c r="AE683" s="655">
        <v>87615649</v>
      </c>
      <c r="AF683" s="655">
        <v>585672</v>
      </c>
      <c r="AG683" s="655">
        <v>4410594</v>
      </c>
      <c r="AH683" s="655">
        <v>0</v>
      </c>
      <c r="AI683" s="655">
        <v>6289929</v>
      </c>
      <c r="AJ683" s="655">
        <v>25933015</v>
      </c>
      <c r="AK683" s="655">
        <v>124834859</v>
      </c>
      <c r="AL683" s="655">
        <v>98727440</v>
      </c>
      <c r="AM683" s="655">
        <v>26107419</v>
      </c>
    </row>
    <row r="684" spans="1:39" x14ac:dyDescent="0.2">
      <c r="A684" s="648">
        <v>2015</v>
      </c>
      <c r="B684" s="648">
        <v>7</v>
      </c>
      <c r="C684" s="657" t="s">
        <v>92</v>
      </c>
      <c r="D684" s="648">
        <v>279</v>
      </c>
      <c r="E684" s="648" t="s">
        <v>1455</v>
      </c>
      <c r="F684" s="655">
        <v>5150094</v>
      </c>
      <c r="G684" s="655">
        <v>55327</v>
      </c>
      <c r="H684" s="655">
        <v>121718</v>
      </c>
      <c r="I684" s="655">
        <v>651114</v>
      </c>
      <c r="J684" s="655">
        <v>466502</v>
      </c>
      <c r="K684" s="655">
        <v>51951</v>
      </c>
      <c r="L684" s="655">
        <v>61474</v>
      </c>
      <c r="M684" s="655">
        <v>0</v>
      </c>
      <c r="N684" s="655">
        <v>258074</v>
      </c>
      <c r="O684" s="655">
        <v>0</v>
      </c>
      <c r="P684" s="655">
        <v>43222</v>
      </c>
      <c r="Q684" s="655">
        <v>48287</v>
      </c>
      <c r="R684" s="655">
        <v>0</v>
      </c>
      <c r="S684" s="655">
        <v>32943</v>
      </c>
      <c r="T684" s="655">
        <v>3782</v>
      </c>
      <c r="U684" s="655">
        <v>238118</v>
      </c>
      <c r="V684" s="655">
        <v>0</v>
      </c>
      <c r="W684" s="655">
        <v>89124</v>
      </c>
      <c r="X684" s="655">
        <v>0</v>
      </c>
      <c r="Y684" s="655">
        <v>16997</v>
      </c>
      <c r="Z684" s="655">
        <v>0</v>
      </c>
      <c r="AA684" s="655">
        <v>0</v>
      </c>
      <c r="AB684" s="655">
        <v>0</v>
      </c>
      <c r="AC684" s="655">
        <v>-6121</v>
      </c>
      <c r="AD684" s="655">
        <v>39100</v>
      </c>
      <c r="AE684" s="655">
        <v>7209512</v>
      </c>
      <c r="AF684" s="655">
        <v>175065</v>
      </c>
      <c r="AG684" s="655">
        <v>391448</v>
      </c>
      <c r="AH684" s="655">
        <v>0</v>
      </c>
      <c r="AI684" s="655">
        <v>834187</v>
      </c>
      <c r="AJ684" s="655">
        <v>1048649</v>
      </c>
      <c r="AK684" s="655">
        <v>9658861</v>
      </c>
      <c r="AL684" s="655">
        <v>8747318</v>
      </c>
      <c r="AM684" s="655">
        <v>911543</v>
      </c>
    </row>
    <row r="685" spans="1:39" x14ac:dyDescent="0.2">
      <c r="A685" s="648">
        <v>2015</v>
      </c>
      <c r="B685" s="648">
        <v>5</v>
      </c>
      <c r="C685" s="657" t="s">
        <v>93</v>
      </c>
      <c r="D685" s="648">
        <v>333</v>
      </c>
      <c r="E685" s="648" t="s">
        <v>1635</v>
      </c>
      <c r="F685" s="655">
        <v>2799660</v>
      </c>
      <c r="G685" s="655">
        <v>0</v>
      </c>
      <c r="H685" s="655">
        <v>357224</v>
      </c>
      <c r="I685" s="655">
        <v>284407</v>
      </c>
      <c r="J685" s="655">
        <v>281123</v>
      </c>
      <c r="K685" s="655">
        <v>31616</v>
      </c>
      <c r="L685" s="655">
        <v>34047</v>
      </c>
      <c r="M685" s="655">
        <v>0</v>
      </c>
      <c r="N685" s="655">
        <v>138884</v>
      </c>
      <c r="O685" s="655">
        <v>31351</v>
      </c>
      <c r="P685" s="655">
        <v>23650</v>
      </c>
      <c r="Q685" s="655">
        <v>26568</v>
      </c>
      <c r="R685" s="655">
        <v>423</v>
      </c>
      <c r="S685" s="655">
        <v>15067</v>
      </c>
      <c r="T685" s="655">
        <v>1796</v>
      </c>
      <c r="U685" s="655">
        <v>137572</v>
      </c>
      <c r="V685" s="655">
        <v>263345</v>
      </c>
      <c r="W685" s="655">
        <v>74868</v>
      </c>
      <c r="X685" s="655">
        <v>225836</v>
      </c>
      <c r="Y685" s="655">
        <v>0</v>
      </c>
      <c r="Z685" s="655">
        <v>0</v>
      </c>
      <c r="AA685" s="655">
        <v>0</v>
      </c>
      <c r="AB685" s="655">
        <v>0</v>
      </c>
      <c r="AC685" s="655">
        <v>0</v>
      </c>
      <c r="AD685" s="655">
        <v>31389</v>
      </c>
      <c r="AE685" s="655">
        <v>4696048</v>
      </c>
      <c r="AF685" s="655">
        <v>108222</v>
      </c>
      <c r="AG685" s="655">
        <v>249898</v>
      </c>
      <c r="AH685" s="655">
        <v>0</v>
      </c>
      <c r="AI685" s="655">
        <v>1449385</v>
      </c>
      <c r="AJ685" s="655">
        <v>416842</v>
      </c>
      <c r="AK685" s="655">
        <v>6920395</v>
      </c>
      <c r="AL685" s="655">
        <v>5966344</v>
      </c>
      <c r="AM685" s="655">
        <v>954051</v>
      </c>
    </row>
    <row r="686" spans="1:39" x14ac:dyDescent="0.2">
      <c r="A686" s="648">
        <v>2015</v>
      </c>
      <c r="B686" s="648">
        <v>12</v>
      </c>
      <c r="C686" s="657" t="s">
        <v>94</v>
      </c>
      <c r="D686" s="648">
        <v>355</v>
      </c>
      <c r="E686" s="648" t="s">
        <v>1020</v>
      </c>
      <c r="F686" s="655">
        <v>1816856</v>
      </c>
      <c r="G686" s="655">
        <v>35335</v>
      </c>
      <c r="H686" s="655">
        <v>61044</v>
      </c>
      <c r="I686" s="655">
        <v>254258</v>
      </c>
      <c r="J686" s="655">
        <v>166608</v>
      </c>
      <c r="K686" s="655">
        <v>16104</v>
      </c>
      <c r="L686" s="655">
        <v>16361</v>
      </c>
      <c r="M686" s="655">
        <v>0</v>
      </c>
      <c r="N686" s="655">
        <v>93197</v>
      </c>
      <c r="O686" s="655">
        <v>12130</v>
      </c>
      <c r="P686" s="655">
        <v>18277</v>
      </c>
      <c r="Q686" s="655">
        <v>20525</v>
      </c>
      <c r="R686" s="655">
        <v>0</v>
      </c>
      <c r="S686" s="655">
        <v>9461</v>
      </c>
      <c r="T686" s="655">
        <v>1132</v>
      </c>
      <c r="U686" s="655">
        <v>63903</v>
      </c>
      <c r="V686" s="655">
        <v>504</v>
      </c>
      <c r="W686" s="655">
        <v>89642</v>
      </c>
      <c r="X686" s="655">
        <v>39943</v>
      </c>
      <c r="Y686" s="655">
        <v>0</v>
      </c>
      <c r="Z686" s="655">
        <v>0</v>
      </c>
      <c r="AA686" s="655">
        <v>0</v>
      </c>
      <c r="AB686" s="655">
        <v>0</v>
      </c>
      <c r="AC686" s="655">
        <v>-2693</v>
      </c>
      <c r="AD686" s="655">
        <v>20681</v>
      </c>
      <c r="AE686" s="655">
        <v>2691906</v>
      </c>
      <c r="AF686" s="655">
        <v>47745</v>
      </c>
      <c r="AG686" s="655">
        <v>167883</v>
      </c>
      <c r="AH686" s="655">
        <v>0</v>
      </c>
      <c r="AI686" s="655">
        <v>207125</v>
      </c>
      <c r="AJ686" s="655">
        <v>1190046</v>
      </c>
      <c r="AK686" s="655">
        <v>4304705</v>
      </c>
      <c r="AL686" s="655">
        <v>3480785</v>
      </c>
      <c r="AM686" s="655">
        <v>823920</v>
      </c>
    </row>
    <row r="687" spans="1:39" x14ac:dyDescent="0.2">
      <c r="A687" s="648">
        <v>2015</v>
      </c>
      <c r="B687" s="648">
        <v>13</v>
      </c>
      <c r="C687" s="657" t="s">
        <v>95</v>
      </c>
      <c r="D687" s="648">
        <v>387</v>
      </c>
      <c r="E687" s="648" t="s">
        <v>1021</v>
      </c>
      <c r="F687" s="655">
        <v>9133943</v>
      </c>
      <c r="G687" s="655">
        <v>0</v>
      </c>
      <c r="H687" s="655">
        <v>185208</v>
      </c>
      <c r="I687" s="655">
        <v>1220938</v>
      </c>
      <c r="J687" s="655">
        <v>809293</v>
      </c>
      <c r="K687" s="655">
        <v>95039</v>
      </c>
      <c r="L687" s="655">
        <v>106625</v>
      </c>
      <c r="M687" s="655">
        <v>0</v>
      </c>
      <c r="N687" s="655">
        <v>454965</v>
      </c>
      <c r="O687" s="655">
        <v>0</v>
      </c>
      <c r="P687" s="655">
        <v>74697</v>
      </c>
      <c r="Q687" s="655">
        <v>82613</v>
      </c>
      <c r="R687" s="655">
        <v>0</v>
      </c>
      <c r="S687" s="655">
        <v>46719</v>
      </c>
      <c r="T687" s="655">
        <v>4958</v>
      </c>
      <c r="U687" s="655">
        <v>356235</v>
      </c>
      <c r="V687" s="655">
        <v>102825</v>
      </c>
      <c r="W687" s="655">
        <v>147529</v>
      </c>
      <c r="X687" s="655">
        <v>791129</v>
      </c>
      <c r="Y687" s="655">
        <v>0</v>
      </c>
      <c r="Z687" s="655">
        <v>0</v>
      </c>
      <c r="AA687" s="655">
        <v>0</v>
      </c>
      <c r="AB687" s="655">
        <v>0</v>
      </c>
      <c r="AC687" s="655">
        <v>18375</v>
      </c>
      <c r="AD687" s="655">
        <v>68797</v>
      </c>
      <c r="AE687" s="655">
        <v>13562294</v>
      </c>
      <c r="AF687" s="655">
        <v>350130</v>
      </c>
      <c r="AG687" s="655">
        <v>680113</v>
      </c>
      <c r="AH687" s="655">
        <v>0</v>
      </c>
      <c r="AI687" s="655">
        <v>1720409</v>
      </c>
      <c r="AJ687" s="655">
        <v>2724586</v>
      </c>
      <c r="AK687" s="655">
        <v>19037532</v>
      </c>
      <c r="AL687" s="655">
        <v>16917587</v>
      </c>
      <c r="AM687" s="655">
        <v>2119945</v>
      </c>
    </row>
    <row r="688" spans="1:39" x14ac:dyDescent="0.2">
      <c r="A688" s="648">
        <v>2015</v>
      </c>
      <c r="B688" s="648">
        <v>11</v>
      </c>
      <c r="C688" s="657" t="s">
        <v>96</v>
      </c>
      <c r="D688" s="648">
        <v>414</v>
      </c>
      <c r="E688" s="648" t="s">
        <v>1022</v>
      </c>
      <c r="F688" s="655">
        <v>3385559</v>
      </c>
      <c r="G688" s="655">
        <v>0</v>
      </c>
      <c r="H688" s="655">
        <v>80595</v>
      </c>
      <c r="I688" s="655">
        <v>396690</v>
      </c>
      <c r="J688" s="655">
        <v>302153</v>
      </c>
      <c r="K688" s="655">
        <v>34470</v>
      </c>
      <c r="L688" s="655">
        <v>30520</v>
      </c>
      <c r="M688" s="655">
        <v>0</v>
      </c>
      <c r="N688" s="655">
        <v>159518</v>
      </c>
      <c r="O688" s="655">
        <v>7909</v>
      </c>
      <c r="P688" s="655">
        <v>27487</v>
      </c>
      <c r="Q688" s="655">
        <v>30169</v>
      </c>
      <c r="R688" s="655">
        <v>0</v>
      </c>
      <c r="S688" s="655">
        <v>13028</v>
      </c>
      <c r="T688" s="655">
        <v>1661</v>
      </c>
      <c r="U688" s="655">
        <v>37500</v>
      </c>
      <c r="V688" s="655">
        <v>0</v>
      </c>
      <c r="W688" s="655">
        <v>59294</v>
      </c>
      <c r="X688" s="655">
        <v>0</v>
      </c>
      <c r="Y688" s="655">
        <v>16291</v>
      </c>
      <c r="Z688" s="655">
        <v>0</v>
      </c>
      <c r="AA688" s="655">
        <v>0</v>
      </c>
      <c r="AB688" s="655">
        <v>0</v>
      </c>
      <c r="AC688" s="655">
        <v>0</v>
      </c>
      <c r="AD688" s="655">
        <v>31621</v>
      </c>
      <c r="AE688" s="655">
        <v>4518641</v>
      </c>
      <c r="AF688" s="655">
        <v>120954</v>
      </c>
      <c r="AG688" s="655">
        <v>277514</v>
      </c>
      <c r="AH688" s="655">
        <v>0</v>
      </c>
      <c r="AI688" s="655">
        <v>664521</v>
      </c>
      <c r="AJ688" s="655">
        <v>800454</v>
      </c>
      <c r="AK688" s="655">
        <v>6382084</v>
      </c>
      <c r="AL688" s="655">
        <v>5778260</v>
      </c>
      <c r="AM688" s="655">
        <v>603824</v>
      </c>
    </row>
    <row r="689" spans="1:39" x14ac:dyDescent="0.2">
      <c r="A689" s="648">
        <v>2015</v>
      </c>
      <c r="B689" s="648">
        <v>12</v>
      </c>
      <c r="C689" s="657" t="s">
        <v>97</v>
      </c>
      <c r="D689" s="648">
        <v>423</v>
      </c>
      <c r="E689" s="648" t="s">
        <v>1023</v>
      </c>
      <c r="F689" s="655">
        <v>1559359</v>
      </c>
      <c r="G689" s="655">
        <v>47485</v>
      </c>
      <c r="H689" s="655">
        <v>157789</v>
      </c>
      <c r="I689" s="655">
        <v>136573</v>
      </c>
      <c r="J689" s="655">
        <v>145956</v>
      </c>
      <c r="K689" s="655">
        <v>17431</v>
      </c>
      <c r="L689" s="655">
        <v>15557</v>
      </c>
      <c r="M689" s="655">
        <v>0</v>
      </c>
      <c r="N689" s="655">
        <v>75519</v>
      </c>
      <c r="O689" s="655">
        <v>9610</v>
      </c>
      <c r="P689" s="655">
        <v>12674</v>
      </c>
      <c r="Q689" s="655">
        <v>14232</v>
      </c>
      <c r="R689" s="655">
        <v>0</v>
      </c>
      <c r="S689" s="655">
        <v>7871</v>
      </c>
      <c r="T689" s="655">
        <v>942</v>
      </c>
      <c r="U689" s="655">
        <v>77968</v>
      </c>
      <c r="V689" s="655">
        <v>0</v>
      </c>
      <c r="W689" s="655">
        <v>55807</v>
      </c>
      <c r="X689" s="655">
        <v>0</v>
      </c>
      <c r="Y689" s="655">
        <v>0</v>
      </c>
      <c r="Z689" s="655">
        <v>0</v>
      </c>
      <c r="AA689" s="655">
        <v>0</v>
      </c>
      <c r="AB689" s="655">
        <v>0</v>
      </c>
      <c r="AC689" s="655">
        <v>0</v>
      </c>
      <c r="AD689" s="655">
        <v>16506</v>
      </c>
      <c r="AE689" s="655">
        <v>2318267</v>
      </c>
      <c r="AF689" s="655">
        <v>57294</v>
      </c>
      <c r="AG689" s="655">
        <v>142141</v>
      </c>
      <c r="AH689" s="655">
        <v>0</v>
      </c>
      <c r="AI689" s="655">
        <v>718438</v>
      </c>
      <c r="AJ689" s="655">
        <v>1173202</v>
      </c>
      <c r="AK689" s="655">
        <v>4409342</v>
      </c>
      <c r="AL689" s="655">
        <v>3203358</v>
      </c>
      <c r="AM689" s="655">
        <v>1205984</v>
      </c>
    </row>
    <row r="690" spans="1:39" x14ac:dyDescent="0.2">
      <c r="A690" s="648">
        <v>2015</v>
      </c>
      <c r="B690" s="648">
        <v>13</v>
      </c>
      <c r="C690" s="657" t="s">
        <v>78</v>
      </c>
      <c r="D690" s="648">
        <v>441</v>
      </c>
      <c r="E690" s="648" t="s">
        <v>1785</v>
      </c>
      <c r="F690" s="655">
        <v>4864527</v>
      </c>
      <c r="G690" s="655">
        <v>143291</v>
      </c>
      <c r="H690" s="655">
        <v>194435</v>
      </c>
      <c r="I690" s="655">
        <v>412105</v>
      </c>
      <c r="J690" s="655">
        <v>401375</v>
      </c>
      <c r="K690" s="655">
        <v>39681</v>
      </c>
      <c r="L690" s="655">
        <v>44667</v>
      </c>
      <c r="M690" s="655">
        <v>0</v>
      </c>
      <c r="N690" s="655">
        <v>230375</v>
      </c>
      <c r="O690" s="655">
        <v>19554</v>
      </c>
      <c r="P690" s="655">
        <v>39641</v>
      </c>
      <c r="Q690" s="655">
        <v>43841</v>
      </c>
      <c r="R690" s="655">
        <v>0</v>
      </c>
      <c r="S690" s="655">
        <v>24328</v>
      </c>
      <c r="T690" s="655">
        <v>2579</v>
      </c>
      <c r="U690" s="655">
        <v>73873</v>
      </c>
      <c r="V690" s="655">
        <v>0</v>
      </c>
      <c r="W690" s="655">
        <v>149809</v>
      </c>
      <c r="X690" s="655">
        <v>247335</v>
      </c>
      <c r="Y690" s="655">
        <v>0</v>
      </c>
      <c r="Z690" s="655">
        <v>0</v>
      </c>
      <c r="AA690" s="655">
        <v>0</v>
      </c>
      <c r="AB690" s="655">
        <v>0</v>
      </c>
      <c r="AC690" s="655">
        <v>0</v>
      </c>
      <c r="AD690" s="655">
        <v>42239</v>
      </c>
      <c r="AE690" s="655">
        <v>6889177</v>
      </c>
      <c r="AF690" s="655">
        <v>143235</v>
      </c>
      <c r="AG690" s="655">
        <v>429181</v>
      </c>
      <c r="AH690" s="655">
        <v>0</v>
      </c>
      <c r="AI690" s="655">
        <v>1312214</v>
      </c>
      <c r="AJ690" s="655">
        <v>2225898</v>
      </c>
      <c r="AK690" s="655">
        <v>10999705</v>
      </c>
      <c r="AL690" s="655">
        <v>9012097</v>
      </c>
      <c r="AM690" s="655">
        <v>1987608</v>
      </c>
    </row>
    <row r="691" spans="1:39" x14ac:dyDescent="0.2">
      <c r="A691" s="648">
        <v>2015</v>
      </c>
      <c r="B691" s="648">
        <v>11</v>
      </c>
      <c r="C691" s="657" t="s">
        <v>98</v>
      </c>
      <c r="D691" s="648">
        <v>472</v>
      </c>
      <c r="E691" s="648" t="s">
        <v>1024</v>
      </c>
      <c r="F691" s="655">
        <v>10187510</v>
      </c>
      <c r="G691" s="655">
        <v>0</v>
      </c>
      <c r="H691" s="655">
        <v>92944</v>
      </c>
      <c r="I691" s="655">
        <v>807145</v>
      </c>
      <c r="J691" s="655">
        <v>806791</v>
      </c>
      <c r="K691" s="655">
        <v>85712</v>
      </c>
      <c r="L691" s="655">
        <v>101667</v>
      </c>
      <c r="M691" s="655">
        <v>0</v>
      </c>
      <c r="N691" s="655">
        <v>469458</v>
      </c>
      <c r="O691" s="655">
        <v>0</v>
      </c>
      <c r="P691" s="655">
        <v>83344</v>
      </c>
      <c r="Q691" s="655">
        <v>91476</v>
      </c>
      <c r="R691" s="655">
        <v>0</v>
      </c>
      <c r="S691" s="655">
        <v>38341</v>
      </c>
      <c r="T691" s="655">
        <v>4888</v>
      </c>
      <c r="U691" s="655">
        <v>208067</v>
      </c>
      <c r="V691" s="655">
        <v>0</v>
      </c>
      <c r="W691" s="655">
        <v>261515</v>
      </c>
      <c r="X691" s="655">
        <v>132350</v>
      </c>
      <c r="Y691" s="655">
        <v>0</v>
      </c>
      <c r="Z691" s="655">
        <v>0</v>
      </c>
      <c r="AA691" s="655">
        <v>0</v>
      </c>
      <c r="AB691" s="655">
        <v>0</v>
      </c>
      <c r="AC691" s="655">
        <v>-122</v>
      </c>
      <c r="AD691" s="655">
        <v>53719</v>
      </c>
      <c r="AE691" s="655">
        <v>13317367</v>
      </c>
      <c r="AF691" s="655">
        <v>413790</v>
      </c>
      <c r="AG691" s="655">
        <v>560721</v>
      </c>
      <c r="AH691" s="655">
        <v>0</v>
      </c>
      <c r="AI691" s="655">
        <v>1746197</v>
      </c>
      <c r="AJ691" s="655">
        <v>1731753</v>
      </c>
      <c r="AK691" s="655">
        <v>17769828</v>
      </c>
      <c r="AL691" s="655">
        <v>15576104</v>
      </c>
      <c r="AM691" s="655">
        <v>2193724</v>
      </c>
    </row>
    <row r="692" spans="1:39" x14ac:dyDescent="0.2">
      <c r="A692" s="648">
        <v>2015</v>
      </c>
      <c r="B692" s="648">
        <v>12</v>
      </c>
      <c r="C692" s="657" t="s">
        <v>99</v>
      </c>
      <c r="D692" s="648">
        <v>504</v>
      </c>
      <c r="E692" s="648" t="s">
        <v>1025</v>
      </c>
      <c r="F692" s="655">
        <v>4130897</v>
      </c>
      <c r="G692" s="655">
        <v>0</v>
      </c>
      <c r="H692" s="655">
        <v>168330</v>
      </c>
      <c r="I692" s="655">
        <v>496357</v>
      </c>
      <c r="J692" s="655">
        <v>384116</v>
      </c>
      <c r="K692" s="655">
        <v>43392</v>
      </c>
      <c r="L692" s="655">
        <v>43561</v>
      </c>
      <c r="M692" s="655">
        <v>0</v>
      </c>
      <c r="N692" s="655">
        <v>208219</v>
      </c>
      <c r="O692" s="655">
        <v>0</v>
      </c>
      <c r="P692" s="655">
        <v>34355</v>
      </c>
      <c r="Q692" s="655">
        <v>38579</v>
      </c>
      <c r="R692" s="655">
        <v>0</v>
      </c>
      <c r="S692" s="655">
        <v>20905</v>
      </c>
      <c r="T692" s="655">
        <v>2500</v>
      </c>
      <c r="U692" s="655">
        <v>34904</v>
      </c>
      <c r="V692" s="655">
        <v>0</v>
      </c>
      <c r="W692" s="655">
        <v>30825</v>
      </c>
      <c r="X692" s="655">
        <v>21852</v>
      </c>
      <c r="Y692" s="655">
        <v>0</v>
      </c>
      <c r="Z692" s="655">
        <v>0</v>
      </c>
      <c r="AA692" s="655">
        <v>0</v>
      </c>
      <c r="AB692" s="655">
        <v>0</v>
      </c>
      <c r="AC692" s="655">
        <v>18363</v>
      </c>
      <c r="AD692" s="655">
        <v>37891</v>
      </c>
      <c r="AE692" s="655">
        <v>5639264</v>
      </c>
      <c r="AF692" s="655">
        <v>152784</v>
      </c>
      <c r="AG692" s="655">
        <v>330596</v>
      </c>
      <c r="AH692" s="655">
        <v>0</v>
      </c>
      <c r="AI692" s="655">
        <v>1403071</v>
      </c>
      <c r="AJ692" s="655">
        <v>1080191</v>
      </c>
      <c r="AK692" s="655">
        <v>8605906</v>
      </c>
      <c r="AL692" s="655">
        <v>7588555</v>
      </c>
      <c r="AM692" s="655">
        <v>1017351</v>
      </c>
    </row>
    <row r="693" spans="1:39" x14ac:dyDescent="0.2">
      <c r="A693" s="648">
        <v>2015</v>
      </c>
      <c r="B693" s="648">
        <v>11</v>
      </c>
      <c r="C693" s="657" t="s">
        <v>100</v>
      </c>
      <c r="D693" s="648">
        <v>513</v>
      </c>
      <c r="E693" s="648" t="s">
        <v>1026</v>
      </c>
      <c r="F693" s="655">
        <v>2287940</v>
      </c>
      <c r="G693" s="655">
        <v>0</v>
      </c>
      <c r="H693" s="655">
        <v>21995</v>
      </c>
      <c r="I693" s="655">
        <v>201611</v>
      </c>
      <c r="J693" s="655">
        <v>211144</v>
      </c>
      <c r="K693" s="655">
        <v>21003</v>
      </c>
      <c r="L693" s="655">
        <v>22498</v>
      </c>
      <c r="M693" s="655">
        <v>0</v>
      </c>
      <c r="N693" s="655">
        <v>106301</v>
      </c>
      <c r="O693" s="655">
        <v>4247</v>
      </c>
      <c r="P693" s="655">
        <v>18758</v>
      </c>
      <c r="Q693" s="655">
        <v>20588</v>
      </c>
      <c r="R693" s="655">
        <v>0</v>
      </c>
      <c r="S693" s="655">
        <v>8682</v>
      </c>
      <c r="T693" s="655">
        <v>1107</v>
      </c>
      <c r="U693" s="655">
        <v>78446</v>
      </c>
      <c r="V693" s="655">
        <v>0</v>
      </c>
      <c r="W693" s="655">
        <v>0</v>
      </c>
      <c r="X693" s="655">
        <v>0</v>
      </c>
      <c r="Y693" s="655">
        <v>0</v>
      </c>
      <c r="Z693" s="655">
        <v>0</v>
      </c>
      <c r="AA693" s="655">
        <v>0</v>
      </c>
      <c r="AB693" s="655">
        <v>0</v>
      </c>
      <c r="AC693" s="655">
        <v>-1285</v>
      </c>
      <c r="AD693" s="655">
        <v>14723</v>
      </c>
      <c r="AE693" s="655">
        <v>2988312</v>
      </c>
      <c r="AF693" s="655">
        <v>76392</v>
      </c>
      <c r="AG693" s="655">
        <v>151622</v>
      </c>
      <c r="AH693" s="655">
        <v>0</v>
      </c>
      <c r="AI693" s="655">
        <v>855652</v>
      </c>
      <c r="AJ693" s="655">
        <v>1402973</v>
      </c>
      <c r="AK693" s="655">
        <v>5474951</v>
      </c>
      <c r="AL693" s="655">
        <v>4076591</v>
      </c>
      <c r="AM693" s="655">
        <v>1398360</v>
      </c>
    </row>
    <row r="694" spans="1:39" x14ac:dyDescent="0.2">
      <c r="A694" s="648">
        <v>2015</v>
      </c>
      <c r="B694" s="648">
        <v>7</v>
      </c>
      <c r="C694" s="657" t="s">
        <v>101</v>
      </c>
      <c r="D694" s="648">
        <v>540</v>
      </c>
      <c r="E694" s="648" t="s">
        <v>1027</v>
      </c>
      <c r="F694" s="655">
        <v>3729590</v>
      </c>
      <c r="G694" s="655">
        <v>0</v>
      </c>
      <c r="H694" s="655">
        <v>172038</v>
      </c>
      <c r="I694" s="655">
        <v>452515</v>
      </c>
      <c r="J694" s="655">
        <v>322566</v>
      </c>
      <c r="K694" s="655">
        <v>35763</v>
      </c>
      <c r="L694" s="655">
        <v>33813</v>
      </c>
      <c r="M694" s="655">
        <v>0</v>
      </c>
      <c r="N694" s="655">
        <v>183709</v>
      </c>
      <c r="O694" s="655">
        <v>0</v>
      </c>
      <c r="P694" s="655">
        <v>30386</v>
      </c>
      <c r="Q694" s="655">
        <v>33947</v>
      </c>
      <c r="R694" s="655">
        <v>0</v>
      </c>
      <c r="S694" s="655">
        <v>23450</v>
      </c>
      <c r="T694" s="655">
        <v>2692</v>
      </c>
      <c r="U694" s="655">
        <v>179891</v>
      </c>
      <c r="V694" s="655">
        <v>0</v>
      </c>
      <c r="W694" s="655">
        <v>69948</v>
      </c>
      <c r="X694" s="655">
        <v>173232</v>
      </c>
      <c r="Y694" s="655">
        <v>0</v>
      </c>
      <c r="Z694" s="655">
        <v>0</v>
      </c>
      <c r="AA694" s="655">
        <v>0</v>
      </c>
      <c r="AB694" s="655">
        <v>0</v>
      </c>
      <c r="AC694" s="655">
        <v>0</v>
      </c>
      <c r="AD694" s="655">
        <v>29783</v>
      </c>
      <c r="AE694" s="655">
        <v>5413757</v>
      </c>
      <c r="AF694" s="655">
        <v>92307</v>
      </c>
      <c r="AG694" s="655">
        <v>302059</v>
      </c>
      <c r="AH694" s="655">
        <v>0</v>
      </c>
      <c r="AI694" s="655">
        <v>1004009</v>
      </c>
      <c r="AJ694" s="655">
        <v>1761246</v>
      </c>
      <c r="AK694" s="655">
        <v>8573378</v>
      </c>
      <c r="AL694" s="655">
        <v>6476728</v>
      </c>
      <c r="AM694" s="655">
        <v>2096650</v>
      </c>
    </row>
    <row r="695" spans="1:39" x14ac:dyDescent="0.2">
      <c r="A695" s="648">
        <v>2015</v>
      </c>
      <c r="B695" s="648">
        <v>13</v>
      </c>
      <c r="C695" s="657" t="s">
        <v>102</v>
      </c>
      <c r="D695" s="648">
        <v>549</v>
      </c>
      <c r="E695" s="648" t="s">
        <v>1028</v>
      </c>
      <c r="F695" s="655">
        <v>3006025</v>
      </c>
      <c r="G695" s="655">
        <v>62206</v>
      </c>
      <c r="H695" s="655">
        <v>146233</v>
      </c>
      <c r="I695" s="655">
        <v>299711</v>
      </c>
      <c r="J695" s="655">
        <v>282563</v>
      </c>
      <c r="K695" s="655">
        <v>29738</v>
      </c>
      <c r="L695" s="655">
        <v>32721</v>
      </c>
      <c r="M695" s="655">
        <v>0</v>
      </c>
      <c r="N695" s="655">
        <v>145336</v>
      </c>
      <c r="O695" s="655">
        <v>14048</v>
      </c>
      <c r="P695" s="655">
        <v>24639</v>
      </c>
      <c r="Q695" s="655">
        <v>27250</v>
      </c>
      <c r="R695" s="655">
        <v>0</v>
      </c>
      <c r="S695" s="655">
        <v>15229</v>
      </c>
      <c r="T695" s="655">
        <v>1609</v>
      </c>
      <c r="U695" s="655">
        <v>122725</v>
      </c>
      <c r="V695" s="655">
        <v>20360</v>
      </c>
      <c r="W695" s="655">
        <v>12242</v>
      </c>
      <c r="X695" s="655">
        <v>96161</v>
      </c>
      <c r="Y695" s="655">
        <v>0</v>
      </c>
      <c r="Z695" s="655">
        <v>0</v>
      </c>
      <c r="AA695" s="655">
        <v>0</v>
      </c>
      <c r="AB695" s="655">
        <v>0</v>
      </c>
      <c r="AC695" s="655">
        <v>0</v>
      </c>
      <c r="AD695" s="655">
        <v>29839</v>
      </c>
      <c r="AE695" s="655">
        <v>4308957</v>
      </c>
      <c r="AF695" s="655">
        <v>66843</v>
      </c>
      <c r="AG695" s="655">
        <v>242298</v>
      </c>
      <c r="AH695" s="655">
        <v>0</v>
      </c>
      <c r="AI695" s="655">
        <v>489184</v>
      </c>
      <c r="AJ695" s="655">
        <v>1456851</v>
      </c>
      <c r="AK695" s="655">
        <v>6564133</v>
      </c>
      <c r="AL695" s="655">
        <v>5147948</v>
      </c>
      <c r="AM695" s="655">
        <v>1416185</v>
      </c>
    </row>
    <row r="696" spans="1:39" x14ac:dyDescent="0.2">
      <c r="A696" s="648">
        <v>2015</v>
      </c>
      <c r="B696" s="648">
        <v>10</v>
      </c>
      <c r="C696" s="657" t="s">
        <v>103</v>
      </c>
      <c r="D696" s="648">
        <v>576</v>
      </c>
      <c r="E696" s="648" t="s">
        <v>1029</v>
      </c>
      <c r="F696" s="655">
        <v>3551912</v>
      </c>
      <c r="G696" s="655">
        <v>14462</v>
      </c>
      <c r="H696" s="655">
        <v>157167</v>
      </c>
      <c r="I696" s="655">
        <v>332196</v>
      </c>
      <c r="J696" s="655">
        <v>300909</v>
      </c>
      <c r="K696" s="655">
        <v>29636</v>
      </c>
      <c r="L696" s="655">
        <v>29893</v>
      </c>
      <c r="M696" s="655">
        <v>0</v>
      </c>
      <c r="N696" s="655">
        <v>170071</v>
      </c>
      <c r="O696" s="655">
        <v>4257</v>
      </c>
      <c r="P696" s="655">
        <v>29165</v>
      </c>
      <c r="Q696" s="655">
        <v>32038</v>
      </c>
      <c r="R696" s="655">
        <v>0</v>
      </c>
      <c r="S696" s="655">
        <v>15835</v>
      </c>
      <c r="T696" s="655">
        <v>1841</v>
      </c>
      <c r="U696" s="655">
        <v>0</v>
      </c>
      <c r="V696" s="655">
        <v>0</v>
      </c>
      <c r="W696" s="655">
        <v>14690</v>
      </c>
      <c r="X696" s="655">
        <v>129971</v>
      </c>
      <c r="Y696" s="655">
        <v>0</v>
      </c>
      <c r="Z696" s="655">
        <v>0</v>
      </c>
      <c r="AA696" s="655">
        <v>0</v>
      </c>
      <c r="AB696" s="655">
        <v>0</v>
      </c>
      <c r="AC696" s="655">
        <v>0</v>
      </c>
      <c r="AD696" s="655">
        <v>34138</v>
      </c>
      <c r="AE696" s="655">
        <v>4779905</v>
      </c>
      <c r="AF696" s="655">
        <v>82758</v>
      </c>
      <c r="AG696" s="655">
        <v>252891</v>
      </c>
      <c r="AH696" s="655">
        <v>0</v>
      </c>
      <c r="AI696" s="655">
        <v>462699</v>
      </c>
      <c r="AJ696" s="655">
        <v>2321181</v>
      </c>
      <c r="AK696" s="655">
        <v>7899434</v>
      </c>
      <c r="AL696" s="655">
        <v>5971413</v>
      </c>
      <c r="AM696" s="655">
        <v>1928021</v>
      </c>
    </row>
    <row r="697" spans="1:39" x14ac:dyDescent="0.2">
      <c r="A697" s="648">
        <v>2015</v>
      </c>
      <c r="B697" s="648">
        <v>9</v>
      </c>
      <c r="C697" s="657" t="s">
        <v>104</v>
      </c>
      <c r="D697" s="648">
        <v>585</v>
      </c>
      <c r="E697" s="648" t="s">
        <v>1030</v>
      </c>
      <c r="F697" s="655">
        <v>3723413</v>
      </c>
      <c r="G697" s="655">
        <v>0</v>
      </c>
      <c r="H697" s="655">
        <v>46072</v>
      </c>
      <c r="I697" s="655">
        <v>383646</v>
      </c>
      <c r="J697" s="655">
        <v>330545</v>
      </c>
      <c r="K697" s="655">
        <v>36365</v>
      </c>
      <c r="L697" s="655">
        <v>33147</v>
      </c>
      <c r="M697" s="655">
        <v>0</v>
      </c>
      <c r="N697" s="655">
        <v>179578</v>
      </c>
      <c r="O697" s="655">
        <v>545</v>
      </c>
      <c r="P697" s="655">
        <v>38666</v>
      </c>
      <c r="Q697" s="655">
        <v>42174</v>
      </c>
      <c r="R697" s="655">
        <v>0</v>
      </c>
      <c r="S697" s="655">
        <v>16126</v>
      </c>
      <c r="T697" s="655">
        <v>1893</v>
      </c>
      <c r="U697" s="655">
        <v>137814</v>
      </c>
      <c r="V697" s="655">
        <v>0</v>
      </c>
      <c r="W697" s="655">
        <v>18363</v>
      </c>
      <c r="X697" s="655">
        <v>0</v>
      </c>
      <c r="Y697" s="655">
        <v>0</v>
      </c>
      <c r="Z697" s="655">
        <v>0</v>
      </c>
      <c r="AA697" s="655">
        <v>0</v>
      </c>
      <c r="AB697" s="655">
        <v>0</v>
      </c>
      <c r="AC697" s="655">
        <v>0</v>
      </c>
      <c r="AD697" s="655">
        <v>33230</v>
      </c>
      <c r="AE697" s="655">
        <v>4955117</v>
      </c>
      <c r="AF697" s="655">
        <v>130503</v>
      </c>
      <c r="AG697" s="655">
        <v>300516</v>
      </c>
      <c r="AH697" s="655">
        <v>0</v>
      </c>
      <c r="AI697" s="655">
        <v>1112506</v>
      </c>
      <c r="AJ697" s="655">
        <v>1813044</v>
      </c>
      <c r="AK697" s="655">
        <v>8311686</v>
      </c>
      <c r="AL697" s="655">
        <v>6448851</v>
      </c>
      <c r="AM697" s="655">
        <v>1862835</v>
      </c>
    </row>
    <row r="698" spans="1:39" x14ac:dyDescent="0.2">
      <c r="A698" s="648">
        <v>2015</v>
      </c>
      <c r="B698" s="648">
        <v>7</v>
      </c>
      <c r="C698" s="657" t="s">
        <v>105</v>
      </c>
      <c r="D698" s="648">
        <v>594</v>
      </c>
      <c r="E698" s="648" t="s">
        <v>1031</v>
      </c>
      <c r="F698" s="655">
        <v>5073864</v>
      </c>
      <c r="G698" s="655">
        <v>0</v>
      </c>
      <c r="H698" s="655">
        <v>117061</v>
      </c>
      <c r="I698" s="655">
        <v>695204</v>
      </c>
      <c r="J698" s="655">
        <v>431593</v>
      </c>
      <c r="K698" s="655">
        <v>45817</v>
      </c>
      <c r="L698" s="655">
        <v>53813</v>
      </c>
      <c r="M698" s="655">
        <v>0</v>
      </c>
      <c r="N698" s="655">
        <v>256443</v>
      </c>
      <c r="O698" s="655">
        <v>0</v>
      </c>
      <c r="P698" s="655">
        <v>41702</v>
      </c>
      <c r="Q698" s="655">
        <v>46590</v>
      </c>
      <c r="R698" s="655">
        <v>0</v>
      </c>
      <c r="S698" s="655">
        <v>32735</v>
      </c>
      <c r="T698" s="655">
        <v>3758</v>
      </c>
      <c r="U698" s="655">
        <v>164179</v>
      </c>
      <c r="V698" s="655">
        <v>0</v>
      </c>
      <c r="W698" s="655">
        <v>109149</v>
      </c>
      <c r="X698" s="655">
        <v>0</v>
      </c>
      <c r="Y698" s="655">
        <v>86322</v>
      </c>
      <c r="Z698" s="655">
        <v>0</v>
      </c>
      <c r="AA698" s="655">
        <v>0</v>
      </c>
      <c r="AB698" s="655">
        <v>0</v>
      </c>
      <c r="AC698" s="655">
        <v>1348</v>
      </c>
      <c r="AD698" s="655">
        <v>39506</v>
      </c>
      <c r="AE698" s="655">
        <v>6947428</v>
      </c>
      <c r="AF698" s="655">
        <v>114588</v>
      </c>
      <c r="AG698" s="655">
        <v>390992</v>
      </c>
      <c r="AH698" s="655">
        <v>0</v>
      </c>
      <c r="AI698" s="655">
        <v>952271</v>
      </c>
      <c r="AJ698" s="655">
        <v>1504153</v>
      </c>
      <c r="AK698" s="655">
        <v>9909432</v>
      </c>
      <c r="AL698" s="655">
        <v>8731860</v>
      </c>
      <c r="AM698" s="655">
        <v>1177572</v>
      </c>
    </row>
    <row r="699" spans="1:39" x14ac:dyDescent="0.2">
      <c r="A699" s="648">
        <v>2015</v>
      </c>
      <c r="B699" s="648">
        <v>9</v>
      </c>
      <c r="C699" s="657" t="s">
        <v>106</v>
      </c>
      <c r="D699" s="648">
        <v>603</v>
      </c>
      <c r="E699" s="648" t="s">
        <v>1032</v>
      </c>
      <c r="F699" s="655">
        <v>1262367</v>
      </c>
      <c r="G699" s="655">
        <v>0</v>
      </c>
      <c r="H699" s="655">
        <v>16717</v>
      </c>
      <c r="I699" s="655">
        <v>123963</v>
      </c>
      <c r="J699" s="655">
        <v>99530</v>
      </c>
      <c r="K699" s="655">
        <v>7010</v>
      </c>
      <c r="L699" s="655">
        <v>12085</v>
      </c>
      <c r="M699" s="655">
        <v>0</v>
      </c>
      <c r="N699" s="655">
        <v>59926</v>
      </c>
      <c r="O699" s="655">
        <v>733</v>
      </c>
      <c r="P699" s="655">
        <v>10172</v>
      </c>
      <c r="Q699" s="655">
        <v>11096</v>
      </c>
      <c r="R699" s="655">
        <v>0</v>
      </c>
      <c r="S699" s="655">
        <v>5381</v>
      </c>
      <c r="T699" s="655">
        <v>632</v>
      </c>
      <c r="U699" s="655">
        <v>0</v>
      </c>
      <c r="V699" s="655">
        <v>0</v>
      </c>
      <c r="W699" s="655">
        <v>12242</v>
      </c>
      <c r="X699" s="655">
        <v>0</v>
      </c>
      <c r="Y699" s="655">
        <v>26364</v>
      </c>
      <c r="Z699" s="655">
        <v>0</v>
      </c>
      <c r="AA699" s="655">
        <v>0</v>
      </c>
      <c r="AB699" s="655">
        <v>0</v>
      </c>
      <c r="AC699" s="655">
        <v>6252</v>
      </c>
      <c r="AD699" s="655">
        <v>11567</v>
      </c>
      <c r="AE699" s="655">
        <v>1590175</v>
      </c>
      <c r="AF699" s="655">
        <v>31830</v>
      </c>
      <c r="AG699" s="655">
        <v>106632</v>
      </c>
      <c r="AH699" s="655">
        <v>0</v>
      </c>
      <c r="AI699" s="655">
        <v>222686</v>
      </c>
      <c r="AJ699" s="655">
        <v>168772</v>
      </c>
      <c r="AK699" s="655">
        <v>2120095</v>
      </c>
      <c r="AL699" s="655">
        <v>2054771</v>
      </c>
      <c r="AM699" s="655">
        <v>65324</v>
      </c>
    </row>
    <row r="700" spans="1:39" x14ac:dyDescent="0.2">
      <c r="A700" s="648">
        <v>2015</v>
      </c>
      <c r="B700" s="648">
        <v>10</v>
      </c>
      <c r="C700" s="657" t="s">
        <v>107</v>
      </c>
      <c r="D700" s="648">
        <v>609</v>
      </c>
      <c r="E700" s="648" t="s">
        <v>1033</v>
      </c>
      <c r="F700" s="655">
        <v>9620776</v>
      </c>
      <c r="G700" s="655">
        <v>0</v>
      </c>
      <c r="H700" s="655">
        <v>134819</v>
      </c>
      <c r="I700" s="655">
        <v>1056742</v>
      </c>
      <c r="J700" s="655">
        <v>808962</v>
      </c>
      <c r="K700" s="655">
        <v>88818</v>
      </c>
      <c r="L700" s="655">
        <v>82280</v>
      </c>
      <c r="M700" s="655">
        <v>0</v>
      </c>
      <c r="N700" s="655">
        <v>463096</v>
      </c>
      <c r="O700" s="655">
        <v>4663</v>
      </c>
      <c r="P700" s="655">
        <v>85828</v>
      </c>
      <c r="Q700" s="655">
        <v>94282</v>
      </c>
      <c r="R700" s="655">
        <v>0</v>
      </c>
      <c r="S700" s="655">
        <v>43119</v>
      </c>
      <c r="T700" s="655">
        <v>5014</v>
      </c>
      <c r="U700" s="655">
        <v>76300</v>
      </c>
      <c r="V700" s="655">
        <v>0</v>
      </c>
      <c r="W700" s="655">
        <v>94223</v>
      </c>
      <c r="X700" s="655">
        <v>380501</v>
      </c>
      <c r="Y700" s="655">
        <v>0</v>
      </c>
      <c r="Z700" s="655">
        <v>0</v>
      </c>
      <c r="AA700" s="655">
        <v>0</v>
      </c>
      <c r="AB700" s="655">
        <v>0</v>
      </c>
      <c r="AC700" s="655">
        <v>-9100</v>
      </c>
      <c r="AD700" s="655">
        <v>79586</v>
      </c>
      <c r="AE700" s="655">
        <v>12950737</v>
      </c>
      <c r="AF700" s="655">
        <v>299202</v>
      </c>
      <c r="AG700" s="655">
        <v>765044</v>
      </c>
      <c r="AH700" s="655">
        <v>0</v>
      </c>
      <c r="AI700" s="655">
        <v>1672886</v>
      </c>
      <c r="AJ700" s="655">
        <v>3495213</v>
      </c>
      <c r="AK700" s="655">
        <v>19183082</v>
      </c>
      <c r="AL700" s="655">
        <v>16229150</v>
      </c>
      <c r="AM700" s="655">
        <v>2953932</v>
      </c>
    </row>
    <row r="701" spans="1:39" x14ac:dyDescent="0.2">
      <c r="A701" s="648">
        <v>2015</v>
      </c>
      <c r="B701" s="648">
        <v>9</v>
      </c>
      <c r="C701" s="657" t="s">
        <v>108</v>
      </c>
      <c r="D701" s="648">
        <v>621</v>
      </c>
      <c r="E701" s="648" t="s">
        <v>1034</v>
      </c>
      <c r="F701" s="655">
        <v>25830196</v>
      </c>
      <c r="G701" s="655">
        <v>0</v>
      </c>
      <c r="H701" s="655">
        <v>258708</v>
      </c>
      <c r="I701" s="655">
        <v>2718582</v>
      </c>
      <c r="J701" s="655">
        <v>2137369</v>
      </c>
      <c r="K701" s="655">
        <v>244785</v>
      </c>
      <c r="L701" s="655">
        <v>244585</v>
      </c>
      <c r="M701" s="655">
        <v>0</v>
      </c>
      <c r="N701" s="655">
        <v>1244975</v>
      </c>
      <c r="O701" s="655">
        <v>0</v>
      </c>
      <c r="P701" s="655">
        <v>214139</v>
      </c>
      <c r="Q701" s="655">
        <v>233573</v>
      </c>
      <c r="R701" s="655">
        <v>0</v>
      </c>
      <c r="S701" s="655">
        <v>111801</v>
      </c>
      <c r="T701" s="655">
        <v>13122</v>
      </c>
      <c r="U701" s="655">
        <v>927130</v>
      </c>
      <c r="V701" s="655">
        <v>76455</v>
      </c>
      <c r="W701" s="655">
        <v>287233</v>
      </c>
      <c r="X701" s="655">
        <v>561095</v>
      </c>
      <c r="Y701" s="655">
        <v>0</v>
      </c>
      <c r="Z701" s="655">
        <v>0</v>
      </c>
      <c r="AA701" s="655">
        <v>0</v>
      </c>
      <c r="AB701" s="655">
        <v>0</v>
      </c>
      <c r="AC701" s="655">
        <v>0</v>
      </c>
      <c r="AD701" s="655">
        <v>185946</v>
      </c>
      <c r="AE701" s="655">
        <v>34917802</v>
      </c>
      <c r="AF701" s="655">
        <v>802116</v>
      </c>
      <c r="AG701" s="655">
        <v>1994350</v>
      </c>
      <c r="AH701" s="655">
        <v>0</v>
      </c>
      <c r="AI701" s="655">
        <v>8857015</v>
      </c>
      <c r="AJ701" s="655">
        <v>11947450</v>
      </c>
      <c r="AK701" s="655">
        <v>58518733</v>
      </c>
      <c r="AL701" s="655">
        <v>45896073</v>
      </c>
      <c r="AM701" s="655">
        <v>12622660</v>
      </c>
    </row>
    <row r="702" spans="1:39" x14ac:dyDescent="0.2">
      <c r="A702" s="648">
        <v>2015</v>
      </c>
      <c r="B702" s="648">
        <v>15</v>
      </c>
      <c r="C702" s="657" t="s">
        <v>112</v>
      </c>
      <c r="D702" s="648">
        <v>657</v>
      </c>
      <c r="E702" s="648" t="s">
        <v>1495</v>
      </c>
      <c r="F702" s="655">
        <v>5456299</v>
      </c>
      <c r="G702" s="655">
        <v>21139</v>
      </c>
      <c r="H702" s="655">
        <v>137022</v>
      </c>
      <c r="I702" s="655">
        <v>627306</v>
      </c>
      <c r="J702" s="655">
        <v>482384</v>
      </c>
      <c r="K702" s="655">
        <v>50826</v>
      </c>
      <c r="L702" s="655">
        <v>62363</v>
      </c>
      <c r="M702" s="655">
        <v>0</v>
      </c>
      <c r="N702" s="655">
        <v>264942</v>
      </c>
      <c r="O702" s="655">
        <v>0</v>
      </c>
      <c r="P702" s="655">
        <v>45396</v>
      </c>
      <c r="Q702" s="655">
        <v>49861</v>
      </c>
      <c r="R702" s="655">
        <v>715</v>
      </c>
      <c r="S702" s="655">
        <v>26519</v>
      </c>
      <c r="T702" s="655">
        <v>2867</v>
      </c>
      <c r="U702" s="655">
        <v>272739</v>
      </c>
      <c r="V702" s="655">
        <v>0</v>
      </c>
      <c r="W702" s="655">
        <v>76244</v>
      </c>
      <c r="X702" s="655">
        <v>196660</v>
      </c>
      <c r="Y702" s="655">
        <v>0</v>
      </c>
      <c r="Z702" s="655">
        <v>0</v>
      </c>
      <c r="AA702" s="655">
        <v>0</v>
      </c>
      <c r="AB702" s="655">
        <v>0</v>
      </c>
      <c r="AC702" s="655">
        <v>0</v>
      </c>
      <c r="AD702" s="655">
        <v>44907</v>
      </c>
      <c r="AE702" s="655">
        <v>7728375</v>
      </c>
      <c r="AF702" s="655">
        <v>210078</v>
      </c>
      <c r="AG702" s="655">
        <v>465363</v>
      </c>
      <c r="AH702" s="655">
        <v>0</v>
      </c>
      <c r="AI702" s="655">
        <v>1298561</v>
      </c>
      <c r="AJ702" s="655">
        <v>1192885</v>
      </c>
      <c r="AK702" s="655">
        <v>10895262</v>
      </c>
      <c r="AL702" s="655">
        <v>9647379</v>
      </c>
      <c r="AM702" s="655">
        <v>1247883</v>
      </c>
    </row>
    <row r="703" spans="1:39" x14ac:dyDescent="0.2">
      <c r="A703" s="648">
        <v>2015</v>
      </c>
      <c r="B703" s="648">
        <v>11</v>
      </c>
      <c r="C703" s="657" t="s">
        <v>109</v>
      </c>
      <c r="D703" s="648">
        <v>720</v>
      </c>
      <c r="E703" s="648" t="s">
        <v>1035</v>
      </c>
      <c r="F703" s="655">
        <v>10159499</v>
      </c>
      <c r="G703" s="655">
        <v>0</v>
      </c>
      <c r="H703" s="655">
        <v>50234</v>
      </c>
      <c r="I703" s="655">
        <v>1007229</v>
      </c>
      <c r="J703" s="655">
        <v>830123</v>
      </c>
      <c r="K703" s="655">
        <v>85444</v>
      </c>
      <c r="L703" s="655">
        <v>100574</v>
      </c>
      <c r="M703" s="655">
        <v>0</v>
      </c>
      <c r="N703" s="655">
        <v>476805</v>
      </c>
      <c r="O703" s="655">
        <v>0</v>
      </c>
      <c r="P703" s="655">
        <v>83915</v>
      </c>
      <c r="Q703" s="655">
        <v>92103</v>
      </c>
      <c r="R703" s="655">
        <v>0</v>
      </c>
      <c r="S703" s="655">
        <v>38941</v>
      </c>
      <c r="T703" s="655">
        <v>4964</v>
      </c>
      <c r="U703" s="655">
        <v>148729</v>
      </c>
      <c r="V703" s="655">
        <v>0</v>
      </c>
      <c r="W703" s="655">
        <v>648441</v>
      </c>
      <c r="X703" s="655">
        <v>186658</v>
      </c>
      <c r="Y703" s="655">
        <v>0</v>
      </c>
      <c r="Z703" s="655">
        <v>0</v>
      </c>
      <c r="AA703" s="655">
        <v>0</v>
      </c>
      <c r="AB703" s="655">
        <v>0</v>
      </c>
      <c r="AC703" s="655">
        <v>0</v>
      </c>
      <c r="AD703" s="655">
        <v>39354</v>
      </c>
      <c r="AE703" s="655">
        <v>13874305</v>
      </c>
      <c r="AF703" s="655">
        <v>165516</v>
      </c>
      <c r="AG703" s="655">
        <v>545260</v>
      </c>
      <c r="AH703" s="655">
        <v>0</v>
      </c>
      <c r="AI703" s="655">
        <v>1677304</v>
      </c>
      <c r="AJ703" s="655">
        <v>5454395</v>
      </c>
      <c r="AK703" s="655">
        <v>21716780</v>
      </c>
      <c r="AL703" s="655">
        <v>16038996</v>
      </c>
      <c r="AM703" s="655">
        <v>5677784</v>
      </c>
    </row>
    <row r="704" spans="1:39" x14ac:dyDescent="0.2">
      <c r="A704" s="648">
        <v>2015</v>
      </c>
      <c r="B704" s="648">
        <v>11</v>
      </c>
      <c r="C704" s="657" t="s">
        <v>110</v>
      </c>
      <c r="D704" s="648">
        <v>729</v>
      </c>
      <c r="E704" s="648" t="s">
        <v>1036</v>
      </c>
      <c r="F704" s="655">
        <v>13641065</v>
      </c>
      <c r="G704" s="655">
        <v>0</v>
      </c>
      <c r="H704" s="655">
        <v>175326</v>
      </c>
      <c r="I704" s="655">
        <v>2180864</v>
      </c>
      <c r="J704" s="655">
        <v>1195168</v>
      </c>
      <c r="K704" s="655">
        <v>149739</v>
      </c>
      <c r="L704" s="655">
        <v>136089</v>
      </c>
      <c r="M704" s="655">
        <v>0</v>
      </c>
      <c r="N704" s="655">
        <v>675576</v>
      </c>
      <c r="O704" s="655">
        <v>0</v>
      </c>
      <c r="P704" s="655">
        <v>122574</v>
      </c>
      <c r="Q704" s="655">
        <v>134534</v>
      </c>
      <c r="R704" s="655">
        <v>0</v>
      </c>
      <c r="S704" s="655">
        <v>55175</v>
      </c>
      <c r="T704" s="655">
        <v>7034</v>
      </c>
      <c r="U704" s="655">
        <v>682053</v>
      </c>
      <c r="V704" s="655">
        <v>0</v>
      </c>
      <c r="W704" s="655">
        <v>320740</v>
      </c>
      <c r="X704" s="655">
        <v>103555</v>
      </c>
      <c r="Y704" s="655">
        <v>0</v>
      </c>
      <c r="Z704" s="655">
        <v>0</v>
      </c>
      <c r="AA704" s="655">
        <v>0</v>
      </c>
      <c r="AB704" s="655">
        <v>0</v>
      </c>
      <c r="AC704" s="655">
        <v>-12242</v>
      </c>
      <c r="AD704" s="655">
        <v>105619</v>
      </c>
      <c r="AE704" s="655">
        <v>19461631</v>
      </c>
      <c r="AF704" s="655">
        <v>385143</v>
      </c>
      <c r="AG704" s="655">
        <v>892399</v>
      </c>
      <c r="AH704" s="655">
        <v>0</v>
      </c>
      <c r="AI704" s="655">
        <v>2526078</v>
      </c>
      <c r="AJ704" s="655">
        <v>3314849</v>
      </c>
      <c r="AK704" s="655">
        <v>26580100</v>
      </c>
      <c r="AL704" s="655">
        <v>22594070</v>
      </c>
      <c r="AM704" s="655">
        <v>3986030</v>
      </c>
    </row>
    <row r="705" spans="1:39" x14ac:dyDescent="0.2">
      <c r="A705" s="648">
        <v>2015</v>
      </c>
      <c r="B705" s="648">
        <v>12</v>
      </c>
      <c r="C705" s="657" t="s">
        <v>111</v>
      </c>
      <c r="D705" s="648">
        <v>747</v>
      </c>
      <c r="E705" s="648" t="s">
        <v>1037</v>
      </c>
      <c r="F705" s="655">
        <v>3873711</v>
      </c>
      <c r="G705" s="655">
        <v>14281</v>
      </c>
      <c r="H705" s="655">
        <v>94561</v>
      </c>
      <c r="I705" s="655">
        <v>450331</v>
      </c>
      <c r="J705" s="655">
        <v>330336</v>
      </c>
      <c r="K705" s="655">
        <v>36157</v>
      </c>
      <c r="L705" s="655">
        <v>44354</v>
      </c>
      <c r="M705" s="655">
        <v>0</v>
      </c>
      <c r="N705" s="655">
        <v>194575</v>
      </c>
      <c r="O705" s="655">
        <v>0</v>
      </c>
      <c r="P705" s="655">
        <v>47133</v>
      </c>
      <c r="Q705" s="655">
        <v>52929</v>
      </c>
      <c r="R705" s="655">
        <v>0</v>
      </c>
      <c r="S705" s="655">
        <v>19535</v>
      </c>
      <c r="T705" s="655">
        <v>2337</v>
      </c>
      <c r="U705" s="655">
        <v>104349</v>
      </c>
      <c r="V705" s="655">
        <v>0</v>
      </c>
      <c r="W705" s="655">
        <v>79321</v>
      </c>
      <c r="X705" s="655">
        <v>252360</v>
      </c>
      <c r="Y705" s="655">
        <v>0</v>
      </c>
      <c r="Z705" s="655">
        <v>0</v>
      </c>
      <c r="AA705" s="655">
        <v>0</v>
      </c>
      <c r="AB705" s="655">
        <v>0</v>
      </c>
      <c r="AC705" s="655">
        <v>0</v>
      </c>
      <c r="AD705" s="655">
        <v>31059</v>
      </c>
      <c r="AE705" s="655">
        <v>5565211</v>
      </c>
      <c r="AF705" s="655">
        <v>0</v>
      </c>
      <c r="AG705" s="655">
        <v>295721</v>
      </c>
      <c r="AH705" s="655">
        <v>0</v>
      </c>
      <c r="AI705" s="655">
        <v>789786</v>
      </c>
      <c r="AJ705" s="655">
        <v>2157523</v>
      </c>
      <c r="AK705" s="655">
        <v>8808241</v>
      </c>
      <c r="AL705" s="655">
        <v>6628942</v>
      </c>
      <c r="AM705" s="655">
        <v>2179299</v>
      </c>
    </row>
    <row r="706" spans="1:39" x14ac:dyDescent="0.2">
      <c r="A706" s="648">
        <v>2015</v>
      </c>
      <c r="B706" s="648">
        <v>7</v>
      </c>
      <c r="C706" s="657" t="s">
        <v>113</v>
      </c>
      <c r="D706" s="648">
        <v>819</v>
      </c>
      <c r="E706" s="648" t="s">
        <v>1038</v>
      </c>
      <c r="F706" s="655">
        <v>3779966</v>
      </c>
      <c r="G706" s="655">
        <v>23354</v>
      </c>
      <c r="H706" s="655">
        <v>131938</v>
      </c>
      <c r="I706" s="655">
        <v>329414</v>
      </c>
      <c r="J706" s="655">
        <v>327911</v>
      </c>
      <c r="K706" s="655">
        <v>33454</v>
      </c>
      <c r="L706" s="655">
        <v>37581</v>
      </c>
      <c r="M706" s="655">
        <v>0</v>
      </c>
      <c r="N706" s="655">
        <v>182296</v>
      </c>
      <c r="O706" s="655">
        <v>3394</v>
      </c>
      <c r="P706" s="655">
        <v>31958</v>
      </c>
      <c r="Q706" s="655">
        <v>35703</v>
      </c>
      <c r="R706" s="655">
        <v>0</v>
      </c>
      <c r="S706" s="655">
        <v>23270</v>
      </c>
      <c r="T706" s="655">
        <v>2671</v>
      </c>
      <c r="U706" s="655">
        <v>40048</v>
      </c>
      <c r="V706" s="655">
        <v>0</v>
      </c>
      <c r="W706" s="655">
        <v>182582</v>
      </c>
      <c r="X706" s="655">
        <v>130183</v>
      </c>
      <c r="Y706" s="655">
        <v>0</v>
      </c>
      <c r="Z706" s="655">
        <v>0</v>
      </c>
      <c r="AA706" s="655">
        <v>0</v>
      </c>
      <c r="AB706" s="655">
        <v>0</v>
      </c>
      <c r="AC706" s="655">
        <v>0</v>
      </c>
      <c r="AD706" s="655">
        <v>32056</v>
      </c>
      <c r="AE706" s="655">
        <v>5263667</v>
      </c>
      <c r="AF706" s="655">
        <v>149601</v>
      </c>
      <c r="AG706" s="655">
        <v>317311</v>
      </c>
      <c r="AH706" s="655">
        <v>0</v>
      </c>
      <c r="AI706" s="655">
        <v>832408</v>
      </c>
      <c r="AJ706" s="655">
        <v>3142378</v>
      </c>
      <c r="AK706" s="655">
        <v>9705365</v>
      </c>
      <c r="AL706" s="655">
        <v>6553910</v>
      </c>
      <c r="AM706" s="655">
        <v>3151455</v>
      </c>
    </row>
    <row r="707" spans="1:39" x14ac:dyDescent="0.2">
      <c r="A707" s="648">
        <v>2015</v>
      </c>
      <c r="B707" s="648">
        <v>7</v>
      </c>
      <c r="C707" s="657" t="s">
        <v>114</v>
      </c>
      <c r="D707" s="648">
        <v>846</v>
      </c>
      <c r="E707" s="648" t="s">
        <v>1039</v>
      </c>
      <c r="F707" s="655">
        <v>3402349</v>
      </c>
      <c r="G707" s="655">
        <v>0</v>
      </c>
      <c r="H707" s="655">
        <v>71040</v>
      </c>
      <c r="I707" s="655">
        <v>424975</v>
      </c>
      <c r="J707" s="655">
        <v>308152</v>
      </c>
      <c r="K707" s="655">
        <v>30835</v>
      </c>
      <c r="L707" s="655">
        <v>32856</v>
      </c>
      <c r="M707" s="655">
        <v>0</v>
      </c>
      <c r="N707" s="655">
        <v>169863</v>
      </c>
      <c r="O707" s="655">
        <v>0</v>
      </c>
      <c r="P707" s="655">
        <v>28029</v>
      </c>
      <c r="Q707" s="655">
        <v>31314</v>
      </c>
      <c r="R707" s="655">
        <v>0</v>
      </c>
      <c r="S707" s="655">
        <v>21683</v>
      </c>
      <c r="T707" s="655">
        <v>2489</v>
      </c>
      <c r="U707" s="655">
        <v>45783</v>
      </c>
      <c r="V707" s="655">
        <v>0</v>
      </c>
      <c r="W707" s="655">
        <v>64576</v>
      </c>
      <c r="X707" s="655">
        <v>50315</v>
      </c>
      <c r="Y707" s="655">
        <v>0</v>
      </c>
      <c r="Z707" s="655">
        <v>0</v>
      </c>
      <c r="AA707" s="655">
        <v>0</v>
      </c>
      <c r="AB707" s="655">
        <v>0</v>
      </c>
      <c r="AC707" s="655">
        <v>736</v>
      </c>
      <c r="AD707" s="655">
        <v>29369</v>
      </c>
      <c r="AE707" s="655">
        <v>4655626</v>
      </c>
      <c r="AF707" s="655">
        <v>98673</v>
      </c>
      <c r="AG707" s="655">
        <v>272256</v>
      </c>
      <c r="AH707" s="655">
        <v>0</v>
      </c>
      <c r="AI707" s="655">
        <v>547164</v>
      </c>
      <c r="AJ707" s="655">
        <v>3268559</v>
      </c>
      <c r="AK707" s="655">
        <v>8842278</v>
      </c>
      <c r="AL707" s="655">
        <v>5885457</v>
      </c>
      <c r="AM707" s="655">
        <v>2956821</v>
      </c>
    </row>
    <row r="708" spans="1:39" x14ac:dyDescent="0.2">
      <c r="A708" s="648">
        <v>2015</v>
      </c>
      <c r="B708" s="648">
        <v>7</v>
      </c>
      <c r="C708" s="657" t="s">
        <v>115</v>
      </c>
      <c r="D708" s="648">
        <v>873</v>
      </c>
      <c r="E708" s="648" t="s">
        <v>1040</v>
      </c>
      <c r="F708" s="655">
        <v>2995335</v>
      </c>
      <c r="G708" s="655">
        <v>0</v>
      </c>
      <c r="H708" s="655">
        <v>86234</v>
      </c>
      <c r="I708" s="655">
        <v>396141</v>
      </c>
      <c r="J708" s="655">
        <v>271102</v>
      </c>
      <c r="K708" s="655">
        <v>29477</v>
      </c>
      <c r="L708" s="655">
        <v>27687</v>
      </c>
      <c r="M708" s="655">
        <v>0</v>
      </c>
      <c r="N708" s="655">
        <v>148334</v>
      </c>
      <c r="O708" s="655">
        <v>8438</v>
      </c>
      <c r="P708" s="655">
        <v>24414</v>
      </c>
      <c r="Q708" s="655">
        <v>27275</v>
      </c>
      <c r="R708" s="655">
        <v>0</v>
      </c>
      <c r="S708" s="655">
        <v>18935</v>
      </c>
      <c r="T708" s="655">
        <v>2174</v>
      </c>
      <c r="U708" s="655">
        <v>111153</v>
      </c>
      <c r="V708" s="655">
        <v>0</v>
      </c>
      <c r="W708" s="655">
        <v>58640</v>
      </c>
      <c r="X708" s="655">
        <v>172827</v>
      </c>
      <c r="Y708" s="655">
        <v>0</v>
      </c>
      <c r="Z708" s="655">
        <v>0</v>
      </c>
      <c r="AA708" s="655">
        <v>0</v>
      </c>
      <c r="AB708" s="655">
        <v>0</v>
      </c>
      <c r="AC708" s="655">
        <v>-1371</v>
      </c>
      <c r="AD708" s="655">
        <v>29571</v>
      </c>
      <c r="AE708" s="655">
        <v>4347224</v>
      </c>
      <c r="AF708" s="655">
        <v>111405</v>
      </c>
      <c r="AG708" s="655">
        <v>262601</v>
      </c>
      <c r="AH708" s="655">
        <v>0</v>
      </c>
      <c r="AI708" s="655">
        <v>487076</v>
      </c>
      <c r="AJ708" s="655">
        <v>1457812</v>
      </c>
      <c r="AK708" s="655">
        <v>6666118</v>
      </c>
      <c r="AL708" s="655">
        <v>5413690</v>
      </c>
      <c r="AM708" s="655">
        <v>1252428</v>
      </c>
    </row>
    <row r="709" spans="1:39" x14ac:dyDescent="0.2">
      <c r="A709" s="648">
        <v>2015</v>
      </c>
      <c r="B709" s="648">
        <v>15</v>
      </c>
      <c r="C709" s="657" t="s">
        <v>116</v>
      </c>
      <c r="D709" s="648">
        <v>882</v>
      </c>
      <c r="E709" s="648" t="s">
        <v>1041</v>
      </c>
      <c r="F709" s="655">
        <v>29515959</v>
      </c>
      <c r="G709" s="655">
        <v>0</v>
      </c>
      <c r="H709" s="655">
        <v>270931</v>
      </c>
      <c r="I709" s="655">
        <v>5442994</v>
      </c>
      <c r="J709" s="655">
        <v>2498100</v>
      </c>
      <c r="K709" s="655">
        <v>274110</v>
      </c>
      <c r="L709" s="655">
        <v>344306</v>
      </c>
      <c r="M709" s="655">
        <v>0</v>
      </c>
      <c r="N709" s="655">
        <v>1522466</v>
      </c>
      <c r="O709" s="655">
        <v>0</v>
      </c>
      <c r="P709" s="655">
        <v>259779</v>
      </c>
      <c r="Q709" s="655">
        <v>285328</v>
      </c>
      <c r="R709" s="655">
        <v>4114</v>
      </c>
      <c r="S709" s="655">
        <v>152389</v>
      </c>
      <c r="T709" s="655">
        <v>16475</v>
      </c>
      <c r="U709" s="655">
        <v>850422</v>
      </c>
      <c r="V709" s="655">
        <v>88881</v>
      </c>
      <c r="W709" s="655">
        <v>0</v>
      </c>
      <c r="X709" s="655">
        <v>0</v>
      </c>
      <c r="Y709" s="655">
        <v>17738</v>
      </c>
      <c r="Z709" s="655">
        <v>0</v>
      </c>
      <c r="AA709" s="655">
        <v>0</v>
      </c>
      <c r="AB709" s="655">
        <v>0</v>
      </c>
      <c r="AC709" s="655">
        <v>0</v>
      </c>
      <c r="AD709" s="655">
        <v>231008</v>
      </c>
      <c r="AE709" s="655">
        <v>41277508</v>
      </c>
      <c r="AF709" s="655">
        <v>633417</v>
      </c>
      <c r="AG709" s="655">
        <v>1775090</v>
      </c>
      <c r="AH709" s="655">
        <v>0</v>
      </c>
      <c r="AI709" s="655">
        <v>6834894</v>
      </c>
      <c r="AJ709" s="655">
        <v>15823834</v>
      </c>
      <c r="AK709" s="655">
        <v>66344743</v>
      </c>
      <c r="AL709" s="655">
        <v>48399980</v>
      </c>
      <c r="AM709" s="655">
        <v>17944763</v>
      </c>
    </row>
    <row r="710" spans="1:39" x14ac:dyDescent="0.2">
      <c r="A710" s="648">
        <v>2015</v>
      </c>
      <c r="B710" s="648">
        <v>13</v>
      </c>
      <c r="C710" s="657" t="s">
        <v>117</v>
      </c>
      <c r="D710" s="648">
        <v>914</v>
      </c>
      <c r="E710" s="648" t="s">
        <v>1478</v>
      </c>
      <c r="F710" s="655">
        <v>2854478</v>
      </c>
      <c r="G710" s="655">
        <v>0</v>
      </c>
      <c r="H710" s="655">
        <v>80110</v>
      </c>
      <c r="I710" s="655">
        <v>285769</v>
      </c>
      <c r="J710" s="655">
        <v>265966</v>
      </c>
      <c r="K710" s="655">
        <v>26623</v>
      </c>
      <c r="L710" s="655">
        <v>27134</v>
      </c>
      <c r="M710" s="655">
        <v>0</v>
      </c>
      <c r="N710" s="655">
        <v>136984</v>
      </c>
      <c r="O710" s="655">
        <v>4346</v>
      </c>
      <c r="P710" s="655">
        <v>23180</v>
      </c>
      <c r="Q710" s="655">
        <v>25636</v>
      </c>
      <c r="R710" s="655">
        <v>0</v>
      </c>
      <c r="S710" s="655">
        <v>14067</v>
      </c>
      <c r="T710" s="655">
        <v>1493</v>
      </c>
      <c r="U710" s="655">
        <v>98479</v>
      </c>
      <c r="V710" s="655">
        <v>0</v>
      </c>
      <c r="W710" s="655">
        <v>50804</v>
      </c>
      <c r="X710" s="655">
        <v>228058</v>
      </c>
      <c r="Y710" s="655">
        <v>0</v>
      </c>
      <c r="Z710" s="655">
        <v>0</v>
      </c>
      <c r="AA710" s="655">
        <v>0</v>
      </c>
      <c r="AB710" s="655">
        <v>0</v>
      </c>
      <c r="AC710" s="655">
        <v>-6171</v>
      </c>
      <c r="AD710" s="655">
        <v>25872</v>
      </c>
      <c r="AE710" s="655">
        <v>4091084</v>
      </c>
      <c r="AF710" s="655">
        <v>92307</v>
      </c>
      <c r="AG710" s="655">
        <v>250880</v>
      </c>
      <c r="AH710" s="655">
        <v>0</v>
      </c>
      <c r="AI710" s="655">
        <v>2863833</v>
      </c>
      <c r="AJ710" s="655">
        <v>839742</v>
      </c>
      <c r="AK710" s="655">
        <v>8137846</v>
      </c>
      <c r="AL710" s="655">
        <v>7288648</v>
      </c>
      <c r="AM710" s="655">
        <v>849198</v>
      </c>
    </row>
    <row r="711" spans="1:39" x14ac:dyDescent="0.2">
      <c r="A711" s="648">
        <v>2015</v>
      </c>
      <c r="B711" s="648">
        <v>7</v>
      </c>
      <c r="C711" s="657" t="s">
        <v>118</v>
      </c>
      <c r="D711" s="648">
        <v>916</v>
      </c>
      <c r="E711" s="648" t="s">
        <v>1042</v>
      </c>
      <c r="F711" s="655">
        <v>1728118</v>
      </c>
      <c r="G711" s="655">
        <v>21748</v>
      </c>
      <c r="H711" s="655">
        <v>174224</v>
      </c>
      <c r="I711" s="655">
        <v>397650</v>
      </c>
      <c r="J711" s="655">
        <v>166193</v>
      </c>
      <c r="K711" s="655">
        <v>18262</v>
      </c>
      <c r="L711" s="655">
        <v>18603</v>
      </c>
      <c r="M711" s="655">
        <v>0</v>
      </c>
      <c r="N711" s="655">
        <v>92108</v>
      </c>
      <c r="O711" s="655">
        <v>0</v>
      </c>
      <c r="P711" s="655">
        <v>14617</v>
      </c>
      <c r="Q711" s="655">
        <v>16330</v>
      </c>
      <c r="R711" s="655">
        <v>0</v>
      </c>
      <c r="S711" s="655">
        <v>11757</v>
      </c>
      <c r="T711" s="655">
        <v>1350</v>
      </c>
      <c r="U711" s="655">
        <v>51358</v>
      </c>
      <c r="V711" s="655">
        <v>0</v>
      </c>
      <c r="W711" s="655">
        <v>51105</v>
      </c>
      <c r="X711" s="655">
        <v>0</v>
      </c>
      <c r="Y711" s="655">
        <v>0</v>
      </c>
      <c r="Z711" s="655">
        <v>0</v>
      </c>
      <c r="AA711" s="655">
        <v>0</v>
      </c>
      <c r="AB711" s="655">
        <v>0</v>
      </c>
      <c r="AC711" s="655">
        <v>-252</v>
      </c>
      <c r="AD711" s="655">
        <v>14140</v>
      </c>
      <c r="AE711" s="655">
        <v>2749031</v>
      </c>
      <c r="AF711" s="655">
        <v>44562</v>
      </c>
      <c r="AG711" s="655">
        <v>147007</v>
      </c>
      <c r="AH711" s="655">
        <v>0</v>
      </c>
      <c r="AI711" s="655">
        <v>542375</v>
      </c>
      <c r="AJ711" s="655">
        <v>1370244</v>
      </c>
      <c r="AK711" s="655">
        <v>4853219</v>
      </c>
      <c r="AL711" s="655">
        <v>3687203</v>
      </c>
      <c r="AM711" s="655">
        <v>1166016</v>
      </c>
    </row>
    <row r="712" spans="1:39" x14ac:dyDescent="0.2">
      <c r="A712" s="648">
        <v>2015</v>
      </c>
      <c r="B712" s="648">
        <v>9</v>
      </c>
      <c r="C712" s="657" t="s">
        <v>119</v>
      </c>
      <c r="D712" s="648">
        <v>918</v>
      </c>
      <c r="E712" s="648" t="s">
        <v>1043</v>
      </c>
      <c r="F712" s="655">
        <v>2891250</v>
      </c>
      <c r="G712" s="655">
        <v>26167</v>
      </c>
      <c r="H712" s="655">
        <v>30879</v>
      </c>
      <c r="I712" s="655">
        <v>337827</v>
      </c>
      <c r="J712" s="655">
        <v>275112</v>
      </c>
      <c r="K712" s="655">
        <v>29984</v>
      </c>
      <c r="L712" s="655">
        <v>31406</v>
      </c>
      <c r="M712" s="655">
        <v>0</v>
      </c>
      <c r="N712" s="655">
        <v>141145</v>
      </c>
      <c r="O712" s="655">
        <v>5720</v>
      </c>
      <c r="P712" s="655">
        <v>23355</v>
      </c>
      <c r="Q712" s="655">
        <v>25475</v>
      </c>
      <c r="R712" s="655">
        <v>0</v>
      </c>
      <c r="S712" s="655">
        <v>12675</v>
      </c>
      <c r="T712" s="655">
        <v>1488</v>
      </c>
      <c r="U712" s="655">
        <v>0</v>
      </c>
      <c r="V712" s="655">
        <v>0</v>
      </c>
      <c r="W712" s="655">
        <v>52043</v>
      </c>
      <c r="X712" s="655">
        <v>136276</v>
      </c>
      <c r="Y712" s="655">
        <v>0</v>
      </c>
      <c r="Z712" s="655">
        <v>0</v>
      </c>
      <c r="AA712" s="655">
        <v>0</v>
      </c>
      <c r="AB712" s="655">
        <v>0</v>
      </c>
      <c r="AC712" s="655">
        <v>0</v>
      </c>
      <c r="AD712" s="655">
        <v>24342</v>
      </c>
      <c r="AE712" s="655">
        <v>3996460</v>
      </c>
      <c r="AF712" s="655">
        <v>89124</v>
      </c>
      <c r="AG712" s="655">
        <v>228930</v>
      </c>
      <c r="AH712" s="655">
        <v>0</v>
      </c>
      <c r="AI712" s="655">
        <v>685830</v>
      </c>
      <c r="AJ712" s="655">
        <v>2880729</v>
      </c>
      <c r="AK712" s="655">
        <v>7881073</v>
      </c>
      <c r="AL712" s="655">
        <v>4954798</v>
      </c>
      <c r="AM712" s="655">
        <v>2926275</v>
      </c>
    </row>
    <row r="713" spans="1:39" x14ac:dyDescent="0.2">
      <c r="A713" s="648">
        <v>2015</v>
      </c>
      <c r="B713" s="648">
        <v>9</v>
      </c>
      <c r="C713" s="657" t="s">
        <v>120</v>
      </c>
      <c r="D713" s="648">
        <v>936</v>
      </c>
      <c r="E713" s="648" t="s">
        <v>1044</v>
      </c>
      <c r="F713" s="655">
        <v>5672106</v>
      </c>
      <c r="G713" s="655">
        <v>0</v>
      </c>
      <c r="H713" s="655">
        <v>32091</v>
      </c>
      <c r="I713" s="655">
        <v>712355</v>
      </c>
      <c r="J713" s="655">
        <v>499896</v>
      </c>
      <c r="K713" s="655">
        <v>52168</v>
      </c>
      <c r="L713" s="655">
        <v>62325</v>
      </c>
      <c r="M713" s="655">
        <v>0</v>
      </c>
      <c r="N713" s="655">
        <v>281654</v>
      </c>
      <c r="O713" s="655">
        <v>0</v>
      </c>
      <c r="P713" s="655">
        <v>47177</v>
      </c>
      <c r="Q713" s="655">
        <v>51458</v>
      </c>
      <c r="R713" s="655">
        <v>0</v>
      </c>
      <c r="S713" s="655">
        <v>25293</v>
      </c>
      <c r="T713" s="655">
        <v>2969</v>
      </c>
      <c r="U713" s="655">
        <v>136345</v>
      </c>
      <c r="V713" s="655">
        <v>1223</v>
      </c>
      <c r="W713" s="655">
        <v>79573</v>
      </c>
      <c r="X713" s="655">
        <v>28263</v>
      </c>
      <c r="Y713" s="655">
        <v>0</v>
      </c>
      <c r="Z713" s="655">
        <v>0</v>
      </c>
      <c r="AA713" s="655">
        <v>0</v>
      </c>
      <c r="AB713" s="655">
        <v>0</v>
      </c>
      <c r="AC713" s="655">
        <v>0</v>
      </c>
      <c r="AD713" s="655">
        <v>41235</v>
      </c>
      <c r="AE713" s="655">
        <v>7643661</v>
      </c>
      <c r="AF713" s="655">
        <v>219627</v>
      </c>
      <c r="AG713" s="655">
        <v>435221</v>
      </c>
      <c r="AH713" s="655">
        <v>0</v>
      </c>
      <c r="AI713" s="655">
        <v>2121000</v>
      </c>
      <c r="AJ713" s="655">
        <v>1029917</v>
      </c>
      <c r="AK713" s="655">
        <v>11449426</v>
      </c>
      <c r="AL713" s="655">
        <v>11242619</v>
      </c>
      <c r="AM713" s="655">
        <v>206807</v>
      </c>
    </row>
    <row r="714" spans="1:39" x14ac:dyDescent="0.2">
      <c r="A714" s="648">
        <v>2015</v>
      </c>
      <c r="B714" s="648">
        <v>15</v>
      </c>
      <c r="C714" s="657" t="s">
        <v>121</v>
      </c>
      <c r="D714" s="648">
        <v>977</v>
      </c>
      <c r="E714" s="648" t="s">
        <v>1045</v>
      </c>
      <c r="F714" s="655">
        <v>3825966</v>
      </c>
      <c r="G714" s="655">
        <v>0</v>
      </c>
      <c r="H714" s="655">
        <v>71541</v>
      </c>
      <c r="I714" s="655">
        <v>454214</v>
      </c>
      <c r="J714" s="655">
        <v>347186</v>
      </c>
      <c r="K714" s="655">
        <v>31973</v>
      </c>
      <c r="L714" s="655">
        <v>43176</v>
      </c>
      <c r="M714" s="655">
        <v>0</v>
      </c>
      <c r="N714" s="655">
        <v>186402</v>
      </c>
      <c r="O714" s="655">
        <v>0</v>
      </c>
      <c r="P714" s="655">
        <v>31288</v>
      </c>
      <c r="Q714" s="655">
        <v>34365</v>
      </c>
      <c r="R714" s="655">
        <v>505</v>
      </c>
      <c r="S714" s="655">
        <v>18658</v>
      </c>
      <c r="T714" s="655">
        <v>2017</v>
      </c>
      <c r="U714" s="655">
        <v>145387</v>
      </c>
      <c r="V714" s="655">
        <v>0</v>
      </c>
      <c r="W714" s="655">
        <v>99160</v>
      </c>
      <c r="X714" s="655">
        <v>45154</v>
      </c>
      <c r="Y714" s="655">
        <v>0</v>
      </c>
      <c r="Z714" s="655">
        <v>0</v>
      </c>
      <c r="AA714" s="655">
        <v>0</v>
      </c>
      <c r="AB714" s="655">
        <v>0</v>
      </c>
      <c r="AC714" s="655">
        <v>0</v>
      </c>
      <c r="AD714" s="655">
        <v>29808</v>
      </c>
      <c r="AE714" s="655">
        <v>5307184</v>
      </c>
      <c r="AF714" s="655">
        <v>127320</v>
      </c>
      <c r="AG714" s="655">
        <v>254771</v>
      </c>
      <c r="AH714" s="655">
        <v>0</v>
      </c>
      <c r="AI714" s="655">
        <v>1978661</v>
      </c>
      <c r="AJ714" s="655">
        <v>3194898</v>
      </c>
      <c r="AK714" s="655">
        <v>10862834</v>
      </c>
      <c r="AL714" s="655">
        <v>8194074</v>
      </c>
      <c r="AM714" s="655">
        <v>2668760</v>
      </c>
    </row>
    <row r="715" spans="1:39" x14ac:dyDescent="0.2">
      <c r="A715" s="648">
        <v>2015</v>
      </c>
      <c r="B715" s="648">
        <v>11</v>
      </c>
      <c r="C715" s="657" t="s">
        <v>122</v>
      </c>
      <c r="D715" s="648">
        <v>981</v>
      </c>
      <c r="E715" s="648" t="s">
        <v>1046</v>
      </c>
      <c r="F715" s="655">
        <v>11745270</v>
      </c>
      <c r="G715" s="655">
        <v>0</v>
      </c>
      <c r="H715" s="655">
        <v>159659</v>
      </c>
      <c r="I715" s="655">
        <v>1229593</v>
      </c>
      <c r="J715" s="655">
        <v>980064</v>
      </c>
      <c r="K715" s="655">
        <v>99446</v>
      </c>
      <c r="L715" s="655">
        <v>119390</v>
      </c>
      <c r="M715" s="655">
        <v>0</v>
      </c>
      <c r="N715" s="655">
        <v>554010</v>
      </c>
      <c r="O715" s="655">
        <v>0</v>
      </c>
      <c r="P715" s="655">
        <v>97217</v>
      </c>
      <c r="Q715" s="655">
        <v>106703</v>
      </c>
      <c r="R715" s="655">
        <v>0</v>
      </c>
      <c r="S715" s="655">
        <v>45247</v>
      </c>
      <c r="T715" s="655">
        <v>5768</v>
      </c>
      <c r="U715" s="655">
        <v>230700</v>
      </c>
      <c r="V715" s="655">
        <v>0</v>
      </c>
      <c r="W715" s="655">
        <v>275648</v>
      </c>
      <c r="X715" s="655">
        <v>170233</v>
      </c>
      <c r="Y715" s="655">
        <v>0</v>
      </c>
      <c r="Z715" s="655">
        <v>0</v>
      </c>
      <c r="AA715" s="655">
        <v>0</v>
      </c>
      <c r="AB715" s="655">
        <v>0</v>
      </c>
      <c r="AC715" s="655">
        <v>-6121</v>
      </c>
      <c r="AD715" s="655">
        <v>58812</v>
      </c>
      <c r="AE715" s="655">
        <v>15754015</v>
      </c>
      <c r="AF715" s="655">
        <v>334215</v>
      </c>
      <c r="AG715" s="655">
        <v>0</v>
      </c>
      <c r="AH715" s="655">
        <v>0</v>
      </c>
      <c r="AI715" s="655">
        <v>2362677</v>
      </c>
      <c r="AJ715" s="655">
        <v>7129374</v>
      </c>
      <c r="AK715" s="655">
        <v>25580281</v>
      </c>
      <c r="AL715" s="655">
        <v>18357532</v>
      </c>
      <c r="AM715" s="655">
        <v>7222749</v>
      </c>
    </row>
    <row r="716" spans="1:39" x14ac:dyDescent="0.2">
      <c r="A716" s="648">
        <v>2015</v>
      </c>
      <c r="B716" s="648">
        <v>11</v>
      </c>
      <c r="C716" s="657" t="s">
        <v>123</v>
      </c>
      <c r="D716" s="648">
        <v>999</v>
      </c>
      <c r="E716" s="648" t="s">
        <v>1047</v>
      </c>
      <c r="F716" s="655">
        <v>10665596</v>
      </c>
      <c r="G716" s="655">
        <v>0</v>
      </c>
      <c r="H716" s="655">
        <v>240979</v>
      </c>
      <c r="I716" s="655">
        <v>1310823</v>
      </c>
      <c r="J716" s="655">
        <v>889118</v>
      </c>
      <c r="K716" s="655">
        <v>102384</v>
      </c>
      <c r="L716" s="655">
        <v>102635</v>
      </c>
      <c r="M716" s="655">
        <v>0</v>
      </c>
      <c r="N716" s="655">
        <v>511378</v>
      </c>
      <c r="O716" s="655">
        <v>0</v>
      </c>
      <c r="P716" s="655">
        <v>130264</v>
      </c>
      <c r="Q716" s="655">
        <v>142974</v>
      </c>
      <c r="R716" s="655">
        <v>0</v>
      </c>
      <c r="S716" s="655">
        <v>41765</v>
      </c>
      <c r="T716" s="655">
        <v>5324</v>
      </c>
      <c r="U716" s="655">
        <v>424875</v>
      </c>
      <c r="V716" s="655">
        <v>0</v>
      </c>
      <c r="W716" s="655">
        <v>101219</v>
      </c>
      <c r="X716" s="655">
        <v>528481</v>
      </c>
      <c r="Y716" s="655">
        <v>0</v>
      </c>
      <c r="Z716" s="655">
        <v>0</v>
      </c>
      <c r="AA716" s="655">
        <v>0</v>
      </c>
      <c r="AB716" s="655">
        <v>0</v>
      </c>
      <c r="AC716" s="655">
        <v>0</v>
      </c>
      <c r="AD716" s="655">
        <v>92884</v>
      </c>
      <c r="AE716" s="655">
        <v>15104931</v>
      </c>
      <c r="AF716" s="655">
        <v>553842</v>
      </c>
      <c r="AG716" s="655">
        <v>0</v>
      </c>
      <c r="AH716" s="655">
        <v>0</v>
      </c>
      <c r="AI716" s="655">
        <v>2007487</v>
      </c>
      <c r="AJ716" s="655">
        <v>3130387</v>
      </c>
      <c r="AK716" s="655">
        <v>20796647</v>
      </c>
      <c r="AL716" s="655">
        <v>17210766</v>
      </c>
      <c r="AM716" s="655">
        <v>3585881</v>
      </c>
    </row>
    <row r="717" spans="1:39" x14ac:dyDescent="0.2">
      <c r="A717" s="648">
        <v>2015</v>
      </c>
      <c r="B717" s="648">
        <v>7</v>
      </c>
      <c r="C717" s="657" t="s">
        <v>124</v>
      </c>
      <c r="D717" s="648">
        <v>1044</v>
      </c>
      <c r="E717" s="648" t="s">
        <v>1048</v>
      </c>
      <c r="F717" s="655">
        <v>30967044</v>
      </c>
      <c r="G717" s="655">
        <v>0</v>
      </c>
      <c r="H717" s="655">
        <v>439278</v>
      </c>
      <c r="I717" s="655">
        <v>3659185</v>
      </c>
      <c r="J717" s="655">
        <v>2611037</v>
      </c>
      <c r="K717" s="655">
        <v>310837</v>
      </c>
      <c r="L717" s="655">
        <v>308650</v>
      </c>
      <c r="M717" s="655">
        <v>0</v>
      </c>
      <c r="N717" s="655">
        <v>1538702</v>
      </c>
      <c r="O717" s="655">
        <v>0</v>
      </c>
      <c r="P717" s="655">
        <v>270542</v>
      </c>
      <c r="Q717" s="655">
        <v>302249</v>
      </c>
      <c r="R717" s="655">
        <v>0</v>
      </c>
      <c r="S717" s="655">
        <v>196413</v>
      </c>
      <c r="T717" s="655">
        <v>22548</v>
      </c>
      <c r="U717" s="655">
        <v>744414</v>
      </c>
      <c r="V717" s="655">
        <v>80675</v>
      </c>
      <c r="W717" s="655">
        <v>314189</v>
      </c>
      <c r="X717" s="655">
        <v>675685</v>
      </c>
      <c r="Y717" s="655">
        <v>0</v>
      </c>
      <c r="Z717" s="655">
        <v>0</v>
      </c>
      <c r="AA717" s="655">
        <v>0</v>
      </c>
      <c r="AB717" s="655">
        <v>0</v>
      </c>
      <c r="AC717" s="655">
        <v>0</v>
      </c>
      <c r="AD717" s="655">
        <v>198163</v>
      </c>
      <c r="AE717" s="655">
        <v>42243285</v>
      </c>
      <c r="AF717" s="655">
        <v>388324</v>
      </c>
      <c r="AG717" s="655">
        <v>2399326</v>
      </c>
      <c r="AH717" s="655">
        <v>0</v>
      </c>
      <c r="AI717" s="655">
        <v>7446734</v>
      </c>
      <c r="AJ717" s="655">
        <v>9191056</v>
      </c>
      <c r="AK717" s="655">
        <v>61668725</v>
      </c>
      <c r="AL717" s="655">
        <v>53037735</v>
      </c>
      <c r="AM717" s="655">
        <v>8630990</v>
      </c>
    </row>
    <row r="718" spans="1:39" x14ac:dyDescent="0.2">
      <c r="A718" s="648">
        <v>2015</v>
      </c>
      <c r="B718" s="648">
        <v>10</v>
      </c>
      <c r="C718" s="657" t="s">
        <v>125</v>
      </c>
      <c r="D718" s="648">
        <v>1053</v>
      </c>
      <c r="E718" s="648" t="s">
        <v>1049</v>
      </c>
      <c r="F718" s="655">
        <v>107360680</v>
      </c>
      <c r="G718" s="655">
        <v>0</v>
      </c>
      <c r="H718" s="655">
        <v>1334333</v>
      </c>
      <c r="I718" s="655">
        <v>16985761</v>
      </c>
      <c r="J718" s="655">
        <v>9065788</v>
      </c>
      <c r="K718" s="655">
        <v>1071920</v>
      </c>
      <c r="L718" s="655">
        <v>1169904</v>
      </c>
      <c r="M718" s="655">
        <v>0</v>
      </c>
      <c r="N718" s="655">
        <v>5448116</v>
      </c>
      <c r="O718" s="655">
        <v>0</v>
      </c>
      <c r="P718" s="655">
        <v>987958</v>
      </c>
      <c r="Q718" s="655">
        <v>1085274</v>
      </c>
      <c r="R718" s="655">
        <v>0</v>
      </c>
      <c r="S718" s="655">
        <v>507269</v>
      </c>
      <c r="T718" s="655">
        <v>58989</v>
      </c>
      <c r="U718" s="655">
        <v>5368034</v>
      </c>
      <c r="V718" s="655">
        <v>592593</v>
      </c>
      <c r="W718" s="655">
        <v>1827478</v>
      </c>
      <c r="X718" s="655">
        <v>2352784</v>
      </c>
      <c r="Y718" s="655">
        <v>0</v>
      </c>
      <c r="Z718" s="655">
        <v>0</v>
      </c>
      <c r="AA718" s="655">
        <v>0</v>
      </c>
      <c r="AB718" s="655">
        <v>0</v>
      </c>
      <c r="AC718" s="655">
        <v>-6121</v>
      </c>
      <c r="AD718" s="655">
        <v>846317</v>
      </c>
      <c r="AE718" s="655">
        <v>154364443</v>
      </c>
      <c r="AF718" s="655">
        <v>1515230</v>
      </c>
      <c r="AG718" s="655">
        <v>7994076</v>
      </c>
      <c r="AH718" s="655">
        <v>0</v>
      </c>
      <c r="AI718" s="655">
        <v>27741680</v>
      </c>
      <c r="AJ718" s="655">
        <v>4891392</v>
      </c>
      <c r="AK718" s="655">
        <v>196506821</v>
      </c>
      <c r="AL718" s="655">
        <v>190716535</v>
      </c>
      <c r="AM718" s="655">
        <v>5790286</v>
      </c>
    </row>
    <row r="719" spans="1:39" x14ac:dyDescent="0.2">
      <c r="A719" s="648">
        <v>2015</v>
      </c>
      <c r="B719" s="648">
        <v>10</v>
      </c>
      <c r="C719" s="657" t="s">
        <v>126</v>
      </c>
      <c r="D719" s="648">
        <v>1062</v>
      </c>
      <c r="E719" s="648" t="s">
        <v>637</v>
      </c>
      <c r="F719" s="655">
        <v>8392934</v>
      </c>
      <c r="G719" s="655">
        <v>0</v>
      </c>
      <c r="H719" s="655">
        <v>62069</v>
      </c>
      <c r="I719" s="655">
        <v>640674</v>
      </c>
      <c r="J719" s="655">
        <v>716168</v>
      </c>
      <c r="K719" s="655">
        <v>79354</v>
      </c>
      <c r="L719" s="655">
        <v>81556</v>
      </c>
      <c r="M719" s="655">
        <v>0</v>
      </c>
      <c r="N719" s="655">
        <v>395799</v>
      </c>
      <c r="O719" s="655">
        <v>0</v>
      </c>
      <c r="P719" s="655">
        <v>68798</v>
      </c>
      <c r="Q719" s="655">
        <v>75574</v>
      </c>
      <c r="R719" s="655">
        <v>0</v>
      </c>
      <c r="S719" s="655">
        <v>36852</v>
      </c>
      <c r="T719" s="655">
        <v>4286</v>
      </c>
      <c r="U719" s="655">
        <v>0</v>
      </c>
      <c r="V719" s="655">
        <v>1507</v>
      </c>
      <c r="W719" s="655">
        <v>107730</v>
      </c>
      <c r="X719" s="655">
        <v>372172</v>
      </c>
      <c r="Y719" s="655">
        <v>0</v>
      </c>
      <c r="Z719" s="655">
        <v>0</v>
      </c>
      <c r="AA719" s="655">
        <v>0</v>
      </c>
      <c r="AB719" s="655">
        <v>0</v>
      </c>
      <c r="AC719" s="655">
        <v>18363</v>
      </c>
      <c r="AD719" s="655">
        <v>46594</v>
      </c>
      <c r="AE719" s="655">
        <v>11007242</v>
      </c>
      <c r="AF719" s="655">
        <v>276921</v>
      </c>
      <c r="AG719" s="655">
        <v>507185</v>
      </c>
      <c r="AH719" s="655">
        <v>0</v>
      </c>
      <c r="AI719" s="655">
        <v>2150302</v>
      </c>
      <c r="AJ719" s="655">
        <v>1600657</v>
      </c>
      <c r="AK719" s="655">
        <v>15542307</v>
      </c>
      <c r="AL719" s="655">
        <v>14574502</v>
      </c>
      <c r="AM719" s="655">
        <v>967805</v>
      </c>
    </row>
    <row r="720" spans="1:39" x14ac:dyDescent="0.2">
      <c r="A720" s="648">
        <v>2015</v>
      </c>
      <c r="B720" s="648">
        <v>15</v>
      </c>
      <c r="C720" s="657" t="s">
        <v>127</v>
      </c>
      <c r="D720" s="648">
        <v>1071</v>
      </c>
      <c r="E720" s="648" t="s">
        <v>1051</v>
      </c>
      <c r="F720" s="655">
        <v>8802250</v>
      </c>
      <c r="G720" s="655">
        <v>0</v>
      </c>
      <c r="H720" s="655">
        <v>151739</v>
      </c>
      <c r="I720" s="655">
        <v>1042521</v>
      </c>
      <c r="J720" s="655">
        <v>752157</v>
      </c>
      <c r="K720" s="655">
        <v>86296</v>
      </c>
      <c r="L720" s="655">
        <v>91064</v>
      </c>
      <c r="M720" s="655">
        <v>0</v>
      </c>
      <c r="N720" s="655">
        <v>424804</v>
      </c>
      <c r="O720" s="655">
        <v>13272</v>
      </c>
      <c r="P720" s="655">
        <v>71322</v>
      </c>
      <c r="Q720" s="655">
        <v>78337</v>
      </c>
      <c r="R720" s="655">
        <v>1148</v>
      </c>
      <c r="S720" s="655">
        <v>42520</v>
      </c>
      <c r="T720" s="655">
        <v>4597</v>
      </c>
      <c r="U720" s="655">
        <v>373102</v>
      </c>
      <c r="V720" s="655">
        <v>0</v>
      </c>
      <c r="W720" s="655">
        <v>129722</v>
      </c>
      <c r="X720" s="655">
        <v>0</v>
      </c>
      <c r="Y720" s="655">
        <v>0</v>
      </c>
      <c r="Z720" s="655">
        <v>0</v>
      </c>
      <c r="AA720" s="655">
        <v>0</v>
      </c>
      <c r="AB720" s="655">
        <v>0</v>
      </c>
      <c r="AC720" s="655">
        <v>6180</v>
      </c>
      <c r="AD720" s="655">
        <v>76839</v>
      </c>
      <c r="AE720" s="655">
        <v>11994192</v>
      </c>
      <c r="AF720" s="655">
        <v>283287</v>
      </c>
      <c r="AG720" s="655">
        <v>100839</v>
      </c>
      <c r="AH720" s="655">
        <v>0</v>
      </c>
      <c r="AI720" s="655">
        <v>1613614</v>
      </c>
      <c r="AJ720" s="655">
        <v>3877803</v>
      </c>
      <c r="AK720" s="655">
        <v>17869735</v>
      </c>
      <c r="AL720" s="655">
        <v>14154863</v>
      </c>
      <c r="AM720" s="655">
        <v>3714872</v>
      </c>
    </row>
    <row r="721" spans="1:39" x14ac:dyDescent="0.2">
      <c r="A721" s="648">
        <v>2015</v>
      </c>
      <c r="B721" s="648">
        <v>15</v>
      </c>
      <c r="C721" s="657" t="s">
        <v>128</v>
      </c>
      <c r="D721" s="648">
        <v>1079</v>
      </c>
      <c r="E721" s="648" t="s">
        <v>1052</v>
      </c>
      <c r="F721" s="655">
        <v>5110625</v>
      </c>
      <c r="G721" s="655">
        <v>36683</v>
      </c>
      <c r="H721" s="655">
        <v>59554</v>
      </c>
      <c r="I721" s="655">
        <v>502086</v>
      </c>
      <c r="J721" s="655">
        <v>462204</v>
      </c>
      <c r="K721" s="655">
        <v>59922</v>
      </c>
      <c r="L721" s="655">
        <v>50151</v>
      </c>
      <c r="M721" s="655">
        <v>0</v>
      </c>
      <c r="N721" s="655">
        <v>244434</v>
      </c>
      <c r="O721" s="655">
        <v>8914</v>
      </c>
      <c r="P721" s="655">
        <v>42585</v>
      </c>
      <c r="Q721" s="655">
        <v>46773</v>
      </c>
      <c r="R721" s="655">
        <v>660</v>
      </c>
      <c r="S721" s="655">
        <v>24739</v>
      </c>
      <c r="T721" s="655">
        <v>2664</v>
      </c>
      <c r="U721" s="655">
        <v>103954</v>
      </c>
      <c r="V721" s="655">
        <v>0</v>
      </c>
      <c r="W721" s="655">
        <v>134959</v>
      </c>
      <c r="X721" s="655">
        <v>302302</v>
      </c>
      <c r="Y721" s="655">
        <v>0</v>
      </c>
      <c r="Z721" s="655">
        <v>0</v>
      </c>
      <c r="AA721" s="655">
        <v>0</v>
      </c>
      <c r="AB721" s="655">
        <v>0</v>
      </c>
      <c r="AC721" s="655">
        <v>0</v>
      </c>
      <c r="AD721" s="655">
        <v>46695</v>
      </c>
      <c r="AE721" s="655">
        <v>7146514</v>
      </c>
      <c r="AF721" s="655">
        <v>0</v>
      </c>
      <c r="AG721" s="655">
        <v>374209</v>
      </c>
      <c r="AH721" s="655">
        <v>0</v>
      </c>
      <c r="AI721" s="655">
        <v>2379716</v>
      </c>
      <c r="AJ721" s="655">
        <v>1741248</v>
      </c>
      <c r="AK721" s="655">
        <v>11641687</v>
      </c>
      <c r="AL721" s="655">
        <v>10037902</v>
      </c>
      <c r="AM721" s="655">
        <v>1603785</v>
      </c>
    </row>
    <row r="722" spans="1:39" x14ac:dyDescent="0.2">
      <c r="A722" s="648">
        <v>2015</v>
      </c>
      <c r="B722" s="648">
        <v>1</v>
      </c>
      <c r="C722" s="657" t="s">
        <v>129</v>
      </c>
      <c r="D722" s="648">
        <v>1080</v>
      </c>
      <c r="E722" s="648" t="s">
        <v>1053</v>
      </c>
      <c r="F722" s="655">
        <v>2973559</v>
      </c>
      <c r="G722" s="655">
        <v>0</v>
      </c>
      <c r="H722" s="655">
        <v>50597</v>
      </c>
      <c r="I722" s="655">
        <v>496484</v>
      </c>
      <c r="J722" s="655">
        <v>263589</v>
      </c>
      <c r="K722" s="655">
        <v>27143</v>
      </c>
      <c r="L722" s="655">
        <v>26625</v>
      </c>
      <c r="M722" s="655">
        <v>0</v>
      </c>
      <c r="N722" s="655">
        <v>160300</v>
      </c>
      <c r="O722" s="655">
        <v>8696</v>
      </c>
      <c r="P722" s="655">
        <v>24452</v>
      </c>
      <c r="Q722" s="655">
        <v>27291</v>
      </c>
      <c r="R722" s="655">
        <v>0</v>
      </c>
      <c r="S722" s="655">
        <v>15764</v>
      </c>
      <c r="T722" s="655">
        <v>1684</v>
      </c>
      <c r="U722" s="655">
        <v>40000</v>
      </c>
      <c r="V722" s="655">
        <v>0</v>
      </c>
      <c r="W722" s="655">
        <v>62611</v>
      </c>
      <c r="X722" s="655">
        <v>0</v>
      </c>
      <c r="Y722" s="655">
        <v>0</v>
      </c>
      <c r="Z722" s="655">
        <v>0</v>
      </c>
      <c r="AA722" s="655">
        <v>0</v>
      </c>
      <c r="AB722" s="655">
        <v>0</v>
      </c>
      <c r="AC722" s="655">
        <v>0</v>
      </c>
      <c r="AD722" s="655">
        <v>29988</v>
      </c>
      <c r="AE722" s="655">
        <v>4148807</v>
      </c>
      <c r="AF722" s="655">
        <v>85941</v>
      </c>
      <c r="AG722" s="655">
        <v>232741</v>
      </c>
      <c r="AH722" s="655">
        <v>0</v>
      </c>
      <c r="AI722" s="655">
        <v>690791</v>
      </c>
      <c r="AJ722" s="655">
        <v>1375737</v>
      </c>
      <c r="AK722" s="655">
        <v>6534017</v>
      </c>
      <c r="AL722" s="655">
        <v>5080584</v>
      </c>
      <c r="AM722" s="655">
        <v>1453433</v>
      </c>
    </row>
    <row r="723" spans="1:39" x14ac:dyDescent="0.2">
      <c r="A723" s="648">
        <v>2015</v>
      </c>
      <c r="B723" s="648">
        <v>9</v>
      </c>
      <c r="C723" s="657" t="s">
        <v>130</v>
      </c>
      <c r="D723" s="648">
        <v>1082</v>
      </c>
      <c r="E723" s="648" t="s">
        <v>1722</v>
      </c>
      <c r="F723" s="655">
        <v>9406402</v>
      </c>
      <c r="G723" s="655">
        <v>0</v>
      </c>
      <c r="H723" s="655">
        <v>113149</v>
      </c>
      <c r="I723" s="655">
        <v>1065987</v>
      </c>
      <c r="J723" s="655">
        <v>832480</v>
      </c>
      <c r="K723" s="655">
        <v>89942</v>
      </c>
      <c r="L723" s="655">
        <v>84238</v>
      </c>
      <c r="M723" s="655">
        <v>0</v>
      </c>
      <c r="N723" s="655">
        <v>461996</v>
      </c>
      <c r="O723" s="655">
        <v>0</v>
      </c>
      <c r="P723" s="655">
        <v>85427</v>
      </c>
      <c r="Q723" s="655">
        <v>93180</v>
      </c>
      <c r="R723" s="655">
        <v>0</v>
      </c>
      <c r="S723" s="655">
        <v>41488</v>
      </c>
      <c r="T723" s="655">
        <v>4869</v>
      </c>
      <c r="U723" s="655">
        <v>196162</v>
      </c>
      <c r="V723" s="655">
        <v>0</v>
      </c>
      <c r="W723" s="655">
        <v>73452</v>
      </c>
      <c r="X723" s="655">
        <v>211828</v>
      </c>
      <c r="Y723" s="655">
        <v>0</v>
      </c>
      <c r="Z723" s="655">
        <v>0</v>
      </c>
      <c r="AA723" s="655">
        <v>0</v>
      </c>
      <c r="AB723" s="655">
        <v>0</v>
      </c>
      <c r="AC723" s="655">
        <v>0</v>
      </c>
      <c r="AD723" s="655">
        <v>77370</v>
      </c>
      <c r="AE723" s="655">
        <v>12683230</v>
      </c>
      <c r="AF723" s="655">
        <v>296019</v>
      </c>
      <c r="AG723" s="655">
        <v>703881</v>
      </c>
      <c r="AH723" s="655">
        <v>0</v>
      </c>
      <c r="AI723" s="655">
        <v>1312813</v>
      </c>
      <c r="AJ723" s="655">
        <v>1585752</v>
      </c>
      <c r="AK723" s="655">
        <v>16581695</v>
      </c>
      <c r="AL723" s="655">
        <v>15110068</v>
      </c>
      <c r="AM723" s="655">
        <v>1471627</v>
      </c>
    </row>
    <row r="724" spans="1:39" x14ac:dyDescent="0.2">
      <c r="A724" s="648">
        <v>2015</v>
      </c>
      <c r="B724" s="648">
        <v>10</v>
      </c>
      <c r="C724" s="657" t="s">
        <v>131</v>
      </c>
      <c r="D724" s="648">
        <v>1089</v>
      </c>
      <c r="E724" s="648" t="s">
        <v>1054</v>
      </c>
      <c r="F724" s="655">
        <v>3080461</v>
      </c>
      <c r="G724" s="655">
        <v>0</v>
      </c>
      <c r="H724" s="655">
        <v>143759</v>
      </c>
      <c r="I724" s="655">
        <v>284588</v>
      </c>
      <c r="J724" s="655">
        <v>284388</v>
      </c>
      <c r="K724" s="655">
        <v>27641</v>
      </c>
      <c r="L724" s="655">
        <v>31629</v>
      </c>
      <c r="M724" s="655">
        <v>0</v>
      </c>
      <c r="N724" s="655">
        <v>146037</v>
      </c>
      <c r="O724" s="655">
        <v>0</v>
      </c>
      <c r="P724" s="655">
        <v>25207</v>
      </c>
      <c r="Q724" s="655">
        <v>27690</v>
      </c>
      <c r="R724" s="655">
        <v>0</v>
      </c>
      <c r="S724" s="655">
        <v>13597</v>
      </c>
      <c r="T724" s="655">
        <v>1581</v>
      </c>
      <c r="U724" s="655">
        <v>37500</v>
      </c>
      <c r="V724" s="655">
        <v>0</v>
      </c>
      <c r="W724" s="655">
        <v>127255</v>
      </c>
      <c r="X724" s="655">
        <v>77831</v>
      </c>
      <c r="Y724" s="655">
        <v>0</v>
      </c>
      <c r="Z724" s="655">
        <v>0</v>
      </c>
      <c r="AA724" s="655">
        <v>0</v>
      </c>
      <c r="AB724" s="655">
        <v>0</v>
      </c>
      <c r="AC724" s="655">
        <v>0</v>
      </c>
      <c r="AD724" s="655">
        <v>23775</v>
      </c>
      <c r="AE724" s="655">
        <v>4285389</v>
      </c>
      <c r="AF724" s="655">
        <v>82758</v>
      </c>
      <c r="AG724" s="655">
        <v>109202</v>
      </c>
      <c r="AH724" s="655">
        <v>0</v>
      </c>
      <c r="AI724" s="655">
        <v>554588</v>
      </c>
      <c r="AJ724" s="655">
        <v>1139413</v>
      </c>
      <c r="AK724" s="655">
        <v>6171350</v>
      </c>
      <c r="AL724" s="655">
        <v>5541498</v>
      </c>
      <c r="AM724" s="655">
        <v>629852</v>
      </c>
    </row>
    <row r="725" spans="1:39" x14ac:dyDescent="0.2">
      <c r="A725" s="648">
        <v>2015</v>
      </c>
      <c r="B725" s="648">
        <v>13</v>
      </c>
      <c r="C725" s="657" t="s">
        <v>132</v>
      </c>
      <c r="D725" s="648">
        <v>1093</v>
      </c>
      <c r="E725" s="648" t="s">
        <v>1055</v>
      </c>
      <c r="F725" s="655">
        <v>4344158</v>
      </c>
      <c r="G725" s="655">
        <v>0</v>
      </c>
      <c r="H725" s="655">
        <v>114079</v>
      </c>
      <c r="I725" s="655">
        <v>604388</v>
      </c>
      <c r="J725" s="655">
        <v>391036</v>
      </c>
      <c r="K725" s="655">
        <v>40207</v>
      </c>
      <c r="L725" s="655">
        <v>52756</v>
      </c>
      <c r="M725" s="655">
        <v>0</v>
      </c>
      <c r="N725" s="655">
        <v>217562</v>
      </c>
      <c r="O725" s="655">
        <v>0</v>
      </c>
      <c r="P725" s="655">
        <v>35525</v>
      </c>
      <c r="Q725" s="655">
        <v>39290</v>
      </c>
      <c r="R725" s="655">
        <v>0</v>
      </c>
      <c r="S725" s="655">
        <v>22341</v>
      </c>
      <c r="T725" s="655">
        <v>2371</v>
      </c>
      <c r="U725" s="655">
        <v>53942</v>
      </c>
      <c r="V725" s="655">
        <v>0</v>
      </c>
      <c r="W725" s="655">
        <v>38000</v>
      </c>
      <c r="X725" s="655">
        <v>46296</v>
      </c>
      <c r="Y725" s="655">
        <v>0</v>
      </c>
      <c r="Z725" s="655">
        <v>0</v>
      </c>
      <c r="AA725" s="655">
        <v>0</v>
      </c>
      <c r="AB725" s="655">
        <v>0</v>
      </c>
      <c r="AC725" s="655">
        <v>0</v>
      </c>
      <c r="AD725" s="655">
        <v>35545</v>
      </c>
      <c r="AE725" s="655">
        <v>5966406</v>
      </c>
      <c r="AF725" s="655">
        <v>108222</v>
      </c>
      <c r="AG725" s="655">
        <v>254742</v>
      </c>
      <c r="AH725" s="655">
        <v>0</v>
      </c>
      <c r="AI725" s="655">
        <v>1665510</v>
      </c>
      <c r="AJ725" s="655">
        <v>794842</v>
      </c>
      <c r="AK725" s="655">
        <v>8789722</v>
      </c>
      <c r="AL725" s="655">
        <v>7934169</v>
      </c>
      <c r="AM725" s="655">
        <v>855553</v>
      </c>
    </row>
    <row r="726" spans="1:39" x14ac:dyDescent="0.2">
      <c r="A726" s="648">
        <v>2015</v>
      </c>
      <c r="B726" s="648">
        <v>12</v>
      </c>
      <c r="C726" s="657" t="s">
        <v>133</v>
      </c>
      <c r="D726" s="648">
        <v>1095</v>
      </c>
      <c r="E726" s="648" t="s">
        <v>1057</v>
      </c>
      <c r="F726" s="655">
        <v>4384901</v>
      </c>
      <c r="G726" s="655">
        <v>0</v>
      </c>
      <c r="H726" s="655">
        <v>41564</v>
      </c>
      <c r="I726" s="655">
        <v>420984</v>
      </c>
      <c r="J726" s="655">
        <v>366938</v>
      </c>
      <c r="K726" s="655">
        <v>42313</v>
      </c>
      <c r="L726" s="655">
        <v>38690</v>
      </c>
      <c r="M726" s="655">
        <v>0</v>
      </c>
      <c r="N726" s="655">
        <v>216257</v>
      </c>
      <c r="O726" s="655">
        <v>0</v>
      </c>
      <c r="P726" s="655">
        <v>39749</v>
      </c>
      <c r="Q726" s="655">
        <v>44637</v>
      </c>
      <c r="R726" s="655">
        <v>0</v>
      </c>
      <c r="S726" s="655">
        <v>21712</v>
      </c>
      <c r="T726" s="655">
        <v>2597</v>
      </c>
      <c r="U726" s="655">
        <v>195220</v>
      </c>
      <c r="V726" s="655">
        <v>0</v>
      </c>
      <c r="W726" s="655">
        <v>220900</v>
      </c>
      <c r="X726" s="655">
        <v>406331</v>
      </c>
      <c r="Y726" s="655">
        <v>0</v>
      </c>
      <c r="Z726" s="655">
        <v>0</v>
      </c>
      <c r="AA726" s="655">
        <v>0</v>
      </c>
      <c r="AB726" s="655">
        <v>0</v>
      </c>
      <c r="AC726" s="655">
        <v>-245</v>
      </c>
      <c r="AD726" s="655">
        <v>34843</v>
      </c>
      <c r="AE726" s="655">
        <v>6407705</v>
      </c>
      <c r="AF726" s="655">
        <v>178248</v>
      </c>
      <c r="AG726" s="655">
        <v>345223</v>
      </c>
      <c r="AH726" s="655">
        <v>0</v>
      </c>
      <c r="AI726" s="655">
        <v>723230</v>
      </c>
      <c r="AJ726" s="655">
        <v>1549875</v>
      </c>
      <c r="AK726" s="655">
        <v>9204281</v>
      </c>
      <c r="AL726" s="655">
        <v>7877630</v>
      </c>
      <c r="AM726" s="655">
        <v>1326651</v>
      </c>
    </row>
    <row r="727" spans="1:39" x14ac:dyDescent="0.2">
      <c r="A727" s="648">
        <v>2015</v>
      </c>
      <c r="B727" s="648">
        <v>15</v>
      </c>
      <c r="C727" s="657" t="s">
        <v>134</v>
      </c>
      <c r="D727" s="648">
        <v>1107</v>
      </c>
      <c r="E727" s="648" t="s">
        <v>1058</v>
      </c>
      <c r="F727" s="655">
        <v>8553358</v>
      </c>
      <c r="G727" s="655">
        <v>0</v>
      </c>
      <c r="H727" s="655">
        <v>200083</v>
      </c>
      <c r="I727" s="655">
        <v>1050581</v>
      </c>
      <c r="J727" s="655">
        <v>724281</v>
      </c>
      <c r="K727" s="655">
        <v>77163</v>
      </c>
      <c r="L727" s="655">
        <v>100542</v>
      </c>
      <c r="M727" s="655">
        <v>0</v>
      </c>
      <c r="N727" s="655">
        <v>418253</v>
      </c>
      <c r="O727" s="655">
        <v>22128</v>
      </c>
      <c r="P727" s="655">
        <v>69969</v>
      </c>
      <c r="Q727" s="655">
        <v>76850</v>
      </c>
      <c r="R727" s="655">
        <v>1131</v>
      </c>
      <c r="S727" s="655">
        <v>41864</v>
      </c>
      <c r="T727" s="655">
        <v>4526</v>
      </c>
      <c r="U727" s="655">
        <v>215263</v>
      </c>
      <c r="V727" s="655">
        <v>0</v>
      </c>
      <c r="W727" s="655">
        <v>131394</v>
      </c>
      <c r="X727" s="655">
        <v>230788</v>
      </c>
      <c r="Y727" s="655">
        <v>0</v>
      </c>
      <c r="Z727" s="655">
        <v>0</v>
      </c>
      <c r="AA727" s="655">
        <v>0</v>
      </c>
      <c r="AB727" s="655">
        <v>0</v>
      </c>
      <c r="AC727" s="655">
        <v>0</v>
      </c>
      <c r="AD727" s="655">
        <v>69564</v>
      </c>
      <c r="AE727" s="655">
        <v>11848610</v>
      </c>
      <c r="AF727" s="655">
        <v>200529</v>
      </c>
      <c r="AG727" s="655">
        <v>542112</v>
      </c>
      <c r="AH727" s="655">
        <v>0</v>
      </c>
      <c r="AI727" s="655">
        <v>1124750</v>
      </c>
      <c r="AJ727" s="655">
        <v>4658327</v>
      </c>
      <c r="AK727" s="655">
        <v>18374328</v>
      </c>
      <c r="AL727" s="655">
        <v>14331562</v>
      </c>
      <c r="AM727" s="655">
        <v>4042766</v>
      </c>
    </row>
    <row r="728" spans="1:39" x14ac:dyDescent="0.2">
      <c r="A728" s="648">
        <v>2015</v>
      </c>
      <c r="B728" s="648">
        <v>7</v>
      </c>
      <c r="C728" s="657" t="s">
        <v>135</v>
      </c>
      <c r="D728" s="648">
        <v>1116</v>
      </c>
      <c r="E728" s="648" t="s">
        <v>1059</v>
      </c>
      <c r="F728" s="655">
        <v>10212842</v>
      </c>
      <c r="G728" s="655">
        <v>0</v>
      </c>
      <c r="H728" s="655">
        <v>148678</v>
      </c>
      <c r="I728" s="655">
        <v>1402089</v>
      </c>
      <c r="J728" s="655">
        <v>869363</v>
      </c>
      <c r="K728" s="655">
        <v>102955</v>
      </c>
      <c r="L728" s="655">
        <v>101000</v>
      </c>
      <c r="M728" s="655">
        <v>0</v>
      </c>
      <c r="N728" s="655">
        <v>511881</v>
      </c>
      <c r="O728" s="655">
        <v>0</v>
      </c>
      <c r="P728" s="655">
        <v>91997</v>
      </c>
      <c r="Q728" s="655">
        <v>102779</v>
      </c>
      <c r="R728" s="655">
        <v>0</v>
      </c>
      <c r="S728" s="655">
        <v>65341</v>
      </c>
      <c r="T728" s="655">
        <v>7501</v>
      </c>
      <c r="U728" s="655">
        <v>394414</v>
      </c>
      <c r="V728" s="655">
        <v>48203</v>
      </c>
      <c r="W728" s="655">
        <v>75813</v>
      </c>
      <c r="X728" s="655">
        <v>492982</v>
      </c>
      <c r="Y728" s="655">
        <v>0</v>
      </c>
      <c r="Z728" s="655">
        <v>0</v>
      </c>
      <c r="AA728" s="655">
        <v>0</v>
      </c>
      <c r="AB728" s="655">
        <v>0</v>
      </c>
      <c r="AC728" s="655">
        <v>0</v>
      </c>
      <c r="AD728" s="655">
        <v>82982</v>
      </c>
      <c r="AE728" s="655">
        <v>14544856</v>
      </c>
      <c r="AF728" s="655">
        <v>85941</v>
      </c>
      <c r="AG728" s="655">
        <v>536889</v>
      </c>
      <c r="AH728" s="655">
        <v>0</v>
      </c>
      <c r="AI728" s="655">
        <v>1658115</v>
      </c>
      <c r="AJ728" s="655">
        <v>4363740</v>
      </c>
      <c r="AK728" s="655">
        <v>21189541</v>
      </c>
      <c r="AL728" s="655">
        <v>16692225</v>
      </c>
      <c r="AM728" s="655">
        <v>4497316</v>
      </c>
    </row>
    <row r="729" spans="1:39" x14ac:dyDescent="0.2">
      <c r="A729" s="648">
        <v>2015</v>
      </c>
      <c r="B729" s="648">
        <v>12</v>
      </c>
      <c r="C729" s="657" t="s">
        <v>136</v>
      </c>
      <c r="D729" s="648">
        <v>1134</v>
      </c>
      <c r="E729" s="648" t="s">
        <v>1060</v>
      </c>
      <c r="F729" s="655">
        <v>1874049</v>
      </c>
      <c r="G729" s="655">
        <v>14282</v>
      </c>
      <c r="H729" s="655">
        <v>16679</v>
      </c>
      <c r="I729" s="655">
        <v>314746</v>
      </c>
      <c r="J729" s="655">
        <v>181133</v>
      </c>
      <c r="K729" s="655">
        <v>18855</v>
      </c>
      <c r="L729" s="655">
        <v>20669</v>
      </c>
      <c r="M729" s="655">
        <v>0</v>
      </c>
      <c r="N729" s="655">
        <v>98230</v>
      </c>
      <c r="O729" s="655">
        <v>1451</v>
      </c>
      <c r="P729" s="655">
        <v>15554</v>
      </c>
      <c r="Q729" s="655">
        <v>17467</v>
      </c>
      <c r="R729" s="655">
        <v>0</v>
      </c>
      <c r="S729" s="655">
        <v>9862</v>
      </c>
      <c r="T729" s="655">
        <v>1180</v>
      </c>
      <c r="U729" s="655">
        <v>0</v>
      </c>
      <c r="V729" s="655">
        <v>0</v>
      </c>
      <c r="W729" s="655">
        <v>61210</v>
      </c>
      <c r="X729" s="655">
        <v>0</v>
      </c>
      <c r="Y729" s="655">
        <v>0</v>
      </c>
      <c r="Z729" s="655">
        <v>0</v>
      </c>
      <c r="AA729" s="655">
        <v>0</v>
      </c>
      <c r="AB729" s="655">
        <v>0</v>
      </c>
      <c r="AC729" s="655">
        <v>0</v>
      </c>
      <c r="AD729" s="655">
        <v>17747</v>
      </c>
      <c r="AE729" s="655">
        <v>2627620</v>
      </c>
      <c r="AF729" s="655">
        <v>54111</v>
      </c>
      <c r="AG729" s="655">
        <v>160961</v>
      </c>
      <c r="AH729" s="655">
        <v>0</v>
      </c>
      <c r="AI729" s="655">
        <v>508858</v>
      </c>
      <c r="AJ729" s="655">
        <v>452889</v>
      </c>
      <c r="AK729" s="655">
        <v>3804439</v>
      </c>
      <c r="AL729" s="655">
        <v>3572512</v>
      </c>
      <c r="AM729" s="655">
        <v>231927</v>
      </c>
    </row>
    <row r="730" spans="1:39" x14ac:dyDescent="0.2">
      <c r="A730" s="648">
        <v>2015</v>
      </c>
      <c r="B730" s="648">
        <v>12</v>
      </c>
      <c r="C730" s="657" t="s">
        <v>137</v>
      </c>
      <c r="D730" s="648">
        <v>1152</v>
      </c>
      <c r="E730" s="648" t="s">
        <v>1061</v>
      </c>
      <c r="F730" s="655">
        <v>6257217</v>
      </c>
      <c r="G730" s="655">
        <v>0</v>
      </c>
      <c r="H730" s="655">
        <v>74071</v>
      </c>
      <c r="I730" s="655">
        <v>991619</v>
      </c>
      <c r="J730" s="655">
        <v>547655</v>
      </c>
      <c r="K730" s="655">
        <v>61568</v>
      </c>
      <c r="L730" s="655">
        <v>65751</v>
      </c>
      <c r="M730" s="655">
        <v>0</v>
      </c>
      <c r="N730" s="655">
        <v>323594</v>
      </c>
      <c r="O730" s="655">
        <v>0</v>
      </c>
      <c r="P730" s="655">
        <v>51061</v>
      </c>
      <c r="Q730" s="655">
        <v>57340</v>
      </c>
      <c r="R730" s="655">
        <v>0</v>
      </c>
      <c r="S730" s="655">
        <v>32488</v>
      </c>
      <c r="T730" s="655">
        <v>3886</v>
      </c>
      <c r="U730" s="655">
        <v>102327</v>
      </c>
      <c r="V730" s="655">
        <v>0</v>
      </c>
      <c r="W730" s="655">
        <v>40961</v>
      </c>
      <c r="X730" s="655">
        <v>0</v>
      </c>
      <c r="Y730" s="655">
        <v>0</v>
      </c>
      <c r="Z730" s="655">
        <v>0</v>
      </c>
      <c r="AA730" s="655">
        <v>0</v>
      </c>
      <c r="AB730" s="655">
        <v>0</v>
      </c>
      <c r="AC730" s="655">
        <v>0</v>
      </c>
      <c r="AD730" s="655">
        <v>53299</v>
      </c>
      <c r="AE730" s="655">
        <v>8556239</v>
      </c>
      <c r="AF730" s="655">
        <v>130503</v>
      </c>
      <c r="AG730" s="655">
        <v>358063</v>
      </c>
      <c r="AH730" s="655">
        <v>0</v>
      </c>
      <c r="AI730" s="655">
        <v>1101762</v>
      </c>
      <c r="AJ730" s="655">
        <v>2240508</v>
      </c>
      <c r="AK730" s="655">
        <v>12387075</v>
      </c>
      <c r="AL730" s="655">
        <v>10321137</v>
      </c>
      <c r="AM730" s="655">
        <v>2065938</v>
      </c>
    </row>
    <row r="731" spans="1:39" x14ac:dyDescent="0.2">
      <c r="A731" s="648">
        <v>2015</v>
      </c>
      <c r="B731" s="648">
        <v>13</v>
      </c>
      <c r="C731" s="657" t="s">
        <v>138</v>
      </c>
      <c r="D731" s="648">
        <v>1197</v>
      </c>
      <c r="E731" s="648" t="s">
        <v>1067</v>
      </c>
      <c r="F731" s="655">
        <v>5975764</v>
      </c>
      <c r="G731" s="655">
        <v>0</v>
      </c>
      <c r="H731" s="655">
        <v>52329</v>
      </c>
      <c r="I731" s="655">
        <v>591019</v>
      </c>
      <c r="J731" s="655">
        <v>496497</v>
      </c>
      <c r="K731" s="655">
        <v>46278</v>
      </c>
      <c r="L731" s="655">
        <v>54360</v>
      </c>
      <c r="M731" s="655">
        <v>0</v>
      </c>
      <c r="N731" s="655">
        <v>288707</v>
      </c>
      <c r="O731" s="655">
        <v>0</v>
      </c>
      <c r="P731" s="655">
        <v>53028</v>
      </c>
      <c r="Q731" s="655">
        <v>58647</v>
      </c>
      <c r="R731" s="655">
        <v>0</v>
      </c>
      <c r="S731" s="655">
        <v>29646</v>
      </c>
      <c r="T731" s="655">
        <v>3146</v>
      </c>
      <c r="U731" s="655">
        <v>111920</v>
      </c>
      <c r="V731" s="655">
        <v>0</v>
      </c>
      <c r="W731" s="655">
        <v>25885</v>
      </c>
      <c r="X731" s="655">
        <v>23206</v>
      </c>
      <c r="Y731" s="655">
        <v>0</v>
      </c>
      <c r="Z731" s="655">
        <v>0</v>
      </c>
      <c r="AA731" s="655">
        <v>0</v>
      </c>
      <c r="AB731" s="655">
        <v>0</v>
      </c>
      <c r="AC731" s="655">
        <v>-6001</v>
      </c>
      <c r="AD731" s="655">
        <v>50182</v>
      </c>
      <c r="AE731" s="655">
        <v>7754249</v>
      </c>
      <c r="AF731" s="655">
        <v>0</v>
      </c>
      <c r="AG731" s="655">
        <v>262312</v>
      </c>
      <c r="AH731" s="655">
        <v>0</v>
      </c>
      <c r="AI731" s="655">
        <v>2302106</v>
      </c>
      <c r="AJ731" s="655">
        <v>1641634</v>
      </c>
      <c r="AK731" s="655">
        <v>11960301</v>
      </c>
      <c r="AL731" s="655">
        <v>10310220</v>
      </c>
      <c r="AM731" s="655">
        <v>1650081</v>
      </c>
    </row>
    <row r="732" spans="1:39" x14ac:dyDescent="0.2">
      <c r="A732" s="648">
        <v>2015</v>
      </c>
      <c r="B732" s="648">
        <v>5</v>
      </c>
      <c r="C732" s="657" t="s">
        <v>139</v>
      </c>
      <c r="D732" s="648">
        <v>1206</v>
      </c>
      <c r="E732" s="648" t="s">
        <v>1636</v>
      </c>
      <c r="F732" s="655">
        <v>6048305</v>
      </c>
      <c r="G732" s="655">
        <v>0</v>
      </c>
      <c r="H732" s="655">
        <v>751951</v>
      </c>
      <c r="I732" s="655">
        <v>872072</v>
      </c>
      <c r="J732" s="655">
        <v>528020</v>
      </c>
      <c r="K732" s="655">
        <v>59472</v>
      </c>
      <c r="L732" s="655">
        <v>64867</v>
      </c>
      <c r="M732" s="655">
        <v>0</v>
      </c>
      <c r="N732" s="655">
        <v>313347</v>
      </c>
      <c r="O732" s="655">
        <v>0</v>
      </c>
      <c r="P732" s="655">
        <v>49975</v>
      </c>
      <c r="Q732" s="655">
        <v>56141</v>
      </c>
      <c r="R732" s="655">
        <v>956</v>
      </c>
      <c r="S732" s="655">
        <v>33386</v>
      </c>
      <c r="T732" s="655">
        <v>3979</v>
      </c>
      <c r="U732" s="655">
        <v>250140</v>
      </c>
      <c r="V732" s="655">
        <v>25109</v>
      </c>
      <c r="W732" s="655">
        <v>86694</v>
      </c>
      <c r="X732" s="655">
        <v>347851</v>
      </c>
      <c r="Y732" s="655">
        <v>0</v>
      </c>
      <c r="Z732" s="655">
        <v>0</v>
      </c>
      <c r="AA732" s="655">
        <v>0</v>
      </c>
      <c r="AB732" s="655">
        <v>0</v>
      </c>
      <c r="AC732" s="655">
        <v>-6135</v>
      </c>
      <c r="AD732" s="655">
        <v>52020</v>
      </c>
      <c r="AE732" s="655">
        <v>9434110</v>
      </c>
      <c r="AF732" s="655">
        <v>205793</v>
      </c>
      <c r="AG732" s="655">
        <v>503824</v>
      </c>
      <c r="AH732" s="655">
        <v>0</v>
      </c>
      <c r="AI732" s="655">
        <v>1077147</v>
      </c>
      <c r="AJ732" s="655">
        <v>2130060</v>
      </c>
      <c r="AK732" s="655">
        <v>13350934</v>
      </c>
      <c r="AL732" s="655">
        <v>10789977</v>
      </c>
      <c r="AM732" s="655">
        <v>2560957</v>
      </c>
    </row>
    <row r="733" spans="1:39" x14ac:dyDescent="0.2">
      <c r="A733" s="648">
        <v>2015</v>
      </c>
      <c r="B733" s="648">
        <v>13</v>
      </c>
      <c r="C733" s="657" t="s">
        <v>140</v>
      </c>
      <c r="D733" s="648">
        <v>1211</v>
      </c>
      <c r="E733" s="648" t="s">
        <v>1068</v>
      </c>
      <c r="F733" s="655">
        <v>9218605</v>
      </c>
      <c r="G733" s="655">
        <v>0</v>
      </c>
      <c r="H733" s="655">
        <v>298877</v>
      </c>
      <c r="I733" s="655">
        <v>1345454</v>
      </c>
      <c r="J733" s="655">
        <v>794022</v>
      </c>
      <c r="K733" s="655">
        <v>81571</v>
      </c>
      <c r="L733" s="655">
        <v>104553</v>
      </c>
      <c r="M733" s="655">
        <v>0</v>
      </c>
      <c r="N733" s="655">
        <v>464447</v>
      </c>
      <c r="O733" s="655">
        <v>0</v>
      </c>
      <c r="P733" s="655">
        <v>75426</v>
      </c>
      <c r="Q733" s="655">
        <v>83419</v>
      </c>
      <c r="R733" s="655">
        <v>0</v>
      </c>
      <c r="S733" s="655">
        <v>47693</v>
      </c>
      <c r="T733" s="655">
        <v>5061</v>
      </c>
      <c r="U733" s="655">
        <v>0</v>
      </c>
      <c r="V733" s="655">
        <v>0</v>
      </c>
      <c r="W733" s="655">
        <v>150866</v>
      </c>
      <c r="X733" s="655">
        <v>314478</v>
      </c>
      <c r="Y733" s="655">
        <v>0</v>
      </c>
      <c r="Z733" s="655">
        <v>0</v>
      </c>
      <c r="AA733" s="655">
        <v>0</v>
      </c>
      <c r="AB733" s="655">
        <v>0</v>
      </c>
      <c r="AC733" s="655">
        <v>-6121</v>
      </c>
      <c r="AD733" s="655">
        <v>66523</v>
      </c>
      <c r="AE733" s="655">
        <v>12911828</v>
      </c>
      <c r="AF733" s="655">
        <v>197346</v>
      </c>
      <c r="AG733" s="655">
        <v>587686</v>
      </c>
      <c r="AH733" s="655">
        <v>0</v>
      </c>
      <c r="AI733" s="655">
        <v>1144353</v>
      </c>
      <c r="AJ733" s="655">
        <v>3188066</v>
      </c>
      <c r="AK733" s="655">
        <v>18029279</v>
      </c>
      <c r="AL733" s="655">
        <v>13959784</v>
      </c>
      <c r="AM733" s="655">
        <v>4069495</v>
      </c>
    </row>
    <row r="734" spans="1:39" x14ac:dyDescent="0.2">
      <c r="A734" s="648">
        <v>2015</v>
      </c>
      <c r="B734" s="648">
        <v>7</v>
      </c>
      <c r="C734" s="657" t="s">
        <v>141</v>
      </c>
      <c r="D734" s="648">
        <v>1215</v>
      </c>
      <c r="E734" s="648" t="s">
        <v>1069</v>
      </c>
      <c r="F734" s="655">
        <v>2169533</v>
      </c>
      <c r="G734" s="655">
        <v>0</v>
      </c>
      <c r="H734" s="655">
        <v>21931</v>
      </c>
      <c r="I734" s="655">
        <v>296146</v>
      </c>
      <c r="J734" s="655">
        <v>217280</v>
      </c>
      <c r="K734" s="655">
        <v>23174</v>
      </c>
      <c r="L734" s="655">
        <v>23733</v>
      </c>
      <c r="M734" s="655">
        <v>0</v>
      </c>
      <c r="N734" s="655">
        <v>109689</v>
      </c>
      <c r="O734" s="655">
        <v>8105</v>
      </c>
      <c r="P734" s="655">
        <v>18598</v>
      </c>
      <c r="Q734" s="655">
        <v>20778</v>
      </c>
      <c r="R734" s="655">
        <v>0</v>
      </c>
      <c r="S734" s="655">
        <v>14002</v>
      </c>
      <c r="T734" s="655">
        <v>1607</v>
      </c>
      <c r="U734" s="655">
        <v>79731</v>
      </c>
      <c r="V734" s="655">
        <v>0</v>
      </c>
      <c r="W734" s="655">
        <v>49507</v>
      </c>
      <c r="X734" s="655">
        <v>41386</v>
      </c>
      <c r="Y734" s="655">
        <v>0</v>
      </c>
      <c r="Z734" s="655">
        <v>0</v>
      </c>
      <c r="AA734" s="655">
        <v>0</v>
      </c>
      <c r="AB734" s="655">
        <v>0</v>
      </c>
      <c r="AC734" s="655">
        <v>0</v>
      </c>
      <c r="AD734" s="655">
        <v>18545</v>
      </c>
      <c r="AE734" s="655">
        <v>3076655</v>
      </c>
      <c r="AF734" s="655">
        <v>35013</v>
      </c>
      <c r="AG734" s="655">
        <v>154536</v>
      </c>
      <c r="AH734" s="655">
        <v>0</v>
      </c>
      <c r="AI734" s="655">
        <v>344587</v>
      </c>
      <c r="AJ734" s="655">
        <v>744157</v>
      </c>
      <c r="AK734" s="655">
        <v>4354948</v>
      </c>
      <c r="AL734" s="655">
        <v>3857871</v>
      </c>
      <c r="AM734" s="655">
        <v>497077</v>
      </c>
    </row>
    <row r="735" spans="1:39" x14ac:dyDescent="0.2">
      <c r="A735" s="648">
        <v>2015</v>
      </c>
      <c r="B735" s="648">
        <v>5</v>
      </c>
      <c r="C735" s="657" t="s">
        <v>142</v>
      </c>
      <c r="D735" s="648">
        <v>1218</v>
      </c>
      <c r="E735" s="648" t="s">
        <v>1070</v>
      </c>
      <c r="F735" s="655">
        <v>2409274</v>
      </c>
      <c r="G735" s="655">
        <v>0</v>
      </c>
      <c r="H735" s="655">
        <v>36009</v>
      </c>
      <c r="I735" s="655">
        <v>240278</v>
      </c>
      <c r="J735" s="655">
        <v>224674</v>
      </c>
      <c r="K735" s="655">
        <v>24664</v>
      </c>
      <c r="L735" s="655">
        <v>22279</v>
      </c>
      <c r="M735" s="655">
        <v>0</v>
      </c>
      <c r="N735" s="655">
        <v>118251</v>
      </c>
      <c r="O735" s="655">
        <v>6782</v>
      </c>
      <c r="P735" s="655">
        <v>19717</v>
      </c>
      <c r="Q735" s="655">
        <v>22150</v>
      </c>
      <c r="R735" s="655">
        <v>362</v>
      </c>
      <c r="S735" s="655">
        <v>12599</v>
      </c>
      <c r="T735" s="655">
        <v>1501</v>
      </c>
      <c r="U735" s="655">
        <v>63994</v>
      </c>
      <c r="V735" s="655">
        <v>0</v>
      </c>
      <c r="W735" s="655">
        <v>119656</v>
      </c>
      <c r="X735" s="655">
        <v>91012</v>
      </c>
      <c r="Y735" s="655">
        <v>0</v>
      </c>
      <c r="Z735" s="655">
        <v>0</v>
      </c>
      <c r="AA735" s="655">
        <v>0</v>
      </c>
      <c r="AB735" s="655">
        <v>0</v>
      </c>
      <c r="AC735" s="655">
        <v>0</v>
      </c>
      <c r="AD735" s="655">
        <v>23296</v>
      </c>
      <c r="AE735" s="655">
        <v>3389906</v>
      </c>
      <c r="AF735" s="655">
        <v>47745</v>
      </c>
      <c r="AG735" s="655">
        <v>210233</v>
      </c>
      <c r="AH735" s="655">
        <v>0</v>
      </c>
      <c r="AI735" s="655">
        <v>341740</v>
      </c>
      <c r="AJ735" s="655">
        <v>819722</v>
      </c>
      <c r="AK735" s="655">
        <v>4809346</v>
      </c>
      <c r="AL735" s="655">
        <v>4144800</v>
      </c>
      <c r="AM735" s="655">
        <v>664546</v>
      </c>
    </row>
    <row r="736" spans="1:39" x14ac:dyDescent="0.2">
      <c r="A736" s="648">
        <v>2015</v>
      </c>
      <c r="B736" s="648">
        <v>10</v>
      </c>
      <c r="C736" s="657" t="s">
        <v>143</v>
      </c>
      <c r="D736" s="648">
        <v>1221</v>
      </c>
      <c r="E736" s="648" t="s">
        <v>2006</v>
      </c>
      <c r="F736" s="655">
        <v>11508235</v>
      </c>
      <c r="G736" s="655">
        <v>0</v>
      </c>
      <c r="H736" s="655">
        <v>146286</v>
      </c>
      <c r="I736" s="655">
        <v>1504406</v>
      </c>
      <c r="J736" s="655">
        <v>990657</v>
      </c>
      <c r="K736" s="655">
        <v>107443</v>
      </c>
      <c r="L736" s="655">
        <v>96082</v>
      </c>
      <c r="M736" s="655">
        <v>0</v>
      </c>
      <c r="N736" s="655">
        <v>566930</v>
      </c>
      <c r="O736" s="655">
        <v>0</v>
      </c>
      <c r="P736" s="655">
        <v>95306</v>
      </c>
      <c r="Q736" s="655">
        <v>104694</v>
      </c>
      <c r="R736" s="655">
        <v>0</v>
      </c>
      <c r="S736" s="655">
        <v>52786</v>
      </c>
      <c r="T736" s="655">
        <v>6138</v>
      </c>
      <c r="U736" s="655">
        <v>0</v>
      </c>
      <c r="V736" s="655">
        <v>0</v>
      </c>
      <c r="W736" s="655">
        <v>274518</v>
      </c>
      <c r="X736" s="655">
        <v>754602</v>
      </c>
      <c r="Y736" s="655">
        <v>0</v>
      </c>
      <c r="Z736" s="655">
        <v>0</v>
      </c>
      <c r="AA736" s="655">
        <v>0</v>
      </c>
      <c r="AB736" s="655">
        <v>0</v>
      </c>
      <c r="AC736" s="655">
        <v>0</v>
      </c>
      <c r="AD736" s="655">
        <v>54531</v>
      </c>
      <c r="AE736" s="655">
        <v>16153552</v>
      </c>
      <c r="AF736" s="655">
        <v>175065</v>
      </c>
      <c r="AG736" s="655">
        <v>889702</v>
      </c>
      <c r="AH736" s="655">
        <v>0</v>
      </c>
      <c r="AI736" s="655">
        <v>3827719</v>
      </c>
      <c r="AJ736" s="655">
        <v>7467329</v>
      </c>
      <c r="AK736" s="655">
        <v>28513367</v>
      </c>
      <c r="AL736" s="655">
        <v>21515362</v>
      </c>
      <c r="AM736" s="655">
        <v>6998005</v>
      </c>
    </row>
    <row r="737" spans="1:39" x14ac:dyDescent="0.2">
      <c r="A737" s="648">
        <v>2015</v>
      </c>
      <c r="B737" s="648">
        <v>7</v>
      </c>
      <c r="C737" s="657" t="s">
        <v>144</v>
      </c>
      <c r="D737" s="648">
        <v>1233</v>
      </c>
      <c r="E737" s="648" t="s">
        <v>1071</v>
      </c>
      <c r="F737" s="655">
        <v>7872832</v>
      </c>
      <c r="G737" s="655">
        <v>0</v>
      </c>
      <c r="H737" s="655">
        <v>149187</v>
      </c>
      <c r="I737" s="655">
        <v>998252</v>
      </c>
      <c r="J737" s="655">
        <v>652050</v>
      </c>
      <c r="K737" s="655">
        <v>71481</v>
      </c>
      <c r="L737" s="655">
        <v>74388</v>
      </c>
      <c r="M737" s="655">
        <v>0</v>
      </c>
      <c r="N737" s="655">
        <v>394642</v>
      </c>
      <c r="O737" s="655">
        <v>7338</v>
      </c>
      <c r="P737" s="655">
        <v>66483</v>
      </c>
      <c r="Q737" s="655">
        <v>74275</v>
      </c>
      <c r="R737" s="655">
        <v>0</v>
      </c>
      <c r="S737" s="655">
        <v>50541</v>
      </c>
      <c r="T737" s="655">
        <v>5797</v>
      </c>
      <c r="U737" s="655">
        <v>214474</v>
      </c>
      <c r="V737" s="655">
        <v>0</v>
      </c>
      <c r="W737" s="655">
        <v>104057</v>
      </c>
      <c r="X737" s="655">
        <v>87044</v>
      </c>
      <c r="Y737" s="655">
        <v>0</v>
      </c>
      <c r="Z737" s="655">
        <v>0</v>
      </c>
      <c r="AA737" s="655">
        <v>0</v>
      </c>
      <c r="AB737" s="655">
        <v>0</v>
      </c>
      <c r="AC737" s="655">
        <v>0</v>
      </c>
      <c r="AD737" s="655">
        <v>69828</v>
      </c>
      <c r="AE737" s="655">
        <v>10753013</v>
      </c>
      <c r="AF737" s="655">
        <v>210078</v>
      </c>
      <c r="AG737" s="655">
        <v>664388</v>
      </c>
      <c r="AH737" s="655">
        <v>0</v>
      </c>
      <c r="AI737" s="655">
        <v>1736287</v>
      </c>
      <c r="AJ737" s="655">
        <v>2688697</v>
      </c>
      <c r="AK737" s="655">
        <v>16052463</v>
      </c>
      <c r="AL737" s="655">
        <v>13804837</v>
      </c>
      <c r="AM737" s="655">
        <v>2247626</v>
      </c>
    </row>
    <row r="738" spans="1:39" x14ac:dyDescent="0.2">
      <c r="A738" s="648">
        <v>2015</v>
      </c>
      <c r="B738" s="648">
        <v>9</v>
      </c>
      <c r="C738" s="657" t="s">
        <v>145</v>
      </c>
      <c r="D738" s="648">
        <v>1278</v>
      </c>
      <c r="E738" s="648" t="s">
        <v>1072</v>
      </c>
      <c r="F738" s="655">
        <v>24747114</v>
      </c>
      <c r="G738" s="655">
        <v>0</v>
      </c>
      <c r="H738" s="655">
        <v>337226</v>
      </c>
      <c r="I738" s="655">
        <v>4676592</v>
      </c>
      <c r="J738" s="655">
        <v>2122686</v>
      </c>
      <c r="K738" s="655">
        <v>244847</v>
      </c>
      <c r="L738" s="655">
        <v>286375</v>
      </c>
      <c r="M738" s="655">
        <v>0</v>
      </c>
      <c r="N738" s="655">
        <v>1288733</v>
      </c>
      <c r="O738" s="655">
        <v>43856</v>
      </c>
      <c r="P738" s="655">
        <v>208534</v>
      </c>
      <c r="Q738" s="655">
        <v>227459</v>
      </c>
      <c r="R738" s="655">
        <v>0</v>
      </c>
      <c r="S738" s="655">
        <v>115731</v>
      </c>
      <c r="T738" s="655">
        <v>13583</v>
      </c>
      <c r="U738" s="655">
        <v>928041</v>
      </c>
      <c r="V738" s="655">
        <v>118759</v>
      </c>
      <c r="W738" s="655">
        <v>510678</v>
      </c>
      <c r="X738" s="655">
        <v>1301712</v>
      </c>
      <c r="Y738" s="655">
        <v>0</v>
      </c>
      <c r="Z738" s="655">
        <v>0</v>
      </c>
      <c r="AA738" s="655">
        <v>0</v>
      </c>
      <c r="AB738" s="655">
        <v>0</v>
      </c>
      <c r="AC738" s="655">
        <v>0</v>
      </c>
      <c r="AD738" s="655">
        <v>219420</v>
      </c>
      <c r="AE738" s="655">
        <v>36952506</v>
      </c>
      <c r="AF738" s="655">
        <v>779835</v>
      </c>
      <c r="AG738" s="655">
        <v>1658551</v>
      </c>
      <c r="AH738" s="655">
        <v>0</v>
      </c>
      <c r="AI738" s="655">
        <v>3676931</v>
      </c>
      <c r="AJ738" s="655">
        <v>3157962</v>
      </c>
      <c r="AK738" s="655">
        <v>46225785</v>
      </c>
      <c r="AL738" s="655">
        <v>43200884</v>
      </c>
      <c r="AM738" s="655">
        <v>3024901</v>
      </c>
    </row>
    <row r="739" spans="1:39" x14ac:dyDescent="0.2">
      <c r="A739" s="648">
        <v>2015</v>
      </c>
      <c r="B739" s="648">
        <v>11</v>
      </c>
      <c r="C739" s="657" t="s">
        <v>146</v>
      </c>
      <c r="D739" s="648">
        <v>1332</v>
      </c>
      <c r="E739" s="648" t="s">
        <v>1073</v>
      </c>
      <c r="F739" s="655">
        <v>4727392</v>
      </c>
      <c r="G739" s="655">
        <v>0</v>
      </c>
      <c r="H739" s="655">
        <v>35497</v>
      </c>
      <c r="I739" s="655">
        <v>408825</v>
      </c>
      <c r="J739" s="655">
        <v>407101</v>
      </c>
      <c r="K739" s="655">
        <v>39499</v>
      </c>
      <c r="L739" s="655">
        <v>46576</v>
      </c>
      <c r="M739" s="655">
        <v>0</v>
      </c>
      <c r="N739" s="655">
        <v>219310</v>
      </c>
      <c r="O739" s="655">
        <v>15578</v>
      </c>
      <c r="P739" s="655">
        <v>38762</v>
      </c>
      <c r="Q739" s="655">
        <v>42544</v>
      </c>
      <c r="R739" s="655">
        <v>0</v>
      </c>
      <c r="S739" s="655">
        <v>17911</v>
      </c>
      <c r="T739" s="655">
        <v>2283</v>
      </c>
      <c r="U739" s="655">
        <v>172072</v>
      </c>
      <c r="V739" s="655">
        <v>0</v>
      </c>
      <c r="W739" s="655">
        <v>99454</v>
      </c>
      <c r="X739" s="655">
        <v>282512</v>
      </c>
      <c r="Y739" s="655">
        <v>0</v>
      </c>
      <c r="Z739" s="655">
        <v>0</v>
      </c>
      <c r="AA739" s="655">
        <v>0</v>
      </c>
      <c r="AB739" s="655">
        <v>0</v>
      </c>
      <c r="AC739" s="655">
        <v>0</v>
      </c>
      <c r="AD739" s="655">
        <v>41179</v>
      </c>
      <c r="AE739" s="655">
        <v>6514137</v>
      </c>
      <c r="AF739" s="655">
        <v>133686</v>
      </c>
      <c r="AG739" s="655">
        <v>312859</v>
      </c>
      <c r="AH739" s="655">
        <v>0</v>
      </c>
      <c r="AI739" s="655">
        <v>504190</v>
      </c>
      <c r="AJ739" s="655">
        <v>1288405</v>
      </c>
      <c r="AK739" s="655">
        <v>8753277</v>
      </c>
      <c r="AL739" s="655">
        <v>8030480</v>
      </c>
      <c r="AM739" s="655">
        <v>722797</v>
      </c>
    </row>
    <row r="740" spans="1:39" x14ac:dyDescent="0.2">
      <c r="A740" s="648">
        <v>2015</v>
      </c>
      <c r="B740" s="648">
        <v>10</v>
      </c>
      <c r="C740" s="657" t="s">
        <v>147</v>
      </c>
      <c r="D740" s="648">
        <v>1337</v>
      </c>
      <c r="E740" s="648" t="s">
        <v>1074</v>
      </c>
      <c r="F740" s="655">
        <v>29826620</v>
      </c>
      <c r="G740" s="655">
        <v>0</v>
      </c>
      <c r="H740" s="655">
        <v>365096</v>
      </c>
      <c r="I740" s="655">
        <v>2995330</v>
      </c>
      <c r="J740" s="655">
        <v>2434950</v>
      </c>
      <c r="K740" s="655">
        <v>302389</v>
      </c>
      <c r="L740" s="655">
        <v>315696</v>
      </c>
      <c r="M740" s="655">
        <v>0</v>
      </c>
      <c r="N740" s="655">
        <v>1438061</v>
      </c>
      <c r="O740" s="655">
        <v>0</v>
      </c>
      <c r="P740" s="655">
        <v>250869</v>
      </c>
      <c r="Q740" s="655">
        <v>275581</v>
      </c>
      <c r="R740" s="655">
        <v>0</v>
      </c>
      <c r="S740" s="655">
        <v>133897</v>
      </c>
      <c r="T740" s="655">
        <v>15571</v>
      </c>
      <c r="U740" s="655">
        <v>1282092</v>
      </c>
      <c r="V740" s="655">
        <v>2215547</v>
      </c>
      <c r="W740" s="655">
        <v>765321</v>
      </c>
      <c r="X740" s="655">
        <v>1805733</v>
      </c>
      <c r="Y740" s="655">
        <v>0</v>
      </c>
      <c r="Z740" s="655">
        <v>0</v>
      </c>
      <c r="AA740" s="655">
        <v>0</v>
      </c>
      <c r="AB740" s="655">
        <v>0</v>
      </c>
      <c r="AC740" s="655">
        <v>0</v>
      </c>
      <c r="AD740" s="655">
        <v>142066</v>
      </c>
      <c r="AE740" s="655">
        <v>44280687</v>
      </c>
      <c r="AF740" s="655">
        <v>833946</v>
      </c>
      <c r="AG740" s="655">
        <v>2357496</v>
      </c>
      <c r="AH740" s="655">
        <v>0</v>
      </c>
      <c r="AI740" s="655">
        <v>7726210</v>
      </c>
      <c r="AJ740" s="655">
        <v>7543529</v>
      </c>
      <c r="AK740" s="655">
        <v>62741868</v>
      </c>
      <c r="AL740" s="655">
        <v>55185923</v>
      </c>
      <c r="AM740" s="655">
        <v>7555945</v>
      </c>
    </row>
    <row r="741" spans="1:39" x14ac:dyDescent="0.2">
      <c r="A741" s="648">
        <v>2015</v>
      </c>
      <c r="B741" s="648">
        <v>11</v>
      </c>
      <c r="C741" s="657" t="s">
        <v>148</v>
      </c>
      <c r="D741" s="648">
        <v>1350</v>
      </c>
      <c r="E741" s="648" t="s">
        <v>1075</v>
      </c>
      <c r="F741" s="655">
        <v>3105335</v>
      </c>
      <c r="G741" s="655">
        <v>0</v>
      </c>
      <c r="H741" s="655">
        <v>20855</v>
      </c>
      <c r="I741" s="655">
        <v>354141</v>
      </c>
      <c r="J741" s="655">
        <v>276734</v>
      </c>
      <c r="K741" s="655">
        <v>28092</v>
      </c>
      <c r="L741" s="655">
        <v>30697</v>
      </c>
      <c r="M741" s="655">
        <v>0</v>
      </c>
      <c r="N741" s="655">
        <v>147715</v>
      </c>
      <c r="O741" s="655">
        <v>0</v>
      </c>
      <c r="P741" s="655">
        <v>25616</v>
      </c>
      <c r="Q741" s="655">
        <v>28116</v>
      </c>
      <c r="R741" s="655">
        <v>0</v>
      </c>
      <c r="S741" s="655">
        <v>12064</v>
      </c>
      <c r="T741" s="655">
        <v>1538</v>
      </c>
      <c r="U741" s="655">
        <v>48064</v>
      </c>
      <c r="V741" s="655">
        <v>0</v>
      </c>
      <c r="W741" s="655">
        <v>79573</v>
      </c>
      <c r="X741" s="655">
        <v>150898</v>
      </c>
      <c r="Y741" s="655">
        <v>0</v>
      </c>
      <c r="Z741" s="655">
        <v>0</v>
      </c>
      <c r="AA741" s="655">
        <v>0</v>
      </c>
      <c r="AB741" s="655">
        <v>0</v>
      </c>
      <c r="AC741" s="655">
        <v>0</v>
      </c>
      <c r="AD741" s="655">
        <v>23962</v>
      </c>
      <c r="AE741" s="655">
        <v>4285476</v>
      </c>
      <c r="AF741" s="655">
        <v>76392</v>
      </c>
      <c r="AG741" s="655">
        <v>227963</v>
      </c>
      <c r="AH741" s="655">
        <v>0</v>
      </c>
      <c r="AI741" s="655">
        <v>401425</v>
      </c>
      <c r="AJ741" s="655">
        <v>3572925</v>
      </c>
      <c r="AK741" s="655">
        <v>8564181</v>
      </c>
      <c r="AL741" s="655">
        <v>5117665</v>
      </c>
      <c r="AM741" s="655">
        <v>3446516</v>
      </c>
    </row>
    <row r="742" spans="1:39" x14ac:dyDescent="0.2">
      <c r="A742" s="648">
        <v>2015</v>
      </c>
      <c r="B742" s="648">
        <v>11</v>
      </c>
      <c r="C742" s="657" t="s">
        <v>149</v>
      </c>
      <c r="D742" s="648">
        <v>1359</v>
      </c>
      <c r="E742" s="648" t="s">
        <v>1076</v>
      </c>
      <c r="F742" s="655">
        <v>3373392</v>
      </c>
      <c r="G742" s="655">
        <v>0</v>
      </c>
      <c r="H742" s="655">
        <v>24233</v>
      </c>
      <c r="I742" s="655">
        <v>248277</v>
      </c>
      <c r="J742" s="655">
        <v>315586</v>
      </c>
      <c r="K742" s="655">
        <v>31337</v>
      </c>
      <c r="L742" s="655">
        <v>33206</v>
      </c>
      <c r="M742" s="655">
        <v>0</v>
      </c>
      <c r="N742" s="655">
        <v>154084</v>
      </c>
      <c r="O742" s="655">
        <v>0</v>
      </c>
      <c r="P742" s="655">
        <v>27799</v>
      </c>
      <c r="Q742" s="655">
        <v>30511</v>
      </c>
      <c r="R742" s="655">
        <v>0</v>
      </c>
      <c r="S742" s="655">
        <v>12584</v>
      </c>
      <c r="T742" s="655">
        <v>1604</v>
      </c>
      <c r="U742" s="655">
        <v>84334</v>
      </c>
      <c r="V742" s="655">
        <v>0</v>
      </c>
      <c r="W742" s="655">
        <v>153025</v>
      </c>
      <c r="X742" s="655">
        <v>236496</v>
      </c>
      <c r="Y742" s="655">
        <v>0</v>
      </c>
      <c r="Z742" s="655">
        <v>0</v>
      </c>
      <c r="AA742" s="655">
        <v>0</v>
      </c>
      <c r="AB742" s="655">
        <v>0</v>
      </c>
      <c r="AC742" s="655">
        <v>-369</v>
      </c>
      <c r="AD742" s="655">
        <v>26655</v>
      </c>
      <c r="AE742" s="655">
        <v>4699444</v>
      </c>
      <c r="AF742" s="655">
        <v>76392</v>
      </c>
      <c r="AG742" s="655">
        <v>277191</v>
      </c>
      <c r="AH742" s="655">
        <v>0</v>
      </c>
      <c r="AI742" s="655">
        <v>656273</v>
      </c>
      <c r="AJ742" s="655">
        <v>31997</v>
      </c>
      <c r="AK742" s="655">
        <v>5741297</v>
      </c>
      <c r="AL742" s="655">
        <v>5479348</v>
      </c>
      <c r="AM742" s="655">
        <v>261949</v>
      </c>
    </row>
    <row r="743" spans="1:39" x14ac:dyDescent="0.2">
      <c r="A743" s="648">
        <v>2015</v>
      </c>
      <c r="B743" s="648">
        <v>9</v>
      </c>
      <c r="C743" s="657" t="s">
        <v>150</v>
      </c>
      <c r="D743" s="648">
        <v>1368</v>
      </c>
      <c r="E743" s="648" t="s">
        <v>1077</v>
      </c>
      <c r="F743" s="655">
        <v>5192110</v>
      </c>
      <c r="G743" s="655">
        <v>0</v>
      </c>
      <c r="H743" s="655">
        <v>282924</v>
      </c>
      <c r="I743" s="655">
        <v>811856</v>
      </c>
      <c r="J743" s="655">
        <v>476123</v>
      </c>
      <c r="K743" s="655">
        <v>56839</v>
      </c>
      <c r="L743" s="655">
        <v>58788</v>
      </c>
      <c r="M743" s="655">
        <v>0</v>
      </c>
      <c r="N743" s="655">
        <v>264869</v>
      </c>
      <c r="O743" s="655">
        <v>34204</v>
      </c>
      <c r="P743" s="655">
        <v>42350</v>
      </c>
      <c r="Q743" s="655">
        <v>46194</v>
      </c>
      <c r="R743" s="655">
        <v>0</v>
      </c>
      <c r="S743" s="655">
        <v>23786</v>
      </c>
      <c r="T743" s="655">
        <v>2792</v>
      </c>
      <c r="U743" s="655">
        <v>48240</v>
      </c>
      <c r="V743" s="655">
        <v>183017</v>
      </c>
      <c r="W743" s="655">
        <v>122240</v>
      </c>
      <c r="X743" s="655">
        <v>153689</v>
      </c>
      <c r="Y743" s="655">
        <v>0</v>
      </c>
      <c r="Z743" s="655">
        <v>0</v>
      </c>
      <c r="AA743" s="655">
        <v>0</v>
      </c>
      <c r="AB743" s="655">
        <v>0</v>
      </c>
      <c r="AC743" s="655">
        <v>0</v>
      </c>
      <c r="AD743" s="655">
        <v>48308</v>
      </c>
      <c r="AE743" s="655">
        <v>7751713</v>
      </c>
      <c r="AF743" s="655">
        <v>133686</v>
      </c>
      <c r="AG743" s="655">
        <v>373001</v>
      </c>
      <c r="AH743" s="655">
        <v>0</v>
      </c>
      <c r="AI743" s="655">
        <v>822935</v>
      </c>
      <c r="AJ743" s="655">
        <v>-183017</v>
      </c>
      <c r="AK743" s="655">
        <v>8898318</v>
      </c>
      <c r="AL743" s="655">
        <v>9264972</v>
      </c>
      <c r="AM743" s="655">
        <v>-366654</v>
      </c>
    </row>
    <row r="744" spans="1:39" x14ac:dyDescent="0.2">
      <c r="A744" s="648">
        <v>2015</v>
      </c>
      <c r="B744" s="648">
        <v>11</v>
      </c>
      <c r="C744" s="657" t="s">
        <v>151</v>
      </c>
      <c r="D744" s="648">
        <v>1413</v>
      </c>
      <c r="E744" s="648" t="s">
        <v>638</v>
      </c>
      <c r="F744" s="655">
        <v>2612364</v>
      </c>
      <c r="G744" s="655">
        <v>0</v>
      </c>
      <c r="H744" s="655">
        <v>50599</v>
      </c>
      <c r="I744" s="655">
        <v>306827</v>
      </c>
      <c r="J744" s="655">
        <v>250780</v>
      </c>
      <c r="K744" s="655">
        <v>26733</v>
      </c>
      <c r="L744" s="655">
        <v>28683</v>
      </c>
      <c r="M744" s="655">
        <v>0</v>
      </c>
      <c r="N744" s="655">
        <v>121832</v>
      </c>
      <c r="O744" s="655">
        <v>14258</v>
      </c>
      <c r="P744" s="655">
        <v>20888</v>
      </c>
      <c r="Q744" s="655">
        <v>22926</v>
      </c>
      <c r="R744" s="655">
        <v>0</v>
      </c>
      <c r="S744" s="655">
        <v>9950</v>
      </c>
      <c r="T744" s="655">
        <v>1268</v>
      </c>
      <c r="U744" s="655">
        <v>72511</v>
      </c>
      <c r="V744" s="655">
        <v>0</v>
      </c>
      <c r="W744" s="655">
        <v>23872</v>
      </c>
      <c r="X744" s="655">
        <v>8277</v>
      </c>
      <c r="Y744" s="655">
        <v>0</v>
      </c>
      <c r="Z744" s="655">
        <v>0</v>
      </c>
      <c r="AA744" s="655">
        <v>0</v>
      </c>
      <c r="AB744" s="655">
        <v>0</v>
      </c>
      <c r="AC744" s="655">
        <v>0</v>
      </c>
      <c r="AD744" s="655">
        <v>24283</v>
      </c>
      <c r="AE744" s="655">
        <v>3547485</v>
      </c>
      <c r="AF744" s="655">
        <v>105039</v>
      </c>
      <c r="AG744" s="655">
        <v>219386</v>
      </c>
      <c r="AH744" s="655">
        <v>0</v>
      </c>
      <c r="AI744" s="655">
        <v>414277</v>
      </c>
      <c r="AJ744" s="655">
        <v>426787</v>
      </c>
      <c r="AK744" s="655">
        <v>4712974</v>
      </c>
      <c r="AL744" s="655">
        <v>4004394</v>
      </c>
      <c r="AM744" s="655">
        <v>708580</v>
      </c>
    </row>
    <row r="745" spans="1:39" x14ac:dyDescent="0.2">
      <c r="A745" s="648">
        <v>2015</v>
      </c>
      <c r="B745" s="648">
        <v>13</v>
      </c>
      <c r="C745" s="657" t="s">
        <v>152</v>
      </c>
      <c r="D745" s="648">
        <v>1431</v>
      </c>
      <c r="E745" s="648" t="s">
        <v>1078</v>
      </c>
      <c r="F745" s="655">
        <v>2679993</v>
      </c>
      <c r="G745" s="655">
        <v>0</v>
      </c>
      <c r="H745" s="655">
        <v>85306</v>
      </c>
      <c r="I745" s="655">
        <v>318854</v>
      </c>
      <c r="J745" s="655">
        <v>263954</v>
      </c>
      <c r="K745" s="655">
        <v>26474</v>
      </c>
      <c r="L745" s="655">
        <v>31468</v>
      </c>
      <c r="M745" s="655">
        <v>0</v>
      </c>
      <c r="N745" s="655">
        <v>130877</v>
      </c>
      <c r="O745" s="655">
        <v>20673</v>
      </c>
      <c r="P745" s="655">
        <v>21774</v>
      </c>
      <c r="Q745" s="655">
        <v>24081</v>
      </c>
      <c r="R745" s="655">
        <v>0</v>
      </c>
      <c r="S745" s="655">
        <v>13439</v>
      </c>
      <c r="T745" s="655">
        <v>1426</v>
      </c>
      <c r="U745" s="655">
        <v>120600</v>
      </c>
      <c r="V745" s="655">
        <v>0</v>
      </c>
      <c r="W745" s="655">
        <v>13653</v>
      </c>
      <c r="X745" s="655">
        <v>236702</v>
      </c>
      <c r="Y745" s="655">
        <v>0</v>
      </c>
      <c r="Z745" s="655">
        <v>0</v>
      </c>
      <c r="AA745" s="655">
        <v>0</v>
      </c>
      <c r="AB745" s="655">
        <v>0</v>
      </c>
      <c r="AC745" s="655">
        <v>-2837</v>
      </c>
      <c r="AD745" s="655">
        <v>28933</v>
      </c>
      <c r="AE745" s="655">
        <v>3957504</v>
      </c>
      <c r="AF745" s="655">
        <v>76392</v>
      </c>
      <c r="AG745" s="655">
        <v>221153</v>
      </c>
      <c r="AH745" s="655">
        <v>0</v>
      </c>
      <c r="AI745" s="655">
        <v>1374500</v>
      </c>
      <c r="AJ745" s="655">
        <v>2756699</v>
      </c>
      <c r="AK745" s="655">
        <v>8386248</v>
      </c>
      <c r="AL745" s="655">
        <v>5859843</v>
      </c>
      <c r="AM745" s="655">
        <v>2526405</v>
      </c>
    </row>
    <row r="746" spans="1:39" x14ac:dyDescent="0.2">
      <c r="A746" s="648">
        <v>2015</v>
      </c>
      <c r="B746" s="648">
        <v>13</v>
      </c>
      <c r="C746" s="657" t="s">
        <v>153</v>
      </c>
      <c r="D746" s="648">
        <v>1476</v>
      </c>
      <c r="E746" s="648" t="s">
        <v>1079</v>
      </c>
      <c r="F746" s="655">
        <v>57888617</v>
      </c>
      <c r="G746" s="655">
        <v>0</v>
      </c>
      <c r="H746" s="655">
        <v>1356408</v>
      </c>
      <c r="I746" s="655">
        <v>10608548</v>
      </c>
      <c r="J746" s="655">
        <v>4729954</v>
      </c>
      <c r="K746" s="655">
        <v>549829</v>
      </c>
      <c r="L746" s="655">
        <v>709777</v>
      </c>
      <c r="M746" s="655">
        <v>0</v>
      </c>
      <c r="N746" s="655">
        <v>2979174</v>
      </c>
      <c r="O746" s="655">
        <v>0</v>
      </c>
      <c r="P746" s="655">
        <v>487875</v>
      </c>
      <c r="Q746" s="655">
        <v>539575</v>
      </c>
      <c r="R746" s="655">
        <v>0</v>
      </c>
      <c r="S746" s="655">
        <v>305922</v>
      </c>
      <c r="T746" s="655">
        <v>32466</v>
      </c>
      <c r="U746" s="655">
        <v>1782552</v>
      </c>
      <c r="V746" s="655">
        <v>1451623</v>
      </c>
      <c r="W746" s="655">
        <v>1216420</v>
      </c>
      <c r="X746" s="655">
        <v>2889942</v>
      </c>
      <c r="Y746" s="655">
        <v>0</v>
      </c>
      <c r="Z746" s="655">
        <v>0</v>
      </c>
      <c r="AA746" s="655">
        <v>0</v>
      </c>
      <c r="AB746" s="655">
        <v>0</v>
      </c>
      <c r="AC746" s="655">
        <v>0</v>
      </c>
      <c r="AD746" s="655">
        <v>450650</v>
      </c>
      <c r="AE746" s="655">
        <v>87078032</v>
      </c>
      <c r="AF746" s="655">
        <v>1301725</v>
      </c>
      <c r="AG746" s="655">
        <v>3865223</v>
      </c>
      <c r="AH746" s="655">
        <v>0</v>
      </c>
      <c r="AI746" s="655">
        <v>15705608</v>
      </c>
      <c r="AJ746" s="655">
        <v>14861376</v>
      </c>
      <c r="AK746" s="655">
        <v>122811964</v>
      </c>
      <c r="AL746" s="655">
        <v>108391539</v>
      </c>
      <c r="AM746" s="655">
        <v>14420425</v>
      </c>
    </row>
    <row r="747" spans="1:39" x14ac:dyDescent="0.2">
      <c r="A747" s="648">
        <v>2015</v>
      </c>
      <c r="B747" s="648">
        <v>13</v>
      </c>
      <c r="C747" s="657" t="s">
        <v>154</v>
      </c>
      <c r="D747" s="648">
        <v>1503</v>
      </c>
      <c r="E747" s="648" t="s">
        <v>1080</v>
      </c>
      <c r="F747" s="655">
        <v>9629410</v>
      </c>
      <c r="G747" s="655">
        <v>15086</v>
      </c>
      <c r="H747" s="655">
        <v>450001</v>
      </c>
      <c r="I747" s="655">
        <v>1153371</v>
      </c>
      <c r="J747" s="655">
        <v>849640</v>
      </c>
      <c r="K747" s="655">
        <v>92733</v>
      </c>
      <c r="L747" s="655">
        <v>106401</v>
      </c>
      <c r="M747" s="655">
        <v>0</v>
      </c>
      <c r="N747" s="655">
        <v>473299</v>
      </c>
      <c r="O747" s="655">
        <v>1196</v>
      </c>
      <c r="P747" s="655">
        <v>84907</v>
      </c>
      <c r="Q747" s="655">
        <v>93904</v>
      </c>
      <c r="R747" s="655">
        <v>0</v>
      </c>
      <c r="S747" s="655">
        <v>48602</v>
      </c>
      <c r="T747" s="655">
        <v>5158</v>
      </c>
      <c r="U747" s="655">
        <v>179962</v>
      </c>
      <c r="V747" s="655">
        <v>0</v>
      </c>
      <c r="W747" s="655">
        <v>144116</v>
      </c>
      <c r="X747" s="655">
        <v>351315</v>
      </c>
      <c r="Y747" s="655">
        <v>0</v>
      </c>
      <c r="Z747" s="655">
        <v>0</v>
      </c>
      <c r="AA747" s="655">
        <v>0</v>
      </c>
      <c r="AB747" s="655">
        <v>0</v>
      </c>
      <c r="AC747" s="655">
        <v>-13466</v>
      </c>
      <c r="AD747" s="655">
        <v>73855</v>
      </c>
      <c r="AE747" s="655">
        <v>13591780</v>
      </c>
      <c r="AF747" s="655">
        <v>362862</v>
      </c>
      <c r="AG747" s="655">
        <v>0</v>
      </c>
      <c r="AH747" s="655">
        <v>0</v>
      </c>
      <c r="AI747" s="655">
        <v>2227650</v>
      </c>
      <c r="AJ747" s="655">
        <v>3480045</v>
      </c>
      <c r="AK747" s="655">
        <v>19662337</v>
      </c>
      <c r="AL747" s="655">
        <v>16689742</v>
      </c>
      <c r="AM747" s="655">
        <v>2972595</v>
      </c>
    </row>
    <row r="748" spans="1:39" x14ac:dyDescent="0.2">
      <c r="A748" s="648">
        <v>2015</v>
      </c>
      <c r="B748" s="648">
        <v>11</v>
      </c>
      <c r="C748" s="657" t="s">
        <v>155</v>
      </c>
      <c r="D748" s="648">
        <v>1576</v>
      </c>
      <c r="E748" s="648" t="s">
        <v>1081</v>
      </c>
      <c r="F748" s="655">
        <v>14305039</v>
      </c>
      <c r="G748" s="655">
        <v>0</v>
      </c>
      <c r="H748" s="655">
        <v>177796</v>
      </c>
      <c r="I748" s="655">
        <v>1084766</v>
      </c>
      <c r="J748" s="655">
        <v>1173750</v>
      </c>
      <c r="K748" s="655">
        <v>123186</v>
      </c>
      <c r="L748" s="655">
        <v>138961</v>
      </c>
      <c r="M748" s="655">
        <v>0</v>
      </c>
      <c r="N748" s="655">
        <v>657125</v>
      </c>
      <c r="O748" s="655">
        <v>0</v>
      </c>
      <c r="P748" s="655">
        <v>119924</v>
      </c>
      <c r="Q748" s="655">
        <v>131625</v>
      </c>
      <c r="R748" s="655">
        <v>0</v>
      </c>
      <c r="S748" s="655">
        <v>53669</v>
      </c>
      <c r="T748" s="655">
        <v>6842</v>
      </c>
      <c r="U748" s="655">
        <v>715252</v>
      </c>
      <c r="V748" s="655">
        <v>0</v>
      </c>
      <c r="W748" s="655">
        <v>664610</v>
      </c>
      <c r="X748" s="655">
        <v>567731</v>
      </c>
      <c r="Y748" s="655">
        <v>0</v>
      </c>
      <c r="Z748" s="655">
        <v>0</v>
      </c>
      <c r="AA748" s="655">
        <v>0</v>
      </c>
      <c r="AB748" s="655">
        <v>0</v>
      </c>
      <c r="AC748" s="655">
        <v>0</v>
      </c>
      <c r="AD748" s="655">
        <v>64515</v>
      </c>
      <c r="AE748" s="655">
        <v>19855761</v>
      </c>
      <c r="AF748" s="655">
        <v>455169</v>
      </c>
      <c r="AG748" s="655">
        <v>1054568</v>
      </c>
      <c r="AH748" s="655">
        <v>0</v>
      </c>
      <c r="AI748" s="655">
        <v>3273158</v>
      </c>
      <c r="AJ748" s="655">
        <v>9718253</v>
      </c>
      <c r="AK748" s="655">
        <v>34356909</v>
      </c>
      <c r="AL748" s="655">
        <v>24370730</v>
      </c>
      <c r="AM748" s="655">
        <v>9986179</v>
      </c>
    </row>
    <row r="749" spans="1:39" x14ac:dyDescent="0.2">
      <c r="A749" s="648">
        <v>2015</v>
      </c>
      <c r="B749" s="648">
        <v>15</v>
      </c>
      <c r="C749" s="657" t="s">
        <v>156</v>
      </c>
      <c r="D749" s="648">
        <v>1602</v>
      </c>
      <c r="E749" s="648" t="s">
        <v>1082</v>
      </c>
      <c r="F749" s="655">
        <v>3088783</v>
      </c>
      <c r="G749" s="655">
        <v>0</v>
      </c>
      <c r="H749" s="655">
        <v>17608</v>
      </c>
      <c r="I749" s="655">
        <v>254767</v>
      </c>
      <c r="J749" s="655">
        <v>273439</v>
      </c>
      <c r="K749" s="655">
        <v>29607</v>
      </c>
      <c r="L749" s="655">
        <v>33052</v>
      </c>
      <c r="M749" s="655">
        <v>0</v>
      </c>
      <c r="N749" s="655">
        <v>145612</v>
      </c>
      <c r="O749" s="655">
        <v>0</v>
      </c>
      <c r="P749" s="655">
        <v>25405</v>
      </c>
      <c r="Q749" s="655">
        <v>27904</v>
      </c>
      <c r="R749" s="655">
        <v>394</v>
      </c>
      <c r="S749" s="655">
        <v>14575</v>
      </c>
      <c r="T749" s="655">
        <v>1576</v>
      </c>
      <c r="U749" s="655">
        <v>117982</v>
      </c>
      <c r="V749" s="655">
        <v>0</v>
      </c>
      <c r="W749" s="655">
        <v>106507</v>
      </c>
      <c r="X749" s="655">
        <v>56318</v>
      </c>
      <c r="Y749" s="655">
        <v>0</v>
      </c>
      <c r="Z749" s="655">
        <v>0</v>
      </c>
      <c r="AA749" s="655">
        <v>0</v>
      </c>
      <c r="AB749" s="655">
        <v>0</v>
      </c>
      <c r="AC749" s="655">
        <v>-6121</v>
      </c>
      <c r="AD749" s="655">
        <v>20792</v>
      </c>
      <c r="AE749" s="655">
        <v>4166616</v>
      </c>
      <c r="AF749" s="655">
        <v>92307</v>
      </c>
      <c r="AG749" s="655">
        <v>210593</v>
      </c>
      <c r="AH749" s="655">
        <v>0</v>
      </c>
      <c r="AI749" s="655">
        <v>1527319</v>
      </c>
      <c r="AJ749" s="655">
        <v>871030</v>
      </c>
      <c r="AK749" s="655">
        <v>6867865</v>
      </c>
      <c r="AL749" s="655">
        <v>6084263</v>
      </c>
      <c r="AM749" s="655">
        <v>783602</v>
      </c>
    </row>
    <row r="750" spans="1:39" x14ac:dyDescent="0.2">
      <c r="A750" s="648">
        <v>2015</v>
      </c>
      <c r="B750" s="648">
        <v>9</v>
      </c>
      <c r="C750" s="657" t="s">
        <v>157</v>
      </c>
      <c r="D750" s="648">
        <v>1611</v>
      </c>
      <c r="E750" s="648" t="s">
        <v>1083</v>
      </c>
      <c r="F750" s="655">
        <v>101735683</v>
      </c>
      <c r="G750" s="655">
        <v>0</v>
      </c>
      <c r="H750" s="655">
        <v>1450888</v>
      </c>
      <c r="I750" s="655">
        <v>15155600</v>
      </c>
      <c r="J750" s="655">
        <v>8568746</v>
      </c>
      <c r="K750" s="655">
        <v>1060985</v>
      </c>
      <c r="L750" s="655">
        <v>1254676</v>
      </c>
      <c r="M750" s="655">
        <v>0</v>
      </c>
      <c r="N750" s="655">
        <v>5156731</v>
      </c>
      <c r="O750" s="655">
        <v>0</v>
      </c>
      <c r="P750" s="655">
        <v>929581</v>
      </c>
      <c r="Q750" s="655">
        <v>1013942</v>
      </c>
      <c r="R750" s="655">
        <v>0</v>
      </c>
      <c r="S750" s="655">
        <v>463085</v>
      </c>
      <c r="T750" s="655">
        <v>54351</v>
      </c>
      <c r="U750" s="655">
        <v>5086784</v>
      </c>
      <c r="V750" s="655">
        <v>836758</v>
      </c>
      <c r="W750" s="655">
        <v>1057618</v>
      </c>
      <c r="X750" s="655">
        <v>259207</v>
      </c>
      <c r="Y750" s="655">
        <v>0</v>
      </c>
      <c r="Z750" s="655">
        <v>0</v>
      </c>
      <c r="AA750" s="655">
        <v>0</v>
      </c>
      <c r="AB750" s="655">
        <v>0</v>
      </c>
      <c r="AC750" s="655">
        <v>0</v>
      </c>
      <c r="AD750" s="655">
        <v>800370</v>
      </c>
      <c r="AE750" s="655">
        <v>143284265</v>
      </c>
      <c r="AF750" s="655">
        <v>2759783</v>
      </c>
      <c r="AG750" s="655">
        <v>7185591</v>
      </c>
      <c r="AH750" s="655">
        <v>0</v>
      </c>
      <c r="AI750" s="655">
        <v>27432548</v>
      </c>
      <c r="AJ750" s="655">
        <v>7785912</v>
      </c>
      <c r="AK750" s="655">
        <v>188448099</v>
      </c>
      <c r="AL750" s="655">
        <v>180393362</v>
      </c>
      <c r="AM750" s="655">
        <v>8054737</v>
      </c>
    </row>
    <row r="751" spans="1:39" x14ac:dyDescent="0.2">
      <c r="A751" s="648">
        <v>2015</v>
      </c>
      <c r="B751" s="648">
        <v>15</v>
      </c>
      <c r="C751" s="657" t="s">
        <v>158</v>
      </c>
      <c r="D751" s="648">
        <v>1619</v>
      </c>
      <c r="E751" s="648" t="s">
        <v>1084</v>
      </c>
      <c r="F751" s="655">
        <v>7524612</v>
      </c>
      <c r="G751" s="655">
        <v>0</v>
      </c>
      <c r="H751" s="655">
        <v>98444</v>
      </c>
      <c r="I751" s="655">
        <v>553651</v>
      </c>
      <c r="J751" s="655">
        <v>653421</v>
      </c>
      <c r="K751" s="655">
        <v>71854</v>
      </c>
      <c r="L751" s="655">
        <v>72185</v>
      </c>
      <c r="M751" s="655">
        <v>0</v>
      </c>
      <c r="N751" s="655">
        <v>351809</v>
      </c>
      <c r="O751" s="655">
        <v>0</v>
      </c>
      <c r="P751" s="655">
        <v>61535</v>
      </c>
      <c r="Q751" s="655">
        <v>67587</v>
      </c>
      <c r="R751" s="655">
        <v>951</v>
      </c>
      <c r="S751" s="655">
        <v>35214</v>
      </c>
      <c r="T751" s="655">
        <v>3807</v>
      </c>
      <c r="U751" s="655">
        <v>368053</v>
      </c>
      <c r="V751" s="655">
        <v>0</v>
      </c>
      <c r="W751" s="655">
        <v>42847</v>
      </c>
      <c r="X751" s="655">
        <v>232010</v>
      </c>
      <c r="Y751" s="655">
        <v>0</v>
      </c>
      <c r="Z751" s="655">
        <v>0</v>
      </c>
      <c r="AA751" s="655">
        <v>0</v>
      </c>
      <c r="AB751" s="655">
        <v>0</v>
      </c>
      <c r="AC751" s="655">
        <v>-6121</v>
      </c>
      <c r="AD751" s="655">
        <v>56419</v>
      </c>
      <c r="AE751" s="655">
        <v>10075440</v>
      </c>
      <c r="AF751" s="655">
        <v>155967</v>
      </c>
      <c r="AG751" s="655">
        <v>524917</v>
      </c>
      <c r="AH751" s="655">
        <v>0</v>
      </c>
      <c r="AI751" s="655">
        <v>1914567</v>
      </c>
      <c r="AJ751" s="655">
        <v>4018027</v>
      </c>
      <c r="AK751" s="655">
        <v>16688918</v>
      </c>
      <c r="AL751" s="655">
        <v>12499298</v>
      </c>
      <c r="AM751" s="655">
        <v>4189620</v>
      </c>
    </row>
    <row r="752" spans="1:39" x14ac:dyDescent="0.2">
      <c r="A752" s="648">
        <v>2015</v>
      </c>
      <c r="B752" s="648">
        <v>1</v>
      </c>
      <c r="C752" s="657" t="s">
        <v>159</v>
      </c>
      <c r="D752" s="648">
        <v>1638</v>
      </c>
      <c r="E752" s="648" t="s">
        <v>1085</v>
      </c>
      <c r="F752" s="655">
        <v>8891168</v>
      </c>
      <c r="G752" s="655">
        <v>0</v>
      </c>
      <c r="H752" s="655">
        <v>143569</v>
      </c>
      <c r="I752" s="655">
        <v>738613</v>
      </c>
      <c r="J752" s="655">
        <v>775106</v>
      </c>
      <c r="K752" s="655">
        <v>94570</v>
      </c>
      <c r="L752" s="655">
        <v>84564</v>
      </c>
      <c r="M752" s="655">
        <v>0</v>
      </c>
      <c r="N752" s="655">
        <v>443876</v>
      </c>
      <c r="O752" s="655">
        <v>0</v>
      </c>
      <c r="P752" s="655">
        <v>79535</v>
      </c>
      <c r="Q752" s="655">
        <v>88770</v>
      </c>
      <c r="R752" s="655">
        <v>0</v>
      </c>
      <c r="S752" s="655">
        <v>43651</v>
      </c>
      <c r="T752" s="655">
        <v>4664</v>
      </c>
      <c r="U752" s="655">
        <v>427063</v>
      </c>
      <c r="V752" s="655">
        <v>23372</v>
      </c>
      <c r="W752" s="655">
        <v>18247</v>
      </c>
      <c r="X752" s="655">
        <v>676495</v>
      </c>
      <c r="Y752" s="655">
        <v>0</v>
      </c>
      <c r="Z752" s="655">
        <v>0</v>
      </c>
      <c r="AA752" s="655">
        <v>0</v>
      </c>
      <c r="AB752" s="655">
        <v>0</v>
      </c>
      <c r="AC752" s="655">
        <v>9816</v>
      </c>
      <c r="AD752" s="655">
        <v>75026</v>
      </c>
      <c r="AE752" s="655">
        <v>12468053</v>
      </c>
      <c r="AF752" s="655">
        <v>315117</v>
      </c>
      <c r="AG752" s="655">
        <v>717784</v>
      </c>
      <c r="AH752" s="655">
        <v>0</v>
      </c>
      <c r="AI752" s="655">
        <v>4711729</v>
      </c>
      <c r="AJ752" s="655">
        <v>2481031</v>
      </c>
      <c r="AK752" s="655">
        <v>20693714</v>
      </c>
      <c r="AL752" s="655">
        <v>18480143</v>
      </c>
      <c r="AM752" s="655">
        <v>2213571</v>
      </c>
    </row>
    <row r="753" spans="1:39" x14ac:dyDescent="0.2">
      <c r="A753" s="648">
        <v>2015</v>
      </c>
      <c r="B753" s="648">
        <v>9</v>
      </c>
      <c r="C753" s="657" t="s">
        <v>160</v>
      </c>
      <c r="D753" s="648">
        <v>1675</v>
      </c>
      <c r="E753" s="648" t="s">
        <v>1086</v>
      </c>
      <c r="F753" s="655">
        <v>1386692</v>
      </c>
      <c r="G753" s="655">
        <v>0</v>
      </c>
      <c r="H753" s="655">
        <v>24803</v>
      </c>
      <c r="I753" s="655">
        <v>163198</v>
      </c>
      <c r="J753" s="655">
        <v>102436</v>
      </c>
      <c r="K753" s="655">
        <v>8181</v>
      </c>
      <c r="L753" s="655">
        <v>13598</v>
      </c>
      <c r="M753" s="655">
        <v>0</v>
      </c>
      <c r="N753" s="655">
        <v>66545</v>
      </c>
      <c r="O753" s="655">
        <v>8468</v>
      </c>
      <c r="P753" s="655">
        <v>11003</v>
      </c>
      <c r="Q753" s="655">
        <v>12001</v>
      </c>
      <c r="R753" s="655">
        <v>0</v>
      </c>
      <c r="S753" s="655">
        <v>5976</v>
      </c>
      <c r="T753" s="655">
        <v>701</v>
      </c>
      <c r="U753" s="655">
        <v>0</v>
      </c>
      <c r="V753" s="655">
        <v>0</v>
      </c>
      <c r="W753" s="655">
        <v>0</v>
      </c>
      <c r="X753" s="655">
        <v>0</v>
      </c>
      <c r="Y753" s="655">
        <v>28080</v>
      </c>
      <c r="Z753" s="655">
        <v>0</v>
      </c>
      <c r="AA753" s="655">
        <v>0</v>
      </c>
      <c r="AB753" s="655">
        <v>0</v>
      </c>
      <c r="AC753" s="655">
        <v>0</v>
      </c>
      <c r="AD753" s="655">
        <v>13150</v>
      </c>
      <c r="AE753" s="655">
        <v>1762372</v>
      </c>
      <c r="AF753" s="655">
        <v>47745</v>
      </c>
      <c r="AG753" s="655">
        <v>110270</v>
      </c>
      <c r="AH753" s="655">
        <v>110935</v>
      </c>
      <c r="AI753" s="655">
        <v>481145</v>
      </c>
      <c r="AJ753" s="655">
        <v>4507435</v>
      </c>
      <c r="AK753" s="655">
        <v>7019902</v>
      </c>
      <c r="AL753" s="655">
        <v>2448596</v>
      </c>
      <c r="AM753" s="655">
        <v>4571306</v>
      </c>
    </row>
    <row r="754" spans="1:39" x14ac:dyDescent="0.2">
      <c r="A754" s="648">
        <v>2015</v>
      </c>
      <c r="B754" s="648">
        <v>12</v>
      </c>
      <c r="C754" s="657" t="s">
        <v>161</v>
      </c>
      <c r="D754" s="648">
        <v>1701</v>
      </c>
      <c r="E754" s="648" t="s">
        <v>1087</v>
      </c>
      <c r="F754" s="655">
        <v>13031202</v>
      </c>
      <c r="G754" s="655">
        <v>0</v>
      </c>
      <c r="H754" s="655">
        <v>1312268</v>
      </c>
      <c r="I754" s="655">
        <v>1473856</v>
      </c>
      <c r="J754" s="655">
        <v>1050213</v>
      </c>
      <c r="K754" s="655">
        <v>128941</v>
      </c>
      <c r="L754" s="655">
        <v>158520</v>
      </c>
      <c r="M754" s="655">
        <v>0</v>
      </c>
      <c r="N754" s="655">
        <v>652705</v>
      </c>
      <c r="O754" s="655">
        <v>0</v>
      </c>
      <c r="P754" s="655">
        <v>116052</v>
      </c>
      <c r="Q754" s="655">
        <v>130323</v>
      </c>
      <c r="R754" s="655">
        <v>0</v>
      </c>
      <c r="S754" s="655">
        <v>65530</v>
      </c>
      <c r="T754" s="655">
        <v>7838</v>
      </c>
      <c r="U754" s="655">
        <v>0</v>
      </c>
      <c r="V754" s="655">
        <v>0</v>
      </c>
      <c r="W754" s="655">
        <v>79573</v>
      </c>
      <c r="X754" s="655">
        <v>34686</v>
      </c>
      <c r="Y754" s="655">
        <v>0</v>
      </c>
      <c r="Z754" s="655">
        <v>0</v>
      </c>
      <c r="AA754" s="655">
        <v>0</v>
      </c>
      <c r="AB754" s="655">
        <v>0</v>
      </c>
      <c r="AC754" s="655">
        <v>-1347</v>
      </c>
      <c r="AD754" s="655">
        <v>77738</v>
      </c>
      <c r="AE754" s="655">
        <v>18162622</v>
      </c>
      <c r="AF754" s="655">
        <v>308751</v>
      </c>
      <c r="AG754" s="655">
        <v>756331</v>
      </c>
      <c r="AH754" s="655">
        <v>0</v>
      </c>
      <c r="AI754" s="655">
        <v>3054889</v>
      </c>
      <c r="AJ754" s="655">
        <v>6777699</v>
      </c>
      <c r="AK754" s="655">
        <v>29060292</v>
      </c>
      <c r="AL754" s="655">
        <v>22505031</v>
      </c>
      <c r="AM754" s="655">
        <v>6555261</v>
      </c>
    </row>
    <row r="755" spans="1:39" x14ac:dyDescent="0.2">
      <c r="A755" s="648">
        <v>2015</v>
      </c>
      <c r="B755" s="648">
        <v>7</v>
      </c>
      <c r="C755" s="657" t="s">
        <v>162</v>
      </c>
      <c r="D755" s="648">
        <v>1719</v>
      </c>
      <c r="E755" s="648" t="s">
        <v>1088</v>
      </c>
      <c r="F755" s="655">
        <v>4450471</v>
      </c>
      <c r="G755" s="655">
        <v>0</v>
      </c>
      <c r="H755" s="655">
        <v>73114</v>
      </c>
      <c r="I755" s="655">
        <v>432888</v>
      </c>
      <c r="J755" s="655">
        <v>386295</v>
      </c>
      <c r="K755" s="655">
        <v>36297</v>
      </c>
      <c r="L755" s="655">
        <v>35556</v>
      </c>
      <c r="M755" s="655">
        <v>0</v>
      </c>
      <c r="N755" s="655">
        <v>217243</v>
      </c>
      <c r="O755" s="655">
        <v>2590</v>
      </c>
      <c r="P755" s="655">
        <v>36935</v>
      </c>
      <c r="Q755" s="655">
        <v>41264</v>
      </c>
      <c r="R755" s="655">
        <v>0</v>
      </c>
      <c r="S755" s="655">
        <v>28013</v>
      </c>
      <c r="T755" s="655">
        <v>3213</v>
      </c>
      <c r="U755" s="655">
        <v>58074</v>
      </c>
      <c r="V755" s="655">
        <v>0</v>
      </c>
      <c r="W755" s="655">
        <v>0</v>
      </c>
      <c r="X755" s="655">
        <v>0</v>
      </c>
      <c r="Y755" s="655">
        <v>21982</v>
      </c>
      <c r="Z755" s="655">
        <v>0</v>
      </c>
      <c r="AA755" s="655">
        <v>0</v>
      </c>
      <c r="AB755" s="655">
        <v>0</v>
      </c>
      <c r="AC755" s="655">
        <v>0</v>
      </c>
      <c r="AD755" s="655">
        <v>32842</v>
      </c>
      <c r="AE755" s="655">
        <v>5747129</v>
      </c>
      <c r="AF755" s="655">
        <v>114588</v>
      </c>
      <c r="AG755" s="655">
        <v>322793</v>
      </c>
      <c r="AH755" s="655">
        <v>0</v>
      </c>
      <c r="AI755" s="655">
        <v>795207</v>
      </c>
      <c r="AJ755" s="655">
        <v>1214476</v>
      </c>
      <c r="AK755" s="655">
        <v>8194193</v>
      </c>
      <c r="AL755" s="655">
        <v>6752551</v>
      </c>
      <c r="AM755" s="655">
        <v>1441642</v>
      </c>
    </row>
    <row r="756" spans="1:39" x14ac:dyDescent="0.2">
      <c r="A756" s="648">
        <v>2015</v>
      </c>
      <c r="B756" s="648">
        <v>11</v>
      </c>
      <c r="C756" s="657" t="s">
        <v>163</v>
      </c>
      <c r="D756" s="648">
        <v>1737</v>
      </c>
      <c r="E756" s="648" t="s">
        <v>1089</v>
      </c>
      <c r="F756" s="655">
        <v>208546529</v>
      </c>
      <c r="G756" s="655">
        <v>0</v>
      </c>
      <c r="H756" s="655">
        <v>9545315</v>
      </c>
      <c r="I756" s="655">
        <v>41535652</v>
      </c>
      <c r="J756" s="655">
        <v>18694313</v>
      </c>
      <c r="K756" s="655">
        <v>2339585</v>
      </c>
      <c r="L756" s="655">
        <v>2833238</v>
      </c>
      <c r="M756" s="655">
        <v>0</v>
      </c>
      <c r="N756" s="655">
        <v>10565331</v>
      </c>
      <c r="O756" s="655">
        <v>0</v>
      </c>
      <c r="P756" s="655">
        <v>1808676</v>
      </c>
      <c r="Q756" s="655">
        <v>1985157</v>
      </c>
      <c r="R756" s="655">
        <v>0</v>
      </c>
      <c r="S756" s="655">
        <v>862888</v>
      </c>
      <c r="T756" s="655">
        <v>109999</v>
      </c>
      <c r="U756" s="655">
        <v>10052326</v>
      </c>
      <c r="V756" s="655">
        <v>0</v>
      </c>
      <c r="W756" s="655">
        <v>3306333</v>
      </c>
      <c r="X756" s="655">
        <v>0</v>
      </c>
      <c r="Y756" s="655">
        <v>0</v>
      </c>
      <c r="Z756" s="655">
        <v>0</v>
      </c>
      <c r="AA756" s="655">
        <v>0</v>
      </c>
      <c r="AB756" s="655">
        <v>0</v>
      </c>
      <c r="AC756" s="655">
        <v>37691</v>
      </c>
      <c r="AD756" s="655">
        <v>1502988</v>
      </c>
      <c r="AE756" s="655">
        <v>310720045</v>
      </c>
      <c r="AF756" s="655">
        <v>4303416</v>
      </c>
      <c r="AG756" s="655">
        <v>13032073</v>
      </c>
      <c r="AH756" s="655">
        <v>0</v>
      </c>
      <c r="AI756" s="655">
        <v>59607519</v>
      </c>
      <c r="AJ756" s="655">
        <v>65243764</v>
      </c>
      <c r="AK756" s="655">
        <v>452906817</v>
      </c>
      <c r="AL756" s="655">
        <v>398906264</v>
      </c>
      <c r="AM756" s="655">
        <v>54000553</v>
      </c>
    </row>
    <row r="757" spans="1:39" x14ac:dyDescent="0.2">
      <c r="A757" s="648">
        <v>2015</v>
      </c>
      <c r="B757" s="648">
        <v>13</v>
      </c>
      <c r="C757" s="657" t="s">
        <v>164</v>
      </c>
      <c r="D757" s="648">
        <v>1782</v>
      </c>
      <c r="E757" s="648" t="s">
        <v>1090</v>
      </c>
      <c r="F757" s="655">
        <v>644077</v>
      </c>
      <c r="G757" s="655">
        <v>49575</v>
      </c>
      <c r="H757" s="655">
        <v>37663</v>
      </c>
      <c r="I757" s="655">
        <v>101075</v>
      </c>
      <c r="J757" s="655">
        <v>88552</v>
      </c>
      <c r="K757" s="655">
        <v>9905</v>
      </c>
      <c r="L757" s="655">
        <v>10922</v>
      </c>
      <c r="M757" s="655">
        <v>0</v>
      </c>
      <c r="N757" s="655">
        <v>32704</v>
      </c>
      <c r="O757" s="655">
        <v>1723</v>
      </c>
      <c r="P757" s="655">
        <v>5261</v>
      </c>
      <c r="Q757" s="655">
        <v>5819</v>
      </c>
      <c r="R757" s="655">
        <v>0</v>
      </c>
      <c r="S757" s="655">
        <v>3536</v>
      </c>
      <c r="T757" s="655">
        <v>374</v>
      </c>
      <c r="U757" s="655">
        <v>29653</v>
      </c>
      <c r="V757" s="655">
        <v>0</v>
      </c>
      <c r="W757" s="655">
        <v>36726</v>
      </c>
      <c r="X757" s="655">
        <v>67477</v>
      </c>
      <c r="Y757" s="655">
        <v>0</v>
      </c>
      <c r="Z757" s="655">
        <v>0</v>
      </c>
      <c r="AA757" s="655">
        <v>0</v>
      </c>
      <c r="AB757" s="655">
        <v>0</v>
      </c>
      <c r="AC757" s="655">
        <v>-12264</v>
      </c>
      <c r="AD757" s="655">
        <v>6461</v>
      </c>
      <c r="AE757" s="655">
        <v>1106317</v>
      </c>
      <c r="AF757" s="655">
        <v>0</v>
      </c>
      <c r="AG757" s="655">
        <v>53904</v>
      </c>
      <c r="AH757" s="655">
        <v>0</v>
      </c>
      <c r="AI757" s="655">
        <v>527283</v>
      </c>
      <c r="AJ757" s="655">
        <v>140268</v>
      </c>
      <c r="AK757" s="655">
        <v>1827772</v>
      </c>
      <c r="AL757" s="655">
        <v>1535527</v>
      </c>
      <c r="AM757" s="655">
        <v>292245</v>
      </c>
    </row>
    <row r="758" spans="1:39" x14ac:dyDescent="0.2">
      <c r="A758" s="648">
        <v>2015</v>
      </c>
      <c r="B758" s="648">
        <v>7</v>
      </c>
      <c r="C758" s="657" t="s">
        <v>165</v>
      </c>
      <c r="D758" s="648">
        <v>1791</v>
      </c>
      <c r="E758" s="648" t="s">
        <v>2007</v>
      </c>
      <c r="F758" s="655">
        <v>5605263</v>
      </c>
      <c r="G758" s="655">
        <v>0</v>
      </c>
      <c r="H758" s="655">
        <v>104294</v>
      </c>
      <c r="I758" s="655">
        <v>731008</v>
      </c>
      <c r="J758" s="655">
        <v>502827</v>
      </c>
      <c r="K758" s="655">
        <v>52839</v>
      </c>
      <c r="L758" s="655">
        <v>49651</v>
      </c>
      <c r="M758" s="655">
        <v>0</v>
      </c>
      <c r="N758" s="655">
        <v>281877</v>
      </c>
      <c r="O758" s="655">
        <v>0</v>
      </c>
      <c r="P758" s="655">
        <v>46365</v>
      </c>
      <c r="Q758" s="655">
        <v>51799</v>
      </c>
      <c r="R758" s="655">
        <v>0</v>
      </c>
      <c r="S758" s="655">
        <v>35981</v>
      </c>
      <c r="T758" s="655">
        <v>4131</v>
      </c>
      <c r="U758" s="655">
        <v>100496</v>
      </c>
      <c r="V758" s="655">
        <v>0</v>
      </c>
      <c r="W758" s="655">
        <v>24484</v>
      </c>
      <c r="X758" s="655">
        <v>0</v>
      </c>
      <c r="Y758" s="655">
        <v>95327</v>
      </c>
      <c r="Z758" s="655">
        <v>0</v>
      </c>
      <c r="AA758" s="655">
        <v>0</v>
      </c>
      <c r="AB758" s="655">
        <v>0</v>
      </c>
      <c r="AC758" s="655">
        <v>0</v>
      </c>
      <c r="AD758" s="655">
        <v>36304</v>
      </c>
      <c r="AE758" s="655">
        <v>7459384</v>
      </c>
      <c r="AF758" s="655">
        <v>155967</v>
      </c>
      <c r="AG758" s="655">
        <v>406830</v>
      </c>
      <c r="AH758" s="655">
        <v>0</v>
      </c>
      <c r="AI758" s="655">
        <v>773718</v>
      </c>
      <c r="AJ758" s="655">
        <v>1827858</v>
      </c>
      <c r="AK758" s="655">
        <v>10623757</v>
      </c>
      <c r="AL758" s="655">
        <v>8860987</v>
      </c>
      <c r="AM758" s="655">
        <v>1762770</v>
      </c>
    </row>
    <row r="759" spans="1:39" x14ac:dyDescent="0.2">
      <c r="A759" s="648">
        <v>2015</v>
      </c>
      <c r="B759" s="648">
        <v>1</v>
      </c>
      <c r="C759" s="657" t="s">
        <v>166</v>
      </c>
      <c r="D759" s="648">
        <v>1863</v>
      </c>
      <c r="E759" s="648" t="s">
        <v>1092</v>
      </c>
      <c r="F759" s="655">
        <v>67417418</v>
      </c>
      <c r="G759" s="655">
        <v>0</v>
      </c>
      <c r="H759" s="655">
        <v>585787</v>
      </c>
      <c r="I759" s="655">
        <v>12399627</v>
      </c>
      <c r="J759" s="655">
        <v>6014251</v>
      </c>
      <c r="K759" s="655">
        <v>715219</v>
      </c>
      <c r="L759" s="655">
        <v>718922</v>
      </c>
      <c r="M759" s="655">
        <v>0</v>
      </c>
      <c r="N759" s="655">
        <v>3683131</v>
      </c>
      <c r="O759" s="655">
        <v>0</v>
      </c>
      <c r="P759" s="655">
        <v>642195</v>
      </c>
      <c r="Q759" s="655">
        <v>716767</v>
      </c>
      <c r="R759" s="655">
        <v>0</v>
      </c>
      <c r="S759" s="655">
        <v>362201</v>
      </c>
      <c r="T759" s="655">
        <v>38700</v>
      </c>
      <c r="U759" s="655">
        <v>3370903</v>
      </c>
      <c r="V759" s="655">
        <v>314443</v>
      </c>
      <c r="W759" s="655">
        <v>396018</v>
      </c>
      <c r="X759" s="655">
        <v>4370508</v>
      </c>
      <c r="Y759" s="655">
        <v>0</v>
      </c>
      <c r="Z759" s="655">
        <v>0</v>
      </c>
      <c r="AA759" s="655">
        <v>0</v>
      </c>
      <c r="AB759" s="655">
        <v>0</v>
      </c>
      <c r="AC759" s="655">
        <v>-18384</v>
      </c>
      <c r="AD759" s="655">
        <v>514177</v>
      </c>
      <c r="AE759" s="655">
        <v>101213529</v>
      </c>
      <c r="AF759" s="655">
        <v>2345993</v>
      </c>
      <c r="AG759" s="655">
        <v>5038104</v>
      </c>
      <c r="AH759" s="655">
        <v>0</v>
      </c>
      <c r="AI759" s="655">
        <v>15417123</v>
      </c>
      <c r="AJ759" s="655">
        <v>13231544</v>
      </c>
      <c r="AK759" s="655">
        <v>137246293</v>
      </c>
      <c r="AL759" s="655">
        <v>126116923</v>
      </c>
      <c r="AM759" s="655">
        <v>11129370</v>
      </c>
    </row>
    <row r="760" spans="1:39" x14ac:dyDescent="0.2">
      <c r="A760" s="648">
        <v>2015</v>
      </c>
      <c r="B760" s="648">
        <v>7</v>
      </c>
      <c r="C760" s="657" t="s">
        <v>167</v>
      </c>
      <c r="D760" s="648">
        <v>1908</v>
      </c>
      <c r="E760" s="648" t="s">
        <v>1093</v>
      </c>
      <c r="F760" s="655">
        <v>2953824</v>
      </c>
      <c r="G760" s="655">
        <v>0</v>
      </c>
      <c r="H760" s="655">
        <v>19060</v>
      </c>
      <c r="I760" s="655">
        <v>442692</v>
      </c>
      <c r="J760" s="655">
        <v>268229</v>
      </c>
      <c r="K760" s="655">
        <v>27840</v>
      </c>
      <c r="L760" s="655">
        <v>29914</v>
      </c>
      <c r="M760" s="655">
        <v>0</v>
      </c>
      <c r="N760" s="655">
        <v>151099</v>
      </c>
      <c r="O760" s="655">
        <v>2583</v>
      </c>
      <c r="P760" s="655">
        <v>25095</v>
      </c>
      <c r="Q760" s="655">
        <v>28036</v>
      </c>
      <c r="R760" s="655">
        <v>0</v>
      </c>
      <c r="S760" s="655">
        <v>19596</v>
      </c>
      <c r="T760" s="655">
        <v>2248</v>
      </c>
      <c r="U760" s="655">
        <v>14881</v>
      </c>
      <c r="V760" s="655">
        <v>0</v>
      </c>
      <c r="W760" s="655">
        <v>44683</v>
      </c>
      <c r="X760" s="655">
        <v>0</v>
      </c>
      <c r="Y760" s="655">
        <v>3683</v>
      </c>
      <c r="Z760" s="655">
        <v>0</v>
      </c>
      <c r="AA760" s="655">
        <v>0</v>
      </c>
      <c r="AB760" s="655">
        <v>0</v>
      </c>
      <c r="AC760" s="655">
        <v>0</v>
      </c>
      <c r="AD760" s="655">
        <v>22973</v>
      </c>
      <c r="AE760" s="655">
        <v>4003124</v>
      </c>
      <c r="AF760" s="655">
        <v>60477</v>
      </c>
      <c r="AG760" s="655">
        <v>224165</v>
      </c>
      <c r="AH760" s="655">
        <v>0</v>
      </c>
      <c r="AI760" s="655">
        <v>569591</v>
      </c>
      <c r="AJ760" s="655">
        <v>927629</v>
      </c>
      <c r="AK760" s="655">
        <v>5784986</v>
      </c>
      <c r="AL760" s="655">
        <v>4848636</v>
      </c>
      <c r="AM760" s="655">
        <v>936350</v>
      </c>
    </row>
    <row r="761" spans="1:39" x14ac:dyDescent="0.2">
      <c r="A761" s="648">
        <v>2015</v>
      </c>
      <c r="B761" s="648">
        <v>13</v>
      </c>
      <c r="C761" s="657" t="s">
        <v>168</v>
      </c>
      <c r="D761" s="648">
        <v>1917</v>
      </c>
      <c r="E761" s="648" t="s">
        <v>1094</v>
      </c>
      <c r="F761" s="655">
        <v>2758030</v>
      </c>
      <c r="G761" s="655">
        <v>0</v>
      </c>
      <c r="H761" s="655">
        <v>84889</v>
      </c>
      <c r="I761" s="655">
        <v>451853</v>
      </c>
      <c r="J761" s="655">
        <v>268832</v>
      </c>
      <c r="K761" s="655">
        <v>32275</v>
      </c>
      <c r="L761" s="655">
        <v>30397</v>
      </c>
      <c r="M761" s="655">
        <v>0</v>
      </c>
      <c r="N761" s="655">
        <v>140945</v>
      </c>
      <c r="O761" s="655">
        <v>860</v>
      </c>
      <c r="P761" s="655">
        <v>22972</v>
      </c>
      <c r="Q761" s="655">
        <v>25406</v>
      </c>
      <c r="R761" s="655">
        <v>0</v>
      </c>
      <c r="S761" s="655">
        <v>14564</v>
      </c>
      <c r="T761" s="655">
        <v>1539</v>
      </c>
      <c r="U761" s="655">
        <v>0</v>
      </c>
      <c r="V761" s="655">
        <v>0</v>
      </c>
      <c r="W761" s="655">
        <v>33782</v>
      </c>
      <c r="X761" s="655">
        <v>0</v>
      </c>
      <c r="Y761" s="655">
        <v>0</v>
      </c>
      <c r="Z761" s="655">
        <v>0</v>
      </c>
      <c r="AA761" s="655">
        <v>0</v>
      </c>
      <c r="AB761" s="655">
        <v>0</v>
      </c>
      <c r="AC761" s="655">
        <v>0</v>
      </c>
      <c r="AD761" s="655">
        <v>25701</v>
      </c>
      <c r="AE761" s="655">
        <v>3840643</v>
      </c>
      <c r="AF761" s="655">
        <v>82758</v>
      </c>
      <c r="AG761" s="655">
        <v>226076</v>
      </c>
      <c r="AH761" s="655">
        <v>0</v>
      </c>
      <c r="AI761" s="655">
        <v>481555</v>
      </c>
      <c r="AJ761" s="655">
        <v>1046566</v>
      </c>
      <c r="AK761" s="655">
        <v>5677598</v>
      </c>
      <c r="AL761" s="655">
        <v>4965365</v>
      </c>
      <c r="AM761" s="655">
        <v>712233</v>
      </c>
    </row>
    <row r="762" spans="1:39" x14ac:dyDescent="0.2">
      <c r="A762" s="648">
        <v>2015</v>
      </c>
      <c r="B762" s="648">
        <v>9</v>
      </c>
      <c r="C762" s="657" t="s">
        <v>169</v>
      </c>
      <c r="D762" s="648">
        <v>1926</v>
      </c>
      <c r="E762" s="648" t="s">
        <v>1095</v>
      </c>
      <c r="F762" s="655">
        <v>3626627</v>
      </c>
      <c r="G762" s="655">
        <v>0</v>
      </c>
      <c r="H762" s="655">
        <v>31624</v>
      </c>
      <c r="I762" s="655">
        <v>381001</v>
      </c>
      <c r="J762" s="655">
        <v>368545</v>
      </c>
      <c r="K762" s="655">
        <v>41696</v>
      </c>
      <c r="L762" s="655">
        <v>33025</v>
      </c>
      <c r="M762" s="655">
        <v>0</v>
      </c>
      <c r="N762" s="655">
        <v>175531</v>
      </c>
      <c r="O762" s="655">
        <v>2931</v>
      </c>
      <c r="P762" s="655">
        <v>29375</v>
      </c>
      <c r="Q762" s="655">
        <v>32041</v>
      </c>
      <c r="R762" s="655">
        <v>0</v>
      </c>
      <c r="S762" s="655">
        <v>15763</v>
      </c>
      <c r="T762" s="655">
        <v>1850</v>
      </c>
      <c r="U762" s="655">
        <v>96170</v>
      </c>
      <c r="V762" s="655">
        <v>0</v>
      </c>
      <c r="W762" s="655">
        <v>76303</v>
      </c>
      <c r="X762" s="655">
        <v>52521</v>
      </c>
      <c r="Y762" s="655">
        <v>0</v>
      </c>
      <c r="Z762" s="655">
        <v>0</v>
      </c>
      <c r="AA762" s="655">
        <v>0</v>
      </c>
      <c r="AB762" s="655">
        <v>0</v>
      </c>
      <c r="AC762" s="655">
        <v>1172</v>
      </c>
      <c r="AD762" s="655">
        <v>27628</v>
      </c>
      <c r="AE762" s="655">
        <v>4938547</v>
      </c>
      <c r="AF762" s="655">
        <v>66843</v>
      </c>
      <c r="AG762" s="655">
        <v>288027</v>
      </c>
      <c r="AH762" s="655">
        <v>0</v>
      </c>
      <c r="AI762" s="655">
        <v>1279090</v>
      </c>
      <c r="AJ762" s="655">
        <v>2144605</v>
      </c>
      <c r="AK762" s="655">
        <v>8717112</v>
      </c>
      <c r="AL762" s="655">
        <v>6580130</v>
      </c>
      <c r="AM762" s="655">
        <v>2136982</v>
      </c>
    </row>
    <row r="763" spans="1:39" x14ac:dyDescent="0.2">
      <c r="A763" s="648">
        <v>2015</v>
      </c>
      <c r="B763" s="648">
        <v>7</v>
      </c>
      <c r="C763" s="657" t="s">
        <v>170</v>
      </c>
      <c r="D763" s="648">
        <v>6536</v>
      </c>
      <c r="E763" s="648" t="s">
        <v>639</v>
      </c>
      <c r="F763" s="655">
        <v>7830451</v>
      </c>
      <c r="G763" s="655">
        <v>0</v>
      </c>
      <c r="H763" s="655">
        <v>48225</v>
      </c>
      <c r="I763" s="655">
        <v>1046252</v>
      </c>
      <c r="J763" s="655">
        <v>688808</v>
      </c>
      <c r="K763" s="655">
        <v>59202</v>
      </c>
      <c r="L763" s="655">
        <v>72172</v>
      </c>
      <c r="M763" s="655">
        <v>0</v>
      </c>
      <c r="N763" s="655">
        <v>389870</v>
      </c>
      <c r="O763" s="655">
        <v>0</v>
      </c>
      <c r="P763" s="655">
        <v>64492</v>
      </c>
      <c r="Q763" s="655">
        <v>72050</v>
      </c>
      <c r="R763" s="655">
        <v>0</v>
      </c>
      <c r="S763" s="655">
        <v>49766</v>
      </c>
      <c r="T763" s="655">
        <v>5713</v>
      </c>
      <c r="U763" s="655">
        <v>276831</v>
      </c>
      <c r="V763" s="655">
        <v>0</v>
      </c>
      <c r="W763" s="655">
        <v>17946</v>
      </c>
      <c r="X763" s="655">
        <v>195308</v>
      </c>
      <c r="Y763" s="655">
        <v>0</v>
      </c>
      <c r="Z763" s="655">
        <v>0</v>
      </c>
      <c r="AA763" s="655">
        <v>0</v>
      </c>
      <c r="AB763" s="655">
        <v>0</v>
      </c>
      <c r="AC763" s="655">
        <v>0</v>
      </c>
      <c r="AD763" s="655">
        <v>54340</v>
      </c>
      <c r="AE763" s="655">
        <v>10762746</v>
      </c>
      <c r="AF763" s="655">
        <v>0</v>
      </c>
      <c r="AG763" s="655">
        <v>593470</v>
      </c>
      <c r="AH763" s="655">
        <v>0</v>
      </c>
      <c r="AI763" s="655">
        <v>842839</v>
      </c>
      <c r="AJ763" s="655">
        <v>2315907</v>
      </c>
      <c r="AK763" s="655">
        <v>14514962</v>
      </c>
      <c r="AL763" s="655">
        <v>12677885</v>
      </c>
      <c r="AM763" s="655">
        <v>1837077</v>
      </c>
    </row>
    <row r="764" spans="1:39" x14ac:dyDescent="0.2">
      <c r="A764" s="648">
        <v>2015</v>
      </c>
      <c r="B764" s="648">
        <v>5</v>
      </c>
      <c r="C764" s="657" t="s">
        <v>171</v>
      </c>
      <c r="D764" s="648">
        <v>1944</v>
      </c>
      <c r="E764" s="648" t="s">
        <v>1096</v>
      </c>
      <c r="F764" s="655">
        <v>5403117</v>
      </c>
      <c r="G764" s="655">
        <v>0</v>
      </c>
      <c r="H764" s="655">
        <v>240310</v>
      </c>
      <c r="I764" s="655">
        <v>868661</v>
      </c>
      <c r="J764" s="655">
        <v>469540</v>
      </c>
      <c r="K764" s="655">
        <v>51298</v>
      </c>
      <c r="L764" s="655">
        <v>57906</v>
      </c>
      <c r="M764" s="655">
        <v>0</v>
      </c>
      <c r="N764" s="655">
        <v>280344</v>
      </c>
      <c r="O764" s="655">
        <v>0</v>
      </c>
      <c r="P764" s="655">
        <v>43840</v>
      </c>
      <c r="Q764" s="655">
        <v>49249</v>
      </c>
      <c r="R764" s="655">
        <v>855</v>
      </c>
      <c r="S764" s="655">
        <v>29869</v>
      </c>
      <c r="T764" s="655">
        <v>3560</v>
      </c>
      <c r="U764" s="655">
        <v>270156</v>
      </c>
      <c r="V764" s="655">
        <v>4733</v>
      </c>
      <c r="W764" s="655">
        <v>78748</v>
      </c>
      <c r="X764" s="655">
        <v>179193</v>
      </c>
      <c r="Y764" s="655">
        <v>0</v>
      </c>
      <c r="Z764" s="655">
        <v>0</v>
      </c>
      <c r="AA764" s="655">
        <v>0</v>
      </c>
      <c r="AB764" s="655">
        <v>0</v>
      </c>
      <c r="AC764" s="655">
        <v>0</v>
      </c>
      <c r="AD764" s="655">
        <v>45100</v>
      </c>
      <c r="AE764" s="655">
        <v>7986279</v>
      </c>
      <c r="AF764" s="655">
        <v>184614</v>
      </c>
      <c r="AG764" s="655">
        <v>281583</v>
      </c>
      <c r="AH764" s="655">
        <v>0</v>
      </c>
      <c r="AI764" s="655">
        <v>1125001</v>
      </c>
      <c r="AJ764" s="655">
        <v>1079497</v>
      </c>
      <c r="AK764" s="655">
        <v>10656974</v>
      </c>
      <c r="AL764" s="655">
        <v>9305620</v>
      </c>
      <c r="AM764" s="655">
        <v>1351354</v>
      </c>
    </row>
    <row r="765" spans="1:39" x14ac:dyDescent="0.2">
      <c r="A765" s="648">
        <v>2015</v>
      </c>
      <c r="B765" s="648">
        <v>11</v>
      </c>
      <c r="C765" s="657" t="s">
        <v>172</v>
      </c>
      <c r="D765" s="648">
        <v>1953</v>
      </c>
      <c r="E765" s="648" t="s">
        <v>1097</v>
      </c>
      <c r="F765" s="655">
        <v>4104160</v>
      </c>
      <c r="G765" s="655">
        <v>0</v>
      </c>
      <c r="H765" s="655">
        <v>73292</v>
      </c>
      <c r="I765" s="655">
        <v>434925</v>
      </c>
      <c r="J765" s="655">
        <v>375886</v>
      </c>
      <c r="K765" s="655">
        <v>37779</v>
      </c>
      <c r="L765" s="655">
        <v>43027</v>
      </c>
      <c r="M765" s="655">
        <v>0</v>
      </c>
      <c r="N765" s="655">
        <v>193813</v>
      </c>
      <c r="O765" s="655">
        <v>0</v>
      </c>
      <c r="P765" s="655">
        <v>33566</v>
      </c>
      <c r="Q765" s="655">
        <v>36841</v>
      </c>
      <c r="R765" s="655">
        <v>0</v>
      </c>
      <c r="S765" s="655">
        <v>15829</v>
      </c>
      <c r="T765" s="655">
        <v>2018</v>
      </c>
      <c r="U765" s="655">
        <v>128689</v>
      </c>
      <c r="V765" s="655">
        <v>0</v>
      </c>
      <c r="W765" s="655">
        <v>109566</v>
      </c>
      <c r="X765" s="655">
        <v>0</v>
      </c>
      <c r="Y765" s="655">
        <v>61845</v>
      </c>
      <c r="Z765" s="655">
        <v>0</v>
      </c>
      <c r="AA765" s="655">
        <v>0</v>
      </c>
      <c r="AB765" s="655">
        <v>0</v>
      </c>
      <c r="AC765" s="655">
        <v>-6121</v>
      </c>
      <c r="AD765" s="655">
        <v>22833</v>
      </c>
      <c r="AE765" s="655">
        <v>5498592</v>
      </c>
      <c r="AF765" s="655">
        <v>28647</v>
      </c>
      <c r="AG765" s="655">
        <v>292462</v>
      </c>
      <c r="AH765" s="655">
        <v>0</v>
      </c>
      <c r="AI765" s="655">
        <v>926925</v>
      </c>
      <c r="AJ765" s="655">
        <v>1746309</v>
      </c>
      <c r="AK765" s="655">
        <v>8492935</v>
      </c>
      <c r="AL765" s="655">
        <v>6569787</v>
      </c>
      <c r="AM765" s="655">
        <v>1923148</v>
      </c>
    </row>
    <row r="766" spans="1:39" x14ac:dyDescent="0.2">
      <c r="A766" s="648">
        <v>2015</v>
      </c>
      <c r="B766" s="648">
        <v>7</v>
      </c>
      <c r="C766" s="657" t="s">
        <v>173</v>
      </c>
      <c r="D766" s="648">
        <v>1963</v>
      </c>
      <c r="E766" s="648" t="s">
        <v>1098</v>
      </c>
      <c r="F766" s="655">
        <v>3566870</v>
      </c>
      <c r="G766" s="655">
        <v>0</v>
      </c>
      <c r="H766" s="655">
        <v>62966</v>
      </c>
      <c r="I766" s="655">
        <v>671231</v>
      </c>
      <c r="J766" s="655">
        <v>340371</v>
      </c>
      <c r="K766" s="655">
        <v>33881</v>
      </c>
      <c r="L766" s="655">
        <v>35534</v>
      </c>
      <c r="M766" s="655">
        <v>0</v>
      </c>
      <c r="N766" s="655">
        <v>188538</v>
      </c>
      <c r="O766" s="655">
        <v>0</v>
      </c>
      <c r="P766" s="655">
        <v>29600</v>
      </c>
      <c r="Q766" s="655">
        <v>33069</v>
      </c>
      <c r="R766" s="655">
        <v>0</v>
      </c>
      <c r="S766" s="655">
        <v>24067</v>
      </c>
      <c r="T766" s="655">
        <v>2763</v>
      </c>
      <c r="U766" s="655">
        <v>117707</v>
      </c>
      <c r="V766" s="655">
        <v>0</v>
      </c>
      <c r="W766" s="655">
        <v>110839</v>
      </c>
      <c r="X766" s="655">
        <v>0</v>
      </c>
      <c r="Y766" s="655">
        <v>103329</v>
      </c>
      <c r="Z766" s="655">
        <v>0</v>
      </c>
      <c r="AA766" s="655">
        <v>0</v>
      </c>
      <c r="AB766" s="655">
        <v>0</v>
      </c>
      <c r="AC766" s="655">
        <v>8814</v>
      </c>
      <c r="AD766" s="655">
        <v>28849</v>
      </c>
      <c r="AE766" s="655">
        <v>5094072</v>
      </c>
      <c r="AF766" s="655">
        <v>95490</v>
      </c>
      <c r="AG766" s="655">
        <v>271903</v>
      </c>
      <c r="AH766" s="655">
        <v>0</v>
      </c>
      <c r="AI766" s="655">
        <v>968011</v>
      </c>
      <c r="AJ766" s="655">
        <v>1033846</v>
      </c>
      <c r="AK766" s="655">
        <v>7463322</v>
      </c>
      <c r="AL766" s="655">
        <v>6380574</v>
      </c>
      <c r="AM766" s="655">
        <v>1082748</v>
      </c>
    </row>
    <row r="767" spans="1:39" x14ac:dyDescent="0.2">
      <c r="A767" s="648">
        <v>2015</v>
      </c>
      <c r="B767" s="648">
        <v>9</v>
      </c>
      <c r="C767" s="657" t="s">
        <v>174</v>
      </c>
      <c r="D767" s="648">
        <v>1965</v>
      </c>
      <c r="E767" s="648" t="s">
        <v>1524</v>
      </c>
      <c r="F767" s="655">
        <v>4169730</v>
      </c>
      <c r="G767" s="655">
        <v>0</v>
      </c>
      <c r="H767" s="655">
        <v>114200</v>
      </c>
      <c r="I767" s="655">
        <v>647804</v>
      </c>
      <c r="J767" s="655">
        <v>366846</v>
      </c>
      <c r="K767" s="655">
        <v>40178</v>
      </c>
      <c r="L767" s="655">
        <v>36883</v>
      </c>
      <c r="M767" s="655">
        <v>0</v>
      </c>
      <c r="N767" s="655">
        <v>212528</v>
      </c>
      <c r="O767" s="655">
        <v>6749</v>
      </c>
      <c r="P767" s="655">
        <v>34254</v>
      </c>
      <c r="Q767" s="655">
        <v>37363</v>
      </c>
      <c r="R767" s="655">
        <v>0</v>
      </c>
      <c r="S767" s="655">
        <v>19085</v>
      </c>
      <c r="T767" s="655">
        <v>2240</v>
      </c>
      <c r="U767" s="655">
        <v>0</v>
      </c>
      <c r="V767" s="655">
        <v>0</v>
      </c>
      <c r="W767" s="655">
        <v>122420</v>
      </c>
      <c r="X767" s="655">
        <v>258522</v>
      </c>
      <c r="Y767" s="655">
        <v>0</v>
      </c>
      <c r="Z767" s="655">
        <v>0</v>
      </c>
      <c r="AA767" s="655">
        <v>0</v>
      </c>
      <c r="AB767" s="655">
        <v>0</v>
      </c>
      <c r="AC767" s="655">
        <v>0</v>
      </c>
      <c r="AD767" s="655">
        <v>35711</v>
      </c>
      <c r="AE767" s="655">
        <v>6033091</v>
      </c>
      <c r="AF767" s="655">
        <v>95490</v>
      </c>
      <c r="AG767" s="655">
        <v>322320</v>
      </c>
      <c r="AH767" s="655">
        <v>0</v>
      </c>
      <c r="AI767" s="655">
        <v>467419</v>
      </c>
      <c r="AJ767" s="655">
        <v>1705547</v>
      </c>
      <c r="AK767" s="655">
        <v>8623867</v>
      </c>
      <c r="AL767" s="655">
        <v>6968888</v>
      </c>
      <c r="AM767" s="655">
        <v>1654979</v>
      </c>
    </row>
    <row r="768" spans="1:39" x14ac:dyDescent="0.2">
      <c r="A768" s="648">
        <v>2015</v>
      </c>
      <c r="B768" s="648">
        <v>13</v>
      </c>
      <c r="C768" s="657" t="s">
        <v>175</v>
      </c>
      <c r="D768" s="648">
        <v>1970</v>
      </c>
      <c r="E768" s="648" t="s">
        <v>1099</v>
      </c>
      <c r="F768" s="655">
        <v>3295962</v>
      </c>
      <c r="G768" s="655">
        <v>0</v>
      </c>
      <c r="H768" s="655">
        <v>109691</v>
      </c>
      <c r="I768" s="655">
        <v>260904</v>
      </c>
      <c r="J768" s="655">
        <v>293996</v>
      </c>
      <c r="K768" s="655">
        <v>28240</v>
      </c>
      <c r="L768" s="655">
        <v>35461</v>
      </c>
      <c r="M768" s="655">
        <v>0</v>
      </c>
      <c r="N768" s="655">
        <v>155790</v>
      </c>
      <c r="O768" s="655">
        <v>0</v>
      </c>
      <c r="P768" s="655">
        <v>27191</v>
      </c>
      <c r="Q768" s="655">
        <v>30072</v>
      </c>
      <c r="R768" s="655">
        <v>0</v>
      </c>
      <c r="S768" s="655">
        <v>15998</v>
      </c>
      <c r="T768" s="655">
        <v>1698</v>
      </c>
      <c r="U768" s="655">
        <v>164798</v>
      </c>
      <c r="V768" s="655">
        <v>0</v>
      </c>
      <c r="W768" s="655">
        <v>161029</v>
      </c>
      <c r="X768" s="655">
        <v>297748</v>
      </c>
      <c r="Y768" s="655">
        <v>0</v>
      </c>
      <c r="Z768" s="655">
        <v>0</v>
      </c>
      <c r="AA768" s="655">
        <v>0</v>
      </c>
      <c r="AB768" s="655">
        <v>0</v>
      </c>
      <c r="AC768" s="655">
        <v>-6145</v>
      </c>
      <c r="AD768" s="655">
        <v>25766</v>
      </c>
      <c r="AE768" s="655">
        <v>4846667</v>
      </c>
      <c r="AF768" s="655">
        <v>101856</v>
      </c>
      <c r="AG768" s="655">
        <v>238496</v>
      </c>
      <c r="AH768" s="655">
        <v>0</v>
      </c>
      <c r="AI768" s="655">
        <v>989148</v>
      </c>
      <c r="AJ768" s="655">
        <v>488268</v>
      </c>
      <c r="AK768" s="655">
        <v>6664435</v>
      </c>
      <c r="AL768" s="655">
        <v>6111053</v>
      </c>
      <c r="AM768" s="655">
        <v>553382</v>
      </c>
    </row>
    <row r="769" spans="1:39" x14ac:dyDescent="0.2">
      <c r="A769" s="648">
        <v>2015</v>
      </c>
      <c r="B769" s="648">
        <v>1</v>
      </c>
      <c r="C769" s="657" t="s">
        <v>176</v>
      </c>
      <c r="D769" s="648">
        <v>1972</v>
      </c>
      <c r="E769" s="648" t="s">
        <v>1100</v>
      </c>
      <c r="F769" s="655">
        <v>2317224</v>
      </c>
      <c r="G769" s="655">
        <v>13469</v>
      </c>
      <c r="H769" s="655">
        <v>169170</v>
      </c>
      <c r="I769" s="655">
        <v>186524</v>
      </c>
      <c r="J769" s="655">
        <v>226762</v>
      </c>
      <c r="K769" s="655">
        <v>21334</v>
      </c>
      <c r="L769" s="655">
        <v>26099</v>
      </c>
      <c r="M769" s="655">
        <v>0</v>
      </c>
      <c r="N769" s="655">
        <v>115662</v>
      </c>
      <c r="O769" s="655">
        <v>12565</v>
      </c>
      <c r="P769" s="655">
        <v>19164</v>
      </c>
      <c r="Q769" s="655">
        <v>21389</v>
      </c>
      <c r="R769" s="655">
        <v>0</v>
      </c>
      <c r="S769" s="655">
        <v>11428</v>
      </c>
      <c r="T769" s="655">
        <v>1216</v>
      </c>
      <c r="U769" s="655">
        <v>74284</v>
      </c>
      <c r="V769" s="655">
        <v>0</v>
      </c>
      <c r="W769" s="655">
        <v>6121</v>
      </c>
      <c r="X769" s="655">
        <v>0</v>
      </c>
      <c r="Y769" s="655">
        <v>0</v>
      </c>
      <c r="Z769" s="655">
        <v>0</v>
      </c>
      <c r="AA769" s="655">
        <v>0</v>
      </c>
      <c r="AB769" s="655">
        <v>0</v>
      </c>
      <c r="AC769" s="655">
        <v>0</v>
      </c>
      <c r="AD769" s="655">
        <v>23749</v>
      </c>
      <c r="AE769" s="655">
        <v>3198662</v>
      </c>
      <c r="AF769" s="655">
        <v>50928</v>
      </c>
      <c r="AG769" s="655">
        <v>199857</v>
      </c>
      <c r="AH769" s="655">
        <v>0</v>
      </c>
      <c r="AI769" s="655">
        <v>398429</v>
      </c>
      <c r="AJ769" s="655">
        <v>1723712</v>
      </c>
      <c r="AK769" s="655">
        <v>5571588</v>
      </c>
      <c r="AL769" s="655">
        <v>3979007</v>
      </c>
      <c r="AM769" s="655">
        <v>1592581</v>
      </c>
    </row>
    <row r="770" spans="1:39" x14ac:dyDescent="0.2">
      <c r="A770" s="648">
        <v>2015</v>
      </c>
      <c r="B770" s="648">
        <v>12</v>
      </c>
      <c r="C770" s="657" t="s">
        <v>177</v>
      </c>
      <c r="D770" s="648">
        <v>1975</v>
      </c>
      <c r="E770" s="648" t="s">
        <v>1101</v>
      </c>
      <c r="F770" s="655">
        <v>2690250</v>
      </c>
      <c r="G770" s="655">
        <v>0</v>
      </c>
      <c r="H770" s="655">
        <v>49317</v>
      </c>
      <c r="I770" s="655">
        <v>258634</v>
      </c>
      <c r="J770" s="655">
        <v>253069</v>
      </c>
      <c r="K770" s="655">
        <v>27573</v>
      </c>
      <c r="L770" s="655">
        <v>31080</v>
      </c>
      <c r="M770" s="655">
        <v>0</v>
      </c>
      <c r="N770" s="655">
        <v>132508</v>
      </c>
      <c r="O770" s="655">
        <v>1386</v>
      </c>
      <c r="P770" s="655">
        <v>22100</v>
      </c>
      <c r="Q770" s="655">
        <v>24818</v>
      </c>
      <c r="R770" s="655">
        <v>0</v>
      </c>
      <c r="S770" s="655">
        <v>13304</v>
      </c>
      <c r="T770" s="655">
        <v>1591</v>
      </c>
      <c r="U770" s="655">
        <v>71576</v>
      </c>
      <c r="V770" s="655">
        <v>0</v>
      </c>
      <c r="W770" s="655">
        <v>44250</v>
      </c>
      <c r="X770" s="655">
        <v>96295</v>
      </c>
      <c r="Y770" s="655">
        <v>0</v>
      </c>
      <c r="Z770" s="655">
        <v>0</v>
      </c>
      <c r="AA770" s="655">
        <v>0</v>
      </c>
      <c r="AB770" s="655">
        <v>0</v>
      </c>
      <c r="AC770" s="655">
        <v>6130</v>
      </c>
      <c r="AD770" s="655">
        <v>24876</v>
      </c>
      <c r="AE770" s="655">
        <v>3699005</v>
      </c>
      <c r="AF770" s="655">
        <v>76392</v>
      </c>
      <c r="AG770" s="655">
        <v>224286</v>
      </c>
      <c r="AH770" s="655">
        <v>0</v>
      </c>
      <c r="AI770" s="655">
        <v>689976</v>
      </c>
      <c r="AJ770" s="655">
        <v>1173333</v>
      </c>
      <c r="AK770" s="655">
        <v>5862992</v>
      </c>
      <c r="AL770" s="655">
        <v>4711860</v>
      </c>
      <c r="AM770" s="655">
        <v>1151132</v>
      </c>
    </row>
    <row r="771" spans="1:39" x14ac:dyDescent="0.2">
      <c r="A771" s="648">
        <v>2015</v>
      </c>
      <c r="B771" s="648">
        <v>1</v>
      </c>
      <c r="C771" s="657" t="s">
        <v>178</v>
      </c>
      <c r="D771" s="648">
        <v>1989</v>
      </c>
      <c r="E771" s="648" t="s">
        <v>1102</v>
      </c>
      <c r="F771" s="655">
        <v>2635524</v>
      </c>
      <c r="G771" s="655">
        <v>23444</v>
      </c>
      <c r="H771" s="655">
        <v>56505</v>
      </c>
      <c r="I771" s="655">
        <v>187288</v>
      </c>
      <c r="J771" s="655">
        <v>251101</v>
      </c>
      <c r="K771" s="655">
        <v>27982</v>
      </c>
      <c r="L771" s="655">
        <v>29999</v>
      </c>
      <c r="M771" s="655">
        <v>0</v>
      </c>
      <c r="N771" s="655">
        <v>130401</v>
      </c>
      <c r="O771" s="655">
        <v>13118</v>
      </c>
      <c r="P771" s="655">
        <v>22777</v>
      </c>
      <c r="Q771" s="655">
        <v>25421</v>
      </c>
      <c r="R771" s="655">
        <v>0</v>
      </c>
      <c r="S771" s="655">
        <v>13075</v>
      </c>
      <c r="T771" s="655">
        <v>1391</v>
      </c>
      <c r="U771" s="655">
        <v>0</v>
      </c>
      <c r="V771" s="655">
        <v>0</v>
      </c>
      <c r="W771" s="655">
        <v>30605</v>
      </c>
      <c r="X771" s="655">
        <v>0</v>
      </c>
      <c r="Y771" s="655">
        <v>865</v>
      </c>
      <c r="Z771" s="655">
        <v>0</v>
      </c>
      <c r="AA771" s="655">
        <v>0</v>
      </c>
      <c r="AB771" s="655">
        <v>0</v>
      </c>
      <c r="AC771" s="655">
        <v>0</v>
      </c>
      <c r="AD771" s="655">
        <v>27107</v>
      </c>
      <c r="AE771" s="655">
        <v>3420659</v>
      </c>
      <c r="AF771" s="655">
        <v>85941</v>
      </c>
      <c r="AG771" s="655">
        <v>206629</v>
      </c>
      <c r="AH771" s="655">
        <v>0</v>
      </c>
      <c r="AI771" s="655">
        <v>1535577</v>
      </c>
      <c r="AJ771" s="655">
        <v>2217507</v>
      </c>
      <c r="AK771" s="655">
        <v>7466313</v>
      </c>
      <c r="AL771" s="655">
        <v>5516877</v>
      </c>
      <c r="AM771" s="655">
        <v>1949436</v>
      </c>
    </row>
    <row r="772" spans="1:39" x14ac:dyDescent="0.2">
      <c r="A772" s="648">
        <v>2015</v>
      </c>
      <c r="B772" s="648">
        <v>7</v>
      </c>
      <c r="C772" s="657" t="s">
        <v>179</v>
      </c>
      <c r="D772" s="648">
        <v>2007</v>
      </c>
      <c r="E772" s="648" t="s">
        <v>1103</v>
      </c>
      <c r="F772" s="655">
        <v>4016946</v>
      </c>
      <c r="G772" s="655">
        <v>0</v>
      </c>
      <c r="H772" s="655">
        <v>93459</v>
      </c>
      <c r="I772" s="655">
        <v>960247</v>
      </c>
      <c r="J772" s="655">
        <v>364428</v>
      </c>
      <c r="K772" s="655">
        <v>42492</v>
      </c>
      <c r="L772" s="655">
        <v>41999</v>
      </c>
      <c r="M772" s="655">
        <v>0</v>
      </c>
      <c r="N772" s="655">
        <v>221417</v>
      </c>
      <c r="O772" s="655">
        <v>44</v>
      </c>
      <c r="P772" s="655">
        <v>33425</v>
      </c>
      <c r="Q772" s="655">
        <v>37342</v>
      </c>
      <c r="R772" s="655">
        <v>0</v>
      </c>
      <c r="S772" s="655">
        <v>28490</v>
      </c>
      <c r="T772" s="655">
        <v>3268</v>
      </c>
      <c r="U772" s="655">
        <v>193118</v>
      </c>
      <c r="V772" s="655">
        <v>9889</v>
      </c>
      <c r="W772" s="655">
        <v>63660</v>
      </c>
      <c r="X772" s="655">
        <v>139296</v>
      </c>
      <c r="Y772" s="655">
        <v>0</v>
      </c>
      <c r="Z772" s="655">
        <v>0</v>
      </c>
      <c r="AA772" s="655">
        <v>0</v>
      </c>
      <c r="AB772" s="655">
        <v>0</v>
      </c>
      <c r="AC772" s="655">
        <v>3673</v>
      </c>
      <c r="AD772" s="655">
        <v>31253</v>
      </c>
      <c r="AE772" s="655">
        <v>6221940</v>
      </c>
      <c r="AF772" s="655">
        <v>152784</v>
      </c>
      <c r="AG772" s="655">
        <v>292394</v>
      </c>
      <c r="AH772" s="655">
        <v>0</v>
      </c>
      <c r="AI772" s="655">
        <v>1653174</v>
      </c>
      <c r="AJ772" s="655">
        <v>513336</v>
      </c>
      <c r="AK772" s="655">
        <v>8833628</v>
      </c>
      <c r="AL772" s="655">
        <v>8118573</v>
      </c>
      <c r="AM772" s="655">
        <v>715055</v>
      </c>
    </row>
    <row r="773" spans="1:39" x14ac:dyDescent="0.2">
      <c r="A773" s="648">
        <v>2015</v>
      </c>
      <c r="B773" s="648">
        <v>5</v>
      </c>
      <c r="C773" s="657" t="s">
        <v>180</v>
      </c>
      <c r="D773" s="648">
        <v>2088</v>
      </c>
      <c r="E773" s="648" t="s">
        <v>1104</v>
      </c>
      <c r="F773" s="655">
        <v>4339843</v>
      </c>
      <c r="G773" s="655">
        <v>0</v>
      </c>
      <c r="H773" s="655">
        <v>85343</v>
      </c>
      <c r="I773" s="655">
        <v>650847</v>
      </c>
      <c r="J773" s="655">
        <v>367338</v>
      </c>
      <c r="K773" s="655">
        <v>43024</v>
      </c>
      <c r="L773" s="655">
        <v>43947</v>
      </c>
      <c r="M773" s="655">
        <v>0</v>
      </c>
      <c r="N773" s="655">
        <v>222908</v>
      </c>
      <c r="O773" s="655">
        <v>0</v>
      </c>
      <c r="P773" s="655">
        <v>39645</v>
      </c>
      <c r="Q773" s="655">
        <v>44536</v>
      </c>
      <c r="R773" s="655">
        <v>681</v>
      </c>
      <c r="S773" s="655">
        <v>23750</v>
      </c>
      <c r="T773" s="655">
        <v>2830</v>
      </c>
      <c r="U773" s="655">
        <v>143304</v>
      </c>
      <c r="V773" s="655">
        <v>0</v>
      </c>
      <c r="W773" s="655">
        <v>51823</v>
      </c>
      <c r="X773" s="655">
        <v>0</v>
      </c>
      <c r="Y773" s="655">
        <v>32250</v>
      </c>
      <c r="Z773" s="655">
        <v>0</v>
      </c>
      <c r="AA773" s="655">
        <v>0</v>
      </c>
      <c r="AB773" s="655">
        <v>0</v>
      </c>
      <c r="AC773" s="655">
        <v>-125</v>
      </c>
      <c r="AD773" s="655">
        <v>39116</v>
      </c>
      <c r="AE773" s="655">
        <v>5988328</v>
      </c>
      <c r="AF773" s="655">
        <v>149479</v>
      </c>
      <c r="AG773" s="655">
        <v>366066</v>
      </c>
      <c r="AH773" s="655">
        <v>0</v>
      </c>
      <c r="AI773" s="655">
        <v>1310966</v>
      </c>
      <c r="AJ773" s="655">
        <v>1704323</v>
      </c>
      <c r="AK773" s="655">
        <v>9519162</v>
      </c>
      <c r="AL773" s="655">
        <v>7731414</v>
      </c>
      <c r="AM773" s="655">
        <v>1787748</v>
      </c>
    </row>
    <row r="774" spans="1:39" x14ac:dyDescent="0.2">
      <c r="A774" s="648">
        <v>2015</v>
      </c>
      <c r="B774" s="648">
        <v>10</v>
      </c>
      <c r="C774" s="657" t="s">
        <v>181</v>
      </c>
      <c r="D774" s="648">
        <v>2097</v>
      </c>
      <c r="E774" s="648" t="s">
        <v>2008</v>
      </c>
      <c r="F774" s="655">
        <v>2954213</v>
      </c>
      <c r="G774" s="655">
        <v>0</v>
      </c>
      <c r="H774" s="655">
        <v>102734</v>
      </c>
      <c r="I774" s="655">
        <v>344744</v>
      </c>
      <c r="J774" s="655">
        <v>297633</v>
      </c>
      <c r="K774" s="655">
        <v>31286</v>
      </c>
      <c r="L774" s="655">
        <v>31992</v>
      </c>
      <c r="M774" s="655">
        <v>0</v>
      </c>
      <c r="N774" s="655">
        <v>142902</v>
      </c>
      <c r="O774" s="655">
        <v>32284</v>
      </c>
      <c r="P774" s="655">
        <v>24269</v>
      </c>
      <c r="Q774" s="655">
        <v>26660</v>
      </c>
      <c r="R774" s="655">
        <v>0</v>
      </c>
      <c r="S774" s="655">
        <v>13305</v>
      </c>
      <c r="T774" s="655">
        <v>1547</v>
      </c>
      <c r="U774" s="655">
        <v>147711</v>
      </c>
      <c r="V774" s="655">
        <v>0</v>
      </c>
      <c r="W774" s="655">
        <v>29381</v>
      </c>
      <c r="X774" s="655">
        <v>205620</v>
      </c>
      <c r="Y774" s="655">
        <v>0</v>
      </c>
      <c r="Z774" s="655">
        <v>0</v>
      </c>
      <c r="AA774" s="655">
        <v>0</v>
      </c>
      <c r="AB774" s="655">
        <v>0</v>
      </c>
      <c r="AC774" s="655">
        <v>0</v>
      </c>
      <c r="AD774" s="655">
        <v>31450</v>
      </c>
      <c r="AE774" s="655">
        <v>4354831</v>
      </c>
      <c r="AF774" s="655">
        <v>92307</v>
      </c>
      <c r="AG774" s="655">
        <v>236987</v>
      </c>
      <c r="AH774" s="655">
        <v>0</v>
      </c>
      <c r="AI774" s="655">
        <v>689978</v>
      </c>
      <c r="AJ774" s="655">
        <v>2187339</v>
      </c>
      <c r="AK774" s="655">
        <v>7561442</v>
      </c>
      <c r="AL774" s="655">
        <v>5913746</v>
      </c>
      <c r="AM774" s="655">
        <v>1647696</v>
      </c>
    </row>
    <row r="775" spans="1:39" x14ac:dyDescent="0.2">
      <c r="A775" s="648">
        <v>2015</v>
      </c>
      <c r="B775" s="648">
        <v>13</v>
      </c>
      <c r="C775" s="657" t="s">
        <v>182</v>
      </c>
      <c r="D775" s="648">
        <v>2113</v>
      </c>
      <c r="E775" s="648" t="s">
        <v>1105</v>
      </c>
      <c r="F775" s="655">
        <v>1507469</v>
      </c>
      <c r="G775" s="655">
        <v>0</v>
      </c>
      <c r="H775" s="655">
        <v>150212</v>
      </c>
      <c r="I775" s="655">
        <v>155776</v>
      </c>
      <c r="J775" s="655">
        <v>149468</v>
      </c>
      <c r="K775" s="655">
        <v>14369</v>
      </c>
      <c r="L775" s="655">
        <v>21504</v>
      </c>
      <c r="M775" s="655">
        <v>0</v>
      </c>
      <c r="N775" s="655">
        <v>73124</v>
      </c>
      <c r="O775" s="655">
        <v>21</v>
      </c>
      <c r="P775" s="655">
        <v>12502</v>
      </c>
      <c r="Q775" s="655">
        <v>13826</v>
      </c>
      <c r="R775" s="655">
        <v>0</v>
      </c>
      <c r="S775" s="655">
        <v>7509</v>
      </c>
      <c r="T775" s="655">
        <v>797</v>
      </c>
      <c r="U775" s="655">
        <v>75373</v>
      </c>
      <c r="V775" s="655">
        <v>0</v>
      </c>
      <c r="W775" s="655">
        <v>36726</v>
      </c>
      <c r="X775" s="655">
        <v>92879</v>
      </c>
      <c r="Y775" s="655">
        <v>0</v>
      </c>
      <c r="Z775" s="655">
        <v>0</v>
      </c>
      <c r="AA775" s="655">
        <v>0</v>
      </c>
      <c r="AB775" s="655">
        <v>0</v>
      </c>
      <c r="AC775" s="655">
        <v>-612</v>
      </c>
      <c r="AD775" s="655">
        <v>12000</v>
      </c>
      <c r="AE775" s="655">
        <v>2298943</v>
      </c>
      <c r="AF775" s="655">
        <v>44562</v>
      </c>
      <c r="AG775" s="655">
        <v>118306</v>
      </c>
      <c r="AH775" s="655">
        <v>0</v>
      </c>
      <c r="AI775" s="655">
        <v>463313</v>
      </c>
      <c r="AJ775" s="655">
        <v>450756</v>
      </c>
      <c r="AK775" s="655">
        <v>3375880</v>
      </c>
      <c r="AL775" s="655">
        <v>2768458</v>
      </c>
      <c r="AM775" s="655">
        <v>607422</v>
      </c>
    </row>
    <row r="776" spans="1:39" x14ac:dyDescent="0.2">
      <c r="A776" s="648">
        <v>2015</v>
      </c>
      <c r="B776" s="648">
        <v>5</v>
      </c>
      <c r="C776" s="657" t="s">
        <v>183</v>
      </c>
      <c r="D776" s="648">
        <v>2124</v>
      </c>
      <c r="E776" s="648" t="s">
        <v>1106</v>
      </c>
      <c r="F776" s="655">
        <v>8789491</v>
      </c>
      <c r="G776" s="655">
        <v>0</v>
      </c>
      <c r="H776" s="655">
        <v>145983</v>
      </c>
      <c r="I776" s="655">
        <v>1113433</v>
      </c>
      <c r="J776" s="655">
        <v>764275</v>
      </c>
      <c r="K776" s="655">
        <v>85568</v>
      </c>
      <c r="L776" s="655">
        <v>97464</v>
      </c>
      <c r="M776" s="655">
        <v>0</v>
      </c>
      <c r="N776" s="655">
        <v>449587</v>
      </c>
      <c r="O776" s="655">
        <v>0</v>
      </c>
      <c r="P776" s="655">
        <v>72262</v>
      </c>
      <c r="Q776" s="655">
        <v>81178</v>
      </c>
      <c r="R776" s="655">
        <v>1371</v>
      </c>
      <c r="S776" s="655">
        <v>47901</v>
      </c>
      <c r="T776" s="655">
        <v>5708</v>
      </c>
      <c r="U776" s="655">
        <v>334001</v>
      </c>
      <c r="V776" s="655">
        <v>0</v>
      </c>
      <c r="W776" s="655">
        <v>114146</v>
      </c>
      <c r="X776" s="655">
        <v>414433</v>
      </c>
      <c r="Y776" s="655">
        <v>0</v>
      </c>
      <c r="Z776" s="655">
        <v>0</v>
      </c>
      <c r="AA776" s="655">
        <v>0</v>
      </c>
      <c r="AB776" s="655">
        <v>0</v>
      </c>
      <c r="AC776" s="655">
        <v>0</v>
      </c>
      <c r="AD776" s="655">
        <v>70397</v>
      </c>
      <c r="AE776" s="655">
        <v>12446404</v>
      </c>
      <c r="AF776" s="655">
        <v>232359</v>
      </c>
      <c r="AG776" s="655">
        <v>604365</v>
      </c>
      <c r="AH776" s="655">
        <v>0</v>
      </c>
      <c r="AI776" s="655">
        <v>1137871</v>
      </c>
      <c r="AJ776" s="655">
        <v>2252727</v>
      </c>
      <c r="AK776" s="655">
        <v>16673726</v>
      </c>
      <c r="AL776" s="655">
        <v>14033806</v>
      </c>
      <c r="AM776" s="655">
        <v>2639920</v>
      </c>
    </row>
    <row r="777" spans="1:39" x14ac:dyDescent="0.2">
      <c r="A777" s="648">
        <v>2015</v>
      </c>
      <c r="B777" s="648">
        <v>11</v>
      </c>
      <c r="C777" s="657" t="s">
        <v>184</v>
      </c>
      <c r="D777" s="648">
        <v>2151</v>
      </c>
      <c r="E777" s="648" t="s">
        <v>1637</v>
      </c>
      <c r="F777" s="655">
        <v>2814135</v>
      </c>
      <c r="G777" s="655">
        <v>0</v>
      </c>
      <c r="H777" s="655">
        <v>326454</v>
      </c>
      <c r="I777" s="655">
        <v>366360</v>
      </c>
      <c r="J777" s="655">
        <v>277317</v>
      </c>
      <c r="K777" s="655">
        <v>29123</v>
      </c>
      <c r="L777" s="655">
        <v>27696</v>
      </c>
      <c r="M777" s="655">
        <v>0</v>
      </c>
      <c r="N777" s="655">
        <v>134034</v>
      </c>
      <c r="O777" s="655">
        <v>21497</v>
      </c>
      <c r="P777" s="655">
        <v>22655</v>
      </c>
      <c r="Q777" s="655">
        <v>24865</v>
      </c>
      <c r="R777" s="655">
        <v>0</v>
      </c>
      <c r="S777" s="655">
        <v>12159</v>
      </c>
      <c r="T777" s="655">
        <v>1405</v>
      </c>
      <c r="U777" s="655">
        <v>90526</v>
      </c>
      <c r="V777" s="655">
        <v>0</v>
      </c>
      <c r="W777" s="655">
        <v>89367</v>
      </c>
      <c r="X777" s="655">
        <v>0</v>
      </c>
      <c r="Y777" s="655">
        <v>0</v>
      </c>
      <c r="Z777" s="655">
        <v>0</v>
      </c>
      <c r="AA777" s="655">
        <v>0</v>
      </c>
      <c r="AB777" s="655">
        <v>0</v>
      </c>
      <c r="AC777" s="655">
        <v>0</v>
      </c>
      <c r="AD777" s="655">
        <v>29687</v>
      </c>
      <c r="AE777" s="655">
        <v>4207906</v>
      </c>
      <c r="AF777" s="655">
        <v>57294</v>
      </c>
      <c r="AG777" s="655">
        <v>232167</v>
      </c>
      <c r="AH777" s="655">
        <v>0</v>
      </c>
      <c r="AI777" s="655">
        <v>425646</v>
      </c>
      <c r="AJ777" s="655">
        <v>769230</v>
      </c>
      <c r="AK777" s="655">
        <v>5692243</v>
      </c>
      <c r="AL777" s="655">
        <v>4733586</v>
      </c>
      <c r="AM777" s="655">
        <v>958657</v>
      </c>
    </row>
    <row r="778" spans="1:39" x14ac:dyDescent="0.2">
      <c r="A778" s="648">
        <v>2015</v>
      </c>
      <c r="B778" s="648">
        <v>15</v>
      </c>
      <c r="C778" s="657" t="s">
        <v>185</v>
      </c>
      <c r="D778" s="648">
        <v>2169</v>
      </c>
      <c r="E778" s="648" t="s">
        <v>1107</v>
      </c>
      <c r="F778" s="655">
        <v>10568833</v>
      </c>
      <c r="G778" s="655">
        <v>0</v>
      </c>
      <c r="H778" s="655">
        <v>215527</v>
      </c>
      <c r="I778" s="655">
        <v>1645420</v>
      </c>
      <c r="J778" s="655">
        <v>938743</v>
      </c>
      <c r="K778" s="655">
        <v>97786</v>
      </c>
      <c r="L778" s="655">
        <v>107382</v>
      </c>
      <c r="M778" s="655">
        <v>0</v>
      </c>
      <c r="N778" s="655">
        <v>531932</v>
      </c>
      <c r="O778" s="655">
        <v>0</v>
      </c>
      <c r="P778" s="655">
        <v>94385</v>
      </c>
      <c r="Q778" s="655">
        <v>103667</v>
      </c>
      <c r="R778" s="655">
        <v>1436</v>
      </c>
      <c r="S778" s="655">
        <v>53243</v>
      </c>
      <c r="T778" s="655">
        <v>5756</v>
      </c>
      <c r="U778" s="655">
        <v>102929</v>
      </c>
      <c r="V778" s="655">
        <v>0</v>
      </c>
      <c r="W778" s="655">
        <v>86845</v>
      </c>
      <c r="X778" s="655">
        <v>273434</v>
      </c>
      <c r="Y778" s="655">
        <v>0</v>
      </c>
      <c r="Z778" s="655">
        <v>0</v>
      </c>
      <c r="AA778" s="655">
        <v>0</v>
      </c>
      <c r="AB778" s="655">
        <v>0</v>
      </c>
      <c r="AC778" s="655">
        <v>0</v>
      </c>
      <c r="AD778" s="655">
        <v>91881</v>
      </c>
      <c r="AE778" s="655">
        <v>14735437</v>
      </c>
      <c r="AF778" s="655">
        <v>101856</v>
      </c>
      <c r="AG778" s="655">
        <v>849523</v>
      </c>
      <c r="AH778" s="655">
        <v>0</v>
      </c>
      <c r="AI778" s="655">
        <v>2264929</v>
      </c>
      <c r="AJ778" s="655">
        <v>913100</v>
      </c>
      <c r="AK778" s="655">
        <v>18864845</v>
      </c>
      <c r="AL778" s="655">
        <v>18363180</v>
      </c>
      <c r="AM778" s="655">
        <v>501665</v>
      </c>
    </row>
    <row r="779" spans="1:39" x14ac:dyDescent="0.2">
      <c r="A779" s="648">
        <v>2015</v>
      </c>
      <c r="B779" s="648">
        <v>7</v>
      </c>
      <c r="C779" s="657" t="s">
        <v>187</v>
      </c>
      <c r="D779" s="648">
        <v>2295</v>
      </c>
      <c r="E779" s="648" t="s">
        <v>1109</v>
      </c>
      <c r="F779" s="655">
        <v>7044714</v>
      </c>
      <c r="G779" s="655">
        <v>0</v>
      </c>
      <c r="H779" s="655">
        <v>687742</v>
      </c>
      <c r="I779" s="655">
        <v>1114829</v>
      </c>
      <c r="J779" s="655">
        <v>644172</v>
      </c>
      <c r="K779" s="655">
        <v>75101</v>
      </c>
      <c r="L779" s="655">
        <v>72116</v>
      </c>
      <c r="M779" s="655">
        <v>0</v>
      </c>
      <c r="N779" s="655">
        <v>362589</v>
      </c>
      <c r="O779" s="655">
        <v>58180</v>
      </c>
      <c r="P779" s="655">
        <v>57891</v>
      </c>
      <c r="Q779" s="655">
        <v>64676</v>
      </c>
      <c r="R779" s="655">
        <v>0</v>
      </c>
      <c r="S779" s="655">
        <v>46284</v>
      </c>
      <c r="T779" s="655">
        <v>5313</v>
      </c>
      <c r="U779" s="655">
        <v>311627</v>
      </c>
      <c r="V779" s="655">
        <v>0</v>
      </c>
      <c r="W779" s="655">
        <v>87096</v>
      </c>
      <c r="X779" s="655">
        <v>600145</v>
      </c>
      <c r="Y779" s="655">
        <v>0</v>
      </c>
      <c r="Z779" s="655">
        <v>0</v>
      </c>
      <c r="AA779" s="655">
        <v>0</v>
      </c>
      <c r="AB779" s="655">
        <v>0</v>
      </c>
      <c r="AC779" s="655">
        <v>-797</v>
      </c>
      <c r="AD779" s="655">
        <v>73519</v>
      </c>
      <c r="AE779" s="655">
        <v>11158159</v>
      </c>
      <c r="AF779" s="655">
        <v>197346</v>
      </c>
      <c r="AG779" s="655">
        <v>552235</v>
      </c>
      <c r="AH779" s="655">
        <v>0</v>
      </c>
      <c r="AI779" s="655">
        <v>1573603</v>
      </c>
      <c r="AJ779" s="655">
        <v>1866962</v>
      </c>
      <c r="AK779" s="655">
        <v>15348305</v>
      </c>
      <c r="AL779" s="655">
        <v>13287483</v>
      </c>
      <c r="AM779" s="655">
        <v>2060822</v>
      </c>
    </row>
    <row r="780" spans="1:39" x14ac:dyDescent="0.2">
      <c r="A780" s="648">
        <v>2015</v>
      </c>
      <c r="B780" s="648">
        <v>5</v>
      </c>
      <c r="C780" s="657" t="s">
        <v>188</v>
      </c>
      <c r="D780" s="648">
        <v>2313</v>
      </c>
      <c r="E780" s="648" t="s">
        <v>1110</v>
      </c>
      <c r="F780" s="655">
        <v>23845251</v>
      </c>
      <c r="G780" s="655">
        <v>0</v>
      </c>
      <c r="H780" s="655">
        <v>408033</v>
      </c>
      <c r="I780" s="655">
        <v>3700460</v>
      </c>
      <c r="J780" s="655">
        <v>2090684</v>
      </c>
      <c r="K780" s="655">
        <v>243637</v>
      </c>
      <c r="L780" s="655">
        <v>276945</v>
      </c>
      <c r="M780" s="655">
        <v>0</v>
      </c>
      <c r="N780" s="655">
        <v>1248799</v>
      </c>
      <c r="O780" s="655">
        <v>0</v>
      </c>
      <c r="P780" s="655">
        <v>234145</v>
      </c>
      <c r="Q780" s="655">
        <v>263033</v>
      </c>
      <c r="R780" s="655">
        <v>3808</v>
      </c>
      <c r="S780" s="655">
        <v>133054</v>
      </c>
      <c r="T780" s="655">
        <v>15856</v>
      </c>
      <c r="U780" s="655">
        <v>1192263</v>
      </c>
      <c r="V780" s="655">
        <v>0</v>
      </c>
      <c r="W780" s="655">
        <v>249072</v>
      </c>
      <c r="X780" s="655">
        <v>15905</v>
      </c>
      <c r="Y780" s="655">
        <v>0</v>
      </c>
      <c r="Z780" s="655">
        <v>0</v>
      </c>
      <c r="AA780" s="655">
        <v>0</v>
      </c>
      <c r="AB780" s="655">
        <v>0</v>
      </c>
      <c r="AC780" s="655">
        <v>-24592</v>
      </c>
      <c r="AD780" s="655">
        <v>212765</v>
      </c>
      <c r="AE780" s="655">
        <v>33683588</v>
      </c>
      <c r="AF780" s="655">
        <v>681162</v>
      </c>
      <c r="AG780" s="655">
        <v>1638169</v>
      </c>
      <c r="AH780" s="655">
        <v>0</v>
      </c>
      <c r="AI780" s="655">
        <v>5329639</v>
      </c>
      <c r="AJ780" s="655">
        <v>4188274</v>
      </c>
      <c r="AK780" s="655">
        <v>45520832</v>
      </c>
      <c r="AL780" s="655">
        <v>40846733</v>
      </c>
      <c r="AM780" s="655">
        <v>4674099</v>
      </c>
    </row>
    <row r="781" spans="1:39" x14ac:dyDescent="0.2">
      <c r="A781" s="648">
        <v>2015</v>
      </c>
      <c r="B781" s="648">
        <v>15</v>
      </c>
      <c r="C781" s="657" t="s">
        <v>189</v>
      </c>
      <c r="D781" s="648">
        <v>2322</v>
      </c>
      <c r="E781" s="648" t="s">
        <v>1111</v>
      </c>
      <c r="F781" s="655">
        <v>14172626</v>
      </c>
      <c r="G781" s="655">
        <v>0</v>
      </c>
      <c r="H781" s="655">
        <v>157368</v>
      </c>
      <c r="I781" s="655">
        <v>1805525</v>
      </c>
      <c r="J781" s="655">
        <v>1162863</v>
      </c>
      <c r="K781" s="655">
        <v>130239</v>
      </c>
      <c r="L781" s="655">
        <v>145466</v>
      </c>
      <c r="M781" s="655">
        <v>0</v>
      </c>
      <c r="N781" s="655">
        <v>695850</v>
      </c>
      <c r="O781" s="655">
        <v>16993</v>
      </c>
      <c r="P781" s="655">
        <v>129994</v>
      </c>
      <c r="Q781" s="655">
        <v>142778</v>
      </c>
      <c r="R781" s="655">
        <v>1880</v>
      </c>
      <c r="S781" s="655">
        <v>69650</v>
      </c>
      <c r="T781" s="655">
        <v>7530</v>
      </c>
      <c r="U781" s="655">
        <v>531499</v>
      </c>
      <c r="V781" s="655">
        <v>37643</v>
      </c>
      <c r="W781" s="655">
        <v>302162</v>
      </c>
      <c r="X781" s="655">
        <v>679108</v>
      </c>
      <c r="Y781" s="655">
        <v>0</v>
      </c>
      <c r="Z781" s="655">
        <v>0</v>
      </c>
      <c r="AA781" s="655">
        <v>0</v>
      </c>
      <c r="AB781" s="655">
        <v>0</v>
      </c>
      <c r="AC781" s="655">
        <v>0</v>
      </c>
      <c r="AD781" s="655">
        <v>124889</v>
      </c>
      <c r="AE781" s="655">
        <v>20064285</v>
      </c>
      <c r="AF781" s="655">
        <v>0</v>
      </c>
      <c r="AG781" s="655">
        <v>0</v>
      </c>
      <c r="AH781" s="655">
        <v>0</v>
      </c>
      <c r="AI781" s="655">
        <v>1756986</v>
      </c>
      <c r="AJ781" s="655">
        <v>4236726</v>
      </c>
      <c r="AK781" s="655">
        <v>26057997</v>
      </c>
      <c r="AL781" s="655">
        <v>22698200</v>
      </c>
      <c r="AM781" s="655">
        <v>3359797</v>
      </c>
    </row>
    <row r="782" spans="1:39" x14ac:dyDescent="0.2">
      <c r="A782" s="648">
        <v>2015</v>
      </c>
      <c r="B782" s="648">
        <v>13</v>
      </c>
      <c r="C782" s="657" t="s">
        <v>190</v>
      </c>
      <c r="D782" s="648">
        <v>2369</v>
      </c>
      <c r="E782" s="648" t="s">
        <v>1112</v>
      </c>
      <c r="F782" s="655">
        <v>2858334</v>
      </c>
      <c r="G782" s="655">
        <v>0</v>
      </c>
      <c r="H782" s="655">
        <v>184194</v>
      </c>
      <c r="I782" s="655">
        <v>314289</v>
      </c>
      <c r="J782" s="655">
        <v>246847</v>
      </c>
      <c r="K782" s="655">
        <v>23757</v>
      </c>
      <c r="L782" s="655">
        <v>31852</v>
      </c>
      <c r="M782" s="655">
        <v>0</v>
      </c>
      <c r="N782" s="655">
        <v>139484</v>
      </c>
      <c r="O782" s="655">
        <v>0</v>
      </c>
      <c r="P782" s="655">
        <v>23493</v>
      </c>
      <c r="Q782" s="655">
        <v>25982</v>
      </c>
      <c r="R782" s="655">
        <v>0</v>
      </c>
      <c r="S782" s="655">
        <v>14323</v>
      </c>
      <c r="T782" s="655">
        <v>1520</v>
      </c>
      <c r="U782" s="655">
        <v>51475</v>
      </c>
      <c r="V782" s="655">
        <v>0</v>
      </c>
      <c r="W782" s="655">
        <v>120954</v>
      </c>
      <c r="X782" s="655">
        <v>55646</v>
      </c>
      <c r="Y782" s="655">
        <v>0</v>
      </c>
      <c r="Z782" s="655">
        <v>0</v>
      </c>
      <c r="AA782" s="655">
        <v>0</v>
      </c>
      <c r="AB782" s="655">
        <v>0</v>
      </c>
      <c r="AC782" s="655">
        <v>0</v>
      </c>
      <c r="AD782" s="655">
        <v>20678</v>
      </c>
      <c r="AE782" s="655">
        <v>4071472</v>
      </c>
      <c r="AF782" s="655">
        <v>98673</v>
      </c>
      <c r="AG782" s="655">
        <v>225093</v>
      </c>
      <c r="AH782" s="655">
        <v>0</v>
      </c>
      <c r="AI782" s="655">
        <v>889601</v>
      </c>
      <c r="AJ782" s="655">
        <v>1627607</v>
      </c>
      <c r="AK782" s="655">
        <v>6912446</v>
      </c>
      <c r="AL782" s="655">
        <v>5039338</v>
      </c>
      <c r="AM782" s="655">
        <v>1873108</v>
      </c>
    </row>
    <row r="783" spans="1:39" x14ac:dyDescent="0.2">
      <c r="A783" s="648">
        <v>2015</v>
      </c>
      <c r="B783" s="648">
        <v>12</v>
      </c>
      <c r="C783" s="657" t="s">
        <v>191</v>
      </c>
      <c r="D783" s="648">
        <v>2376</v>
      </c>
      <c r="E783" s="648" t="s">
        <v>1113</v>
      </c>
      <c r="F783" s="655">
        <v>2970767</v>
      </c>
      <c r="G783" s="655">
        <v>0</v>
      </c>
      <c r="H783" s="655">
        <v>192895</v>
      </c>
      <c r="I783" s="655">
        <v>219161</v>
      </c>
      <c r="J783" s="655">
        <v>277010</v>
      </c>
      <c r="K783" s="655">
        <v>28653</v>
      </c>
      <c r="L783" s="655">
        <v>29838</v>
      </c>
      <c r="M783" s="655">
        <v>0</v>
      </c>
      <c r="N783" s="655">
        <v>142846</v>
      </c>
      <c r="O783" s="655">
        <v>0</v>
      </c>
      <c r="P783" s="655">
        <v>24404</v>
      </c>
      <c r="Q783" s="655">
        <v>27405</v>
      </c>
      <c r="R783" s="655">
        <v>0</v>
      </c>
      <c r="S783" s="655">
        <v>14341</v>
      </c>
      <c r="T783" s="655">
        <v>1715</v>
      </c>
      <c r="U783" s="655">
        <v>72000</v>
      </c>
      <c r="V783" s="655">
        <v>0</v>
      </c>
      <c r="W783" s="655">
        <v>42847</v>
      </c>
      <c r="X783" s="655">
        <v>11335</v>
      </c>
      <c r="Y783" s="655">
        <v>0</v>
      </c>
      <c r="Z783" s="655">
        <v>0</v>
      </c>
      <c r="AA783" s="655">
        <v>0</v>
      </c>
      <c r="AB783" s="655">
        <v>0</v>
      </c>
      <c r="AC783" s="655">
        <v>0</v>
      </c>
      <c r="AD783" s="655">
        <v>25821</v>
      </c>
      <c r="AE783" s="655">
        <v>4029396</v>
      </c>
      <c r="AF783" s="655">
        <v>76392</v>
      </c>
      <c r="AG783" s="655">
        <v>248921</v>
      </c>
      <c r="AH783" s="655">
        <v>0</v>
      </c>
      <c r="AI783" s="655">
        <v>1287354</v>
      </c>
      <c r="AJ783" s="655">
        <v>512599</v>
      </c>
      <c r="AK783" s="655">
        <v>6154662</v>
      </c>
      <c r="AL783" s="655">
        <v>5509102</v>
      </c>
      <c r="AM783" s="655">
        <v>645560</v>
      </c>
    </row>
    <row r="784" spans="1:39" x14ac:dyDescent="0.2">
      <c r="A784" s="648">
        <v>2015</v>
      </c>
      <c r="B784" s="648">
        <v>7</v>
      </c>
      <c r="C784" s="657" t="s">
        <v>192</v>
      </c>
      <c r="D784" s="648">
        <v>2403</v>
      </c>
      <c r="E784" s="648" t="s">
        <v>1747</v>
      </c>
      <c r="F784" s="655">
        <v>6483939</v>
      </c>
      <c r="G784" s="655">
        <v>50673</v>
      </c>
      <c r="H784" s="655">
        <v>514167</v>
      </c>
      <c r="I784" s="655">
        <v>793784</v>
      </c>
      <c r="J784" s="655">
        <v>596412</v>
      </c>
      <c r="K784" s="655">
        <v>66114</v>
      </c>
      <c r="L784" s="655">
        <v>68185</v>
      </c>
      <c r="M784" s="655">
        <v>0</v>
      </c>
      <c r="N784" s="655">
        <v>322423</v>
      </c>
      <c r="O784" s="655">
        <v>13727</v>
      </c>
      <c r="P784" s="655">
        <v>53228</v>
      </c>
      <c r="Q784" s="655">
        <v>59467</v>
      </c>
      <c r="R784" s="655">
        <v>0</v>
      </c>
      <c r="S784" s="655">
        <v>41243</v>
      </c>
      <c r="T784" s="655">
        <v>4734</v>
      </c>
      <c r="U784" s="655">
        <v>56606</v>
      </c>
      <c r="V784" s="655">
        <v>0</v>
      </c>
      <c r="W784" s="655">
        <v>68732</v>
      </c>
      <c r="X784" s="655">
        <v>14677</v>
      </c>
      <c r="Y784" s="655">
        <v>0</v>
      </c>
      <c r="Z784" s="655">
        <v>0</v>
      </c>
      <c r="AA784" s="655">
        <v>0</v>
      </c>
      <c r="AB784" s="655">
        <v>0</v>
      </c>
      <c r="AC784" s="655">
        <v>0</v>
      </c>
      <c r="AD784" s="655">
        <v>49755</v>
      </c>
      <c r="AE784" s="655">
        <v>9158356</v>
      </c>
      <c r="AF784" s="655">
        <v>146418</v>
      </c>
      <c r="AG784" s="655">
        <v>503708</v>
      </c>
      <c r="AH784" s="655">
        <v>71868</v>
      </c>
      <c r="AI784" s="655">
        <v>4204772</v>
      </c>
      <c r="AJ784" s="655">
        <v>3461702</v>
      </c>
      <c r="AK784" s="655">
        <v>17546824</v>
      </c>
      <c r="AL784" s="655">
        <v>14530434</v>
      </c>
      <c r="AM784" s="655">
        <v>3016390</v>
      </c>
    </row>
    <row r="785" spans="1:39" x14ac:dyDescent="0.2">
      <c r="A785" s="648">
        <v>2015</v>
      </c>
      <c r="B785" s="648">
        <v>12</v>
      </c>
      <c r="C785" s="657" t="s">
        <v>193</v>
      </c>
      <c r="D785" s="648">
        <v>2457</v>
      </c>
      <c r="E785" s="648" t="s">
        <v>1002</v>
      </c>
      <c r="F785" s="655">
        <v>2814409</v>
      </c>
      <c r="G785" s="655">
        <v>4679</v>
      </c>
      <c r="H785" s="655">
        <v>30512</v>
      </c>
      <c r="I785" s="655">
        <v>271064</v>
      </c>
      <c r="J785" s="655">
        <v>253385</v>
      </c>
      <c r="K785" s="655">
        <v>28140</v>
      </c>
      <c r="L785" s="655">
        <v>28546</v>
      </c>
      <c r="M785" s="655">
        <v>0</v>
      </c>
      <c r="N785" s="655">
        <v>138841</v>
      </c>
      <c r="O785" s="655">
        <v>7731</v>
      </c>
      <c r="P785" s="655">
        <v>23357</v>
      </c>
      <c r="Q785" s="655">
        <v>26229</v>
      </c>
      <c r="R785" s="655">
        <v>0</v>
      </c>
      <c r="S785" s="655">
        <v>13939</v>
      </c>
      <c r="T785" s="655">
        <v>1667</v>
      </c>
      <c r="U785" s="655">
        <v>140720</v>
      </c>
      <c r="V785" s="655">
        <v>0</v>
      </c>
      <c r="W785" s="655">
        <v>70026</v>
      </c>
      <c r="X785" s="655">
        <v>8745</v>
      </c>
      <c r="Y785" s="655">
        <v>0</v>
      </c>
      <c r="Z785" s="655">
        <v>0</v>
      </c>
      <c r="AA785" s="655">
        <v>0</v>
      </c>
      <c r="AB785" s="655">
        <v>0</v>
      </c>
      <c r="AC785" s="655">
        <v>0</v>
      </c>
      <c r="AD785" s="655">
        <v>24051</v>
      </c>
      <c r="AE785" s="655">
        <v>3837939</v>
      </c>
      <c r="AF785" s="655">
        <v>92307</v>
      </c>
      <c r="AG785" s="655">
        <v>236155</v>
      </c>
      <c r="AH785" s="655">
        <v>0</v>
      </c>
      <c r="AI785" s="655">
        <v>490922</v>
      </c>
      <c r="AJ785" s="655">
        <v>814343</v>
      </c>
      <c r="AK785" s="655">
        <v>5471666</v>
      </c>
      <c r="AL785" s="655">
        <v>4657115</v>
      </c>
      <c r="AM785" s="655">
        <v>814551</v>
      </c>
    </row>
    <row r="786" spans="1:39" x14ac:dyDescent="0.2">
      <c r="A786" s="648">
        <v>2015</v>
      </c>
      <c r="B786" s="648">
        <v>11</v>
      </c>
      <c r="C786" s="657" t="s">
        <v>194</v>
      </c>
      <c r="D786" s="648">
        <v>2466</v>
      </c>
      <c r="E786" s="648" t="s">
        <v>1114</v>
      </c>
      <c r="F786" s="655">
        <v>8410759</v>
      </c>
      <c r="G786" s="655">
        <v>0</v>
      </c>
      <c r="H786" s="655">
        <v>68167</v>
      </c>
      <c r="I786" s="655">
        <v>539200</v>
      </c>
      <c r="J786" s="655">
        <v>684104</v>
      </c>
      <c r="K786" s="655">
        <v>75731</v>
      </c>
      <c r="L786" s="655">
        <v>64897</v>
      </c>
      <c r="M786" s="655">
        <v>0</v>
      </c>
      <c r="N786" s="655">
        <v>382152</v>
      </c>
      <c r="O786" s="655">
        <v>0</v>
      </c>
      <c r="P786" s="655">
        <v>70821</v>
      </c>
      <c r="Q786" s="655">
        <v>77732</v>
      </c>
      <c r="R786" s="655">
        <v>0</v>
      </c>
      <c r="S786" s="655">
        <v>31211</v>
      </c>
      <c r="T786" s="655">
        <v>3979</v>
      </c>
      <c r="U786" s="655">
        <v>98777</v>
      </c>
      <c r="V786" s="655">
        <v>0</v>
      </c>
      <c r="W786" s="655">
        <v>163856</v>
      </c>
      <c r="X786" s="655">
        <v>0</v>
      </c>
      <c r="Y786" s="655">
        <v>0</v>
      </c>
      <c r="Z786" s="655">
        <v>0</v>
      </c>
      <c r="AA786" s="655">
        <v>0</v>
      </c>
      <c r="AB786" s="655">
        <v>0</v>
      </c>
      <c r="AC786" s="655">
        <v>-12242</v>
      </c>
      <c r="AD786" s="655">
        <v>38933</v>
      </c>
      <c r="AE786" s="655">
        <v>10620211</v>
      </c>
      <c r="AF786" s="655">
        <v>143235</v>
      </c>
      <c r="AG786" s="655">
        <v>630555</v>
      </c>
      <c r="AH786" s="655">
        <v>0</v>
      </c>
      <c r="AI786" s="655">
        <v>2470422</v>
      </c>
      <c r="AJ786" s="655">
        <v>2159755</v>
      </c>
      <c r="AK786" s="655">
        <v>16024178</v>
      </c>
      <c r="AL786" s="655">
        <v>14344157</v>
      </c>
      <c r="AM786" s="655">
        <v>1680021</v>
      </c>
    </row>
    <row r="787" spans="1:39" x14ac:dyDescent="0.2">
      <c r="A787" s="648">
        <v>2015</v>
      </c>
      <c r="B787" s="648">
        <v>5</v>
      </c>
      <c r="C787" s="657" t="s">
        <v>195</v>
      </c>
      <c r="D787" s="648">
        <v>2493</v>
      </c>
      <c r="E787" s="648" t="s">
        <v>1115</v>
      </c>
      <c r="F787" s="655">
        <v>731696</v>
      </c>
      <c r="G787" s="655">
        <v>87568</v>
      </c>
      <c r="H787" s="655">
        <v>107638</v>
      </c>
      <c r="I787" s="655">
        <v>114589</v>
      </c>
      <c r="J787" s="655">
        <v>77659</v>
      </c>
      <c r="K787" s="655">
        <v>9202</v>
      </c>
      <c r="L787" s="655">
        <v>5993</v>
      </c>
      <c r="M787" s="655">
        <v>0</v>
      </c>
      <c r="N787" s="655">
        <v>37545</v>
      </c>
      <c r="O787" s="655">
        <v>20514</v>
      </c>
      <c r="P787" s="655">
        <v>6188</v>
      </c>
      <c r="Q787" s="655">
        <v>6951</v>
      </c>
      <c r="R787" s="655">
        <v>116</v>
      </c>
      <c r="S787" s="655">
        <v>4250</v>
      </c>
      <c r="T787" s="655">
        <v>507</v>
      </c>
      <c r="U787" s="655">
        <v>0</v>
      </c>
      <c r="V787" s="655">
        <v>0</v>
      </c>
      <c r="W787" s="655">
        <v>85694</v>
      </c>
      <c r="X787" s="655">
        <v>0</v>
      </c>
      <c r="Y787" s="655">
        <v>17550</v>
      </c>
      <c r="Z787" s="655">
        <v>0</v>
      </c>
      <c r="AA787" s="655">
        <v>0</v>
      </c>
      <c r="AB787" s="655">
        <v>0</v>
      </c>
      <c r="AC787" s="655">
        <v>0</v>
      </c>
      <c r="AD787" s="655">
        <v>10845</v>
      </c>
      <c r="AE787" s="655">
        <v>1267715</v>
      </c>
      <c r="AF787" s="655">
        <v>19098</v>
      </c>
      <c r="AG787" s="655">
        <v>74495</v>
      </c>
      <c r="AH787" s="655">
        <v>0</v>
      </c>
      <c r="AI787" s="655">
        <v>149738</v>
      </c>
      <c r="AJ787" s="655">
        <v>1025092</v>
      </c>
      <c r="AK787" s="655">
        <v>2536138</v>
      </c>
      <c r="AL787" s="655">
        <v>1394225</v>
      </c>
      <c r="AM787" s="655">
        <v>1141913</v>
      </c>
    </row>
    <row r="788" spans="1:39" x14ac:dyDescent="0.2">
      <c r="A788" s="648">
        <v>2015</v>
      </c>
      <c r="B788" s="648">
        <v>7</v>
      </c>
      <c r="C788" s="657" t="s">
        <v>196</v>
      </c>
      <c r="D788" s="648">
        <v>2502</v>
      </c>
      <c r="E788" s="648" t="s">
        <v>1116</v>
      </c>
      <c r="F788" s="655">
        <v>3889299</v>
      </c>
      <c r="G788" s="655">
        <v>0</v>
      </c>
      <c r="H788" s="655">
        <v>31509</v>
      </c>
      <c r="I788" s="655">
        <v>522647</v>
      </c>
      <c r="J788" s="655">
        <v>359859</v>
      </c>
      <c r="K788" s="655">
        <v>36884</v>
      </c>
      <c r="L788" s="655">
        <v>30983</v>
      </c>
      <c r="M788" s="655">
        <v>0</v>
      </c>
      <c r="N788" s="655">
        <v>193236</v>
      </c>
      <c r="O788" s="655">
        <v>15379</v>
      </c>
      <c r="P788" s="655">
        <v>31696</v>
      </c>
      <c r="Q788" s="655">
        <v>35411</v>
      </c>
      <c r="R788" s="655">
        <v>0</v>
      </c>
      <c r="S788" s="655">
        <v>24666</v>
      </c>
      <c r="T788" s="655">
        <v>2832</v>
      </c>
      <c r="U788" s="655">
        <v>144750</v>
      </c>
      <c r="V788" s="655">
        <v>0</v>
      </c>
      <c r="W788" s="655">
        <v>122420</v>
      </c>
      <c r="X788" s="655">
        <v>71493</v>
      </c>
      <c r="Y788" s="655">
        <v>0</v>
      </c>
      <c r="Z788" s="655">
        <v>0</v>
      </c>
      <c r="AA788" s="655">
        <v>0</v>
      </c>
      <c r="AB788" s="655">
        <v>0</v>
      </c>
      <c r="AC788" s="655">
        <v>-995</v>
      </c>
      <c r="AD788" s="655">
        <v>38194</v>
      </c>
      <c r="AE788" s="655">
        <v>5473875</v>
      </c>
      <c r="AF788" s="655">
        <v>0</v>
      </c>
      <c r="AG788" s="655">
        <v>320517</v>
      </c>
      <c r="AH788" s="655">
        <v>0</v>
      </c>
      <c r="AI788" s="655">
        <v>511204</v>
      </c>
      <c r="AJ788" s="655">
        <v>886320</v>
      </c>
      <c r="AK788" s="655">
        <v>7191916</v>
      </c>
      <c r="AL788" s="655">
        <v>6304580</v>
      </c>
      <c r="AM788" s="655">
        <v>887336</v>
      </c>
    </row>
    <row r="789" spans="1:39" x14ac:dyDescent="0.2">
      <c r="A789" s="648">
        <v>2015</v>
      </c>
      <c r="B789" s="648">
        <v>13</v>
      </c>
      <c r="C789" s="657" t="s">
        <v>197</v>
      </c>
      <c r="D789" s="648">
        <v>2511</v>
      </c>
      <c r="E789" s="648" t="s">
        <v>1117</v>
      </c>
      <c r="F789" s="655">
        <v>12480543</v>
      </c>
      <c r="G789" s="655">
        <v>29159</v>
      </c>
      <c r="H789" s="655">
        <v>111201</v>
      </c>
      <c r="I789" s="655">
        <v>1383968</v>
      </c>
      <c r="J789" s="655">
        <v>1027812</v>
      </c>
      <c r="K789" s="655">
        <v>110905</v>
      </c>
      <c r="L789" s="655">
        <v>127256</v>
      </c>
      <c r="M789" s="655">
        <v>0</v>
      </c>
      <c r="N789" s="655">
        <v>609551</v>
      </c>
      <c r="O789" s="655">
        <v>0</v>
      </c>
      <c r="P789" s="655">
        <v>103190</v>
      </c>
      <c r="Q789" s="655">
        <v>114125</v>
      </c>
      <c r="R789" s="655">
        <v>0</v>
      </c>
      <c r="S789" s="655">
        <v>62593</v>
      </c>
      <c r="T789" s="655">
        <v>6643</v>
      </c>
      <c r="U789" s="655">
        <v>480798</v>
      </c>
      <c r="V789" s="655">
        <v>0</v>
      </c>
      <c r="W789" s="655">
        <v>189751</v>
      </c>
      <c r="X789" s="655">
        <v>672517</v>
      </c>
      <c r="Y789" s="655">
        <v>0</v>
      </c>
      <c r="Z789" s="655">
        <v>0</v>
      </c>
      <c r="AA789" s="655">
        <v>0</v>
      </c>
      <c r="AB789" s="655">
        <v>0</v>
      </c>
      <c r="AC789" s="655">
        <v>6121</v>
      </c>
      <c r="AD789" s="655">
        <v>89118</v>
      </c>
      <c r="AE789" s="655">
        <v>17427015</v>
      </c>
      <c r="AF789" s="655">
        <v>190980</v>
      </c>
      <c r="AG789" s="655">
        <v>801509</v>
      </c>
      <c r="AH789" s="655">
        <v>0</v>
      </c>
      <c r="AI789" s="655">
        <v>2013153</v>
      </c>
      <c r="AJ789" s="655">
        <v>7213808</v>
      </c>
      <c r="AK789" s="655">
        <v>27646465</v>
      </c>
      <c r="AL789" s="655">
        <v>20822682</v>
      </c>
      <c r="AM789" s="655">
        <v>6823783</v>
      </c>
    </row>
    <row r="790" spans="1:39" x14ac:dyDescent="0.2">
      <c r="A790" s="648">
        <v>2015</v>
      </c>
      <c r="B790" s="648">
        <v>11</v>
      </c>
      <c r="C790" s="657" t="s">
        <v>198</v>
      </c>
      <c r="D790" s="648">
        <v>2520</v>
      </c>
      <c r="E790" s="648" t="s">
        <v>1118</v>
      </c>
      <c r="F790" s="655">
        <v>1868028</v>
      </c>
      <c r="G790" s="655">
        <v>19088</v>
      </c>
      <c r="H790" s="655">
        <v>102630</v>
      </c>
      <c r="I790" s="655">
        <v>177822</v>
      </c>
      <c r="J790" s="655">
        <v>176827</v>
      </c>
      <c r="K790" s="655">
        <v>18593</v>
      </c>
      <c r="L790" s="655">
        <v>18930</v>
      </c>
      <c r="M790" s="655">
        <v>0</v>
      </c>
      <c r="N790" s="655">
        <v>87314</v>
      </c>
      <c r="O790" s="655">
        <v>10716</v>
      </c>
      <c r="P790" s="655">
        <v>15640</v>
      </c>
      <c r="Q790" s="655">
        <v>17166</v>
      </c>
      <c r="R790" s="655">
        <v>0</v>
      </c>
      <c r="S790" s="655">
        <v>7131</v>
      </c>
      <c r="T790" s="655">
        <v>909</v>
      </c>
      <c r="U790" s="655">
        <v>33217</v>
      </c>
      <c r="V790" s="655">
        <v>0</v>
      </c>
      <c r="W790" s="655">
        <v>36726</v>
      </c>
      <c r="X790" s="655">
        <v>103549</v>
      </c>
      <c r="Y790" s="655">
        <v>0</v>
      </c>
      <c r="Z790" s="655">
        <v>0</v>
      </c>
      <c r="AA790" s="655">
        <v>0</v>
      </c>
      <c r="AB790" s="655">
        <v>0</v>
      </c>
      <c r="AC790" s="655">
        <v>0</v>
      </c>
      <c r="AD790" s="655">
        <v>17419</v>
      </c>
      <c r="AE790" s="655">
        <v>2676867</v>
      </c>
      <c r="AF790" s="655">
        <v>70026</v>
      </c>
      <c r="AG790" s="655">
        <v>159386</v>
      </c>
      <c r="AH790" s="655">
        <v>0</v>
      </c>
      <c r="AI790" s="655">
        <v>696036</v>
      </c>
      <c r="AJ790" s="655">
        <v>3379885</v>
      </c>
      <c r="AK790" s="655">
        <v>6982200</v>
      </c>
      <c r="AL790" s="655">
        <v>3735532</v>
      </c>
      <c r="AM790" s="655">
        <v>3246668</v>
      </c>
    </row>
    <row r="791" spans="1:39" x14ac:dyDescent="0.2">
      <c r="A791" s="648">
        <v>2015</v>
      </c>
      <c r="B791" s="648">
        <v>5</v>
      </c>
      <c r="C791" s="657" t="s">
        <v>199</v>
      </c>
      <c r="D791" s="648">
        <v>2556</v>
      </c>
      <c r="E791" s="648" t="s">
        <v>630</v>
      </c>
      <c r="F791" s="655">
        <v>2258874</v>
      </c>
      <c r="G791" s="655">
        <v>0</v>
      </c>
      <c r="H791" s="655">
        <v>101215</v>
      </c>
      <c r="I791" s="655">
        <v>223335</v>
      </c>
      <c r="J791" s="655">
        <v>206736</v>
      </c>
      <c r="K791" s="655">
        <v>19371</v>
      </c>
      <c r="L791" s="655">
        <v>23906</v>
      </c>
      <c r="M791" s="655">
        <v>0</v>
      </c>
      <c r="N791" s="655">
        <v>112744</v>
      </c>
      <c r="O791" s="655">
        <v>10369</v>
      </c>
      <c r="P791" s="655">
        <v>19036</v>
      </c>
      <c r="Q791" s="655">
        <v>21384</v>
      </c>
      <c r="R791" s="655">
        <v>345</v>
      </c>
      <c r="S791" s="655">
        <v>12012</v>
      </c>
      <c r="T791" s="655">
        <v>1432</v>
      </c>
      <c r="U791" s="655">
        <v>45444</v>
      </c>
      <c r="V791" s="655">
        <v>0</v>
      </c>
      <c r="W791" s="655">
        <v>113298</v>
      </c>
      <c r="X791" s="655">
        <v>127028</v>
      </c>
      <c r="Y791" s="655">
        <v>0</v>
      </c>
      <c r="Z791" s="655">
        <v>0</v>
      </c>
      <c r="AA791" s="655">
        <v>0</v>
      </c>
      <c r="AB791" s="655">
        <v>0</v>
      </c>
      <c r="AC791" s="655">
        <v>-27612</v>
      </c>
      <c r="AD791" s="655">
        <v>23426</v>
      </c>
      <c r="AE791" s="655">
        <v>3245491</v>
      </c>
      <c r="AF791" s="655">
        <v>89124</v>
      </c>
      <c r="AG791" s="655">
        <v>196318</v>
      </c>
      <c r="AH791" s="655">
        <v>0</v>
      </c>
      <c r="AI791" s="655">
        <v>809129</v>
      </c>
      <c r="AJ791" s="655">
        <v>1613999</v>
      </c>
      <c r="AK791" s="655">
        <v>5954061</v>
      </c>
      <c r="AL791" s="655">
        <v>4542975</v>
      </c>
      <c r="AM791" s="655">
        <v>1411086</v>
      </c>
    </row>
    <row r="792" spans="1:39" x14ac:dyDescent="0.2">
      <c r="A792" s="648">
        <v>2015</v>
      </c>
      <c r="B792" s="648">
        <v>13</v>
      </c>
      <c r="C792" s="657" t="s">
        <v>200</v>
      </c>
      <c r="D792" s="648">
        <v>2673</v>
      </c>
      <c r="E792" s="648" t="s">
        <v>2009</v>
      </c>
      <c r="F792" s="655">
        <v>4336752</v>
      </c>
      <c r="G792" s="655">
        <v>0</v>
      </c>
      <c r="H792" s="655">
        <v>42413</v>
      </c>
      <c r="I792" s="655">
        <v>515121</v>
      </c>
      <c r="J792" s="655">
        <v>397562</v>
      </c>
      <c r="K792" s="655">
        <v>45555</v>
      </c>
      <c r="L792" s="655">
        <v>44560</v>
      </c>
      <c r="M792" s="655">
        <v>0</v>
      </c>
      <c r="N792" s="655">
        <v>212079</v>
      </c>
      <c r="O792" s="655">
        <v>0</v>
      </c>
      <c r="P792" s="655">
        <v>35265</v>
      </c>
      <c r="Q792" s="655">
        <v>39002</v>
      </c>
      <c r="R792" s="655">
        <v>0</v>
      </c>
      <c r="S792" s="655">
        <v>21778</v>
      </c>
      <c r="T792" s="655">
        <v>2311</v>
      </c>
      <c r="U792" s="655">
        <v>123598</v>
      </c>
      <c r="V792" s="655">
        <v>112595</v>
      </c>
      <c r="W792" s="655">
        <v>72413</v>
      </c>
      <c r="X792" s="655">
        <v>95132</v>
      </c>
      <c r="Y792" s="655">
        <v>0</v>
      </c>
      <c r="Z792" s="655">
        <v>0</v>
      </c>
      <c r="AA792" s="655">
        <v>0</v>
      </c>
      <c r="AB792" s="655">
        <v>0</v>
      </c>
      <c r="AC792" s="655">
        <v>0</v>
      </c>
      <c r="AD792" s="655">
        <v>39610</v>
      </c>
      <c r="AE792" s="655">
        <v>6056526</v>
      </c>
      <c r="AF792" s="655">
        <v>105039</v>
      </c>
      <c r="AG792" s="655">
        <v>342517</v>
      </c>
      <c r="AH792" s="655">
        <v>0</v>
      </c>
      <c r="AI792" s="655">
        <v>625681</v>
      </c>
      <c r="AJ792" s="655">
        <v>-112595</v>
      </c>
      <c r="AK792" s="655">
        <v>7017168</v>
      </c>
      <c r="AL792" s="655">
        <v>6944115</v>
      </c>
      <c r="AM792" s="655">
        <v>73053</v>
      </c>
    </row>
    <row r="793" spans="1:39" x14ac:dyDescent="0.2">
      <c r="A793" s="648">
        <v>2015</v>
      </c>
      <c r="B793" s="648">
        <v>7</v>
      </c>
      <c r="C793" s="657" t="s">
        <v>201</v>
      </c>
      <c r="D793" s="648">
        <v>2682</v>
      </c>
      <c r="E793" s="648" t="s">
        <v>1119</v>
      </c>
      <c r="F793" s="655">
        <v>2011656</v>
      </c>
      <c r="G793" s="655">
        <v>0</v>
      </c>
      <c r="H793" s="655">
        <v>99481</v>
      </c>
      <c r="I793" s="655">
        <v>235033</v>
      </c>
      <c r="J793" s="655">
        <v>204316</v>
      </c>
      <c r="K793" s="655">
        <v>24215</v>
      </c>
      <c r="L793" s="655">
        <v>24218</v>
      </c>
      <c r="M793" s="655">
        <v>0</v>
      </c>
      <c r="N793" s="655">
        <v>99947</v>
      </c>
      <c r="O793" s="655">
        <v>5428</v>
      </c>
      <c r="P793" s="655">
        <v>16608</v>
      </c>
      <c r="Q793" s="655">
        <v>18554</v>
      </c>
      <c r="R793" s="655">
        <v>0</v>
      </c>
      <c r="S793" s="655">
        <v>12758</v>
      </c>
      <c r="T793" s="655">
        <v>1465</v>
      </c>
      <c r="U793" s="655">
        <v>100583</v>
      </c>
      <c r="V793" s="655">
        <v>0</v>
      </c>
      <c r="W793" s="655">
        <v>18363</v>
      </c>
      <c r="X793" s="655">
        <v>17520</v>
      </c>
      <c r="Y793" s="655">
        <v>0</v>
      </c>
      <c r="Z793" s="655">
        <v>0</v>
      </c>
      <c r="AA793" s="655">
        <v>0</v>
      </c>
      <c r="AB793" s="655">
        <v>0</v>
      </c>
      <c r="AC793" s="655">
        <v>0</v>
      </c>
      <c r="AD793" s="655">
        <v>17366</v>
      </c>
      <c r="AE793" s="655">
        <v>2872779</v>
      </c>
      <c r="AF793" s="655">
        <v>108222</v>
      </c>
      <c r="AG793" s="655">
        <v>162281</v>
      </c>
      <c r="AH793" s="655">
        <v>0</v>
      </c>
      <c r="AI793" s="655">
        <v>1626255</v>
      </c>
      <c r="AJ793" s="655">
        <v>1647256</v>
      </c>
      <c r="AK793" s="655">
        <v>6416793</v>
      </c>
      <c r="AL793" s="655">
        <v>4699553</v>
      </c>
      <c r="AM793" s="655">
        <v>1717240</v>
      </c>
    </row>
    <row r="794" spans="1:39" x14ac:dyDescent="0.2">
      <c r="A794" s="648">
        <v>2015</v>
      </c>
      <c r="B794" s="648">
        <v>7</v>
      </c>
      <c r="C794" s="657" t="s">
        <v>202</v>
      </c>
      <c r="D794" s="648">
        <v>2709</v>
      </c>
      <c r="E794" s="648" t="s">
        <v>1120</v>
      </c>
      <c r="F794" s="655">
        <v>10387236</v>
      </c>
      <c r="G794" s="655">
        <v>0</v>
      </c>
      <c r="H794" s="655">
        <v>135293</v>
      </c>
      <c r="I794" s="655">
        <v>1307381</v>
      </c>
      <c r="J794" s="655">
        <v>876891</v>
      </c>
      <c r="K794" s="655">
        <v>95727</v>
      </c>
      <c r="L794" s="655">
        <v>106652</v>
      </c>
      <c r="M794" s="655">
        <v>0</v>
      </c>
      <c r="N794" s="655">
        <v>518378</v>
      </c>
      <c r="O794" s="655">
        <v>15905</v>
      </c>
      <c r="P794" s="655">
        <v>87282</v>
      </c>
      <c r="Q794" s="655">
        <v>97511</v>
      </c>
      <c r="R794" s="655">
        <v>0</v>
      </c>
      <c r="S794" s="655">
        <v>66830</v>
      </c>
      <c r="T794" s="655">
        <v>7665</v>
      </c>
      <c r="U794" s="655">
        <v>519394</v>
      </c>
      <c r="V794" s="655">
        <v>3727</v>
      </c>
      <c r="W794" s="655">
        <v>36227</v>
      </c>
      <c r="X794" s="655">
        <v>302463</v>
      </c>
      <c r="Y794" s="655">
        <v>0</v>
      </c>
      <c r="Z794" s="655">
        <v>0</v>
      </c>
      <c r="AA794" s="655">
        <v>0</v>
      </c>
      <c r="AB794" s="655">
        <v>0</v>
      </c>
      <c r="AC794" s="655">
        <v>-15114</v>
      </c>
      <c r="AD794" s="655">
        <v>81962</v>
      </c>
      <c r="AE794" s="655">
        <v>14467486</v>
      </c>
      <c r="AF794" s="655">
        <v>289653</v>
      </c>
      <c r="AG794" s="655">
        <v>799610</v>
      </c>
      <c r="AH794" s="655">
        <v>0</v>
      </c>
      <c r="AI794" s="655">
        <v>1317434</v>
      </c>
      <c r="AJ794" s="655">
        <v>6018184</v>
      </c>
      <c r="AK794" s="655">
        <v>22892367</v>
      </c>
      <c r="AL794" s="655">
        <v>17197205</v>
      </c>
      <c r="AM794" s="655">
        <v>5695162</v>
      </c>
    </row>
    <row r="795" spans="1:39" x14ac:dyDescent="0.2">
      <c r="A795" s="648">
        <v>2015</v>
      </c>
      <c r="B795" s="648">
        <v>13</v>
      </c>
      <c r="C795" s="657" t="s">
        <v>203</v>
      </c>
      <c r="D795" s="648">
        <v>2718</v>
      </c>
      <c r="E795" s="648" t="s">
        <v>1121</v>
      </c>
      <c r="F795" s="655">
        <v>3690108</v>
      </c>
      <c r="G795" s="655">
        <v>17372</v>
      </c>
      <c r="H795" s="655">
        <v>106362</v>
      </c>
      <c r="I795" s="655">
        <v>467534</v>
      </c>
      <c r="J795" s="655">
        <v>308349</v>
      </c>
      <c r="K795" s="655">
        <v>31915</v>
      </c>
      <c r="L795" s="655">
        <v>32064</v>
      </c>
      <c r="M795" s="655">
        <v>0</v>
      </c>
      <c r="N795" s="655">
        <v>180942</v>
      </c>
      <c r="O795" s="655">
        <v>1205</v>
      </c>
      <c r="P795" s="655">
        <v>29900</v>
      </c>
      <c r="Q795" s="655">
        <v>33068</v>
      </c>
      <c r="R795" s="655">
        <v>0</v>
      </c>
      <c r="S795" s="655">
        <v>18707</v>
      </c>
      <c r="T795" s="655">
        <v>1976</v>
      </c>
      <c r="U795" s="655">
        <v>99117</v>
      </c>
      <c r="V795" s="655">
        <v>0</v>
      </c>
      <c r="W795" s="655">
        <v>77125</v>
      </c>
      <c r="X795" s="655">
        <v>174339</v>
      </c>
      <c r="Y795" s="655">
        <v>0</v>
      </c>
      <c r="Z795" s="655">
        <v>0</v>
      </c>
      <c r="AA795" s="655">
        <v>0</v>
      </c>
      <c r="AB795" s="655">
        <v>0</v>
      </c>
      <c r="AC795" s="655">
        <v>-5815</v>
      </c>
      <c r="AD795" s="655">
        <v>31091</v>
      </c>
      <c r="AE795" s="655">
        <v>5233177</v>
      </c>
      <c r="AF795" s="655">
        <v>89124</v>
      </c>
      <c r="AG795" s="655">
        <v>304681</v>
      </c>
      <c r="AH795" s="655">
        <v>0</v>
      </c>
      <c r="AI795" s="655">
        <v>439897</v>
      </c>
      <c r="AJ795" s="655">
        <v>1433914</v>
      </c>
      <c r="AK795" s="655">
        <v>7500793</v>
      </c>
      <c r="AL795" s="655">
        <v>6397856</v>
      </c>
      <c r="AM795" s="655">
        <v>1102937</v>
      </c>
    </row>
    <row r="796" spans="1:39" x14ac:dyDescent="0.2">
      <c r="A796" s="648">
        <v>2015</v>
      </c>
      <c r="B796" s="648">
        <v>7</v>
      </c>
      <c r="C796" s="657" t="s">
        <v>204</v>
      </c>
      <c r="D796" s="648">
        <v>2727</v>
      </c>
      <c r="E796" s="648" t="s">
        <v>1122</v>
      </c>
      <c r="F796" s="655">
        <v>3976840</v>
      </c>
      <c r="G796" s="655">
        <v>0</v>
      </c>
      <c r="H796" s="655">
        <v>103397</v>
      </c>
      <c r="I796" s="655">
        <v>445620</v>
      </c>
      <c r="J796" s="655">
        <v>375638</v>
      </c>
      <c r="K796" s="655">
        <v>40056</v>
      </c>
      <c r="L796" s="655">
        <v>35702</v>
      </c>
      <c r="M796" s="655">
        <v>0</v>
      </c>
      <c r="N796" s="655">
        <v>196739</v>
      </c>
      <c r="O796" s="655">
        <v>266</v>
      </c>
      <c r="P796" s="655">
        <v>33163</v>
      </c>
      <c r="Q796" s="655">
        <v>37049</v>
      </c>
      <c r="R796" s="655">
        <v>0</v>
      </c>
      <c r="S796" s="655">
        <v>25113</v>
      </c>
      <c r="T796" s="655">
        <v>2883</v>
      </c>
      <c r="U796" s="655">
        <v>167027</v>
      </c>
      <c r="V796" s="655">
        <v>0</v>
      </c>
      <c r="W796" s="655">
        <v>18363</v>
      </c>
      <c r="X796" s="655">
        <v>50888</v>
      </c>
      <c r="Y796" s="655">
        <v>0</v>
      </c>
      <c r="Z796" s="655">
        <v>0</v>
      </c>
      <c r="AA796" s="655">
        <v>0</v>
      </c>
      <c r="AB796" s="655">
        <v>0</v>
      </c>
      <c r="AC796" s="655">
        <v>0</v>
      </c>
      <c r="AD796" s="655">
        <v>29520</v>
      </c>
      <c r="AE796" s="655">
        <v>5479224</v>
      </c>
      <c r="AF796" s="655">
        <v>0</v>
      </c>
      <c r="AG796" s="655">
        <v>301683</v>
      </c>
      <c r="AH796" s="655">
        <v>0</v>
      </c>
      <c r="AI796" s="655">
        <v>937994</v>
      </c>
      <c r="AJ796" s="655">
        <v>657677</v>
      </c>
      <c r="AK796" s="655">
        <v>7376578</v>
      </c>
      <c r="AL796" s="655">
        <v>6857551</v>
      </c>
      <c r="AM796" s="655">
        <v>519027</v>
      </c>
    </row>
    <row r="797" spans="1:39" x14ac:dyDescent="0.2">
      <c r="A797" s="648">
        <v>2015</v>
      </c>
      <c r="B797" s="648">
        <v>11</v>
      </c>
      <c r="C797" s="657" t="s">
        <v>205</v>
      </c>
      <c r="D797" s="648">
        <v>2754</v>
      </c>
      <c r="E797" s="648" t="s">
        <v>1123</v>
      </c>
      <c r="F797" s="655">
        <v>2976462</v>
      </c>
      <c r="G797" s="655">
        <v>0</v>
      </c>
      <c r="H797" s="655">
        <v>159443</v>
      </c>
      <c r="I797" s="655">
        <v>328510</v>
      </c>
      <c r="J797" s="655">
        <v>268492</v>
      </c>
      <c r="K797" s="655">
        <v>27254</v>
      </c>
      <c r="L797" s="655">
        <v>32648</v>
      </c>
      <c r="M797" s="655">
        <v>0</v>
      </c>
      <c r="N797" s="655">
        <v>140588</v>
      </c>
      <c r="O797" s="655">
        <v>9292</v>
      </c>
      <c r="P797" s="655">
        <v>24213</v>
      </c>
      <c r="Q797" s="655">
        <v>26576</v>
      </c>
      <c r="R797" s="655">
        <v>0</v>
      </c>
      <c r="S797" s="655">
        <v>11482</v>
      </c>
      <c r="T797" s="655">
        <v>1464</v>
      </c>
      <c r="U797" s="655">
        <v>48100</v>
      </c>
      <c r="V797" s="655">
        <v>0</v>
      </c>
      <c r="W797" s="655">
        <v>68239</v>
      </c>
      <c r="X797" s="655">
        <v>141711</v>
      </c>
      <c r="Y797" s="655">
        <v>0</v>
      </c>
      <c r="Z797" s="655">
        <v>0</v>
      </c>
      <c r="AA797" s="655">
        <v>0</v>
      </c>
      <c r="AB797" s="655">
        <v>0</v>
      </c>
      <c r="AC797" s="655">
        <v>0</v>
      </c>
      <c r="AD797" s="655">
        <v>21657</v>
      </c>
      <c r="AE797" s="655">
        <v>4242817</v>
      </c>
      <c r="AF797" s="655">
        <v>101856</v>
      </c>
      <c r="AG797" s="655">
        <v>225407</v>
      </c>
      <c r="AH797" s="655">
        <v>0</v>
      </c>
      <c r="AI797" s="655">
        <v>911324</v>
      </c>
      <c r="AJ797" s="655">
        <v>1169662</v>
      </c>
      <c r="AK797" s="655">
        <v>6651066</v>
      </c>
      <c r="AL797" s="655">
        <v>5573108</v>
      </c>
      <c r="AM797" s="655">
        <v>1077958</v>
      </c>
    </row>
    <row r="798" spans="1:39" x14ac:dyDescent="0.2">
      <c r="A798" s="648">
        <v>2015</v>
      </c>
      <c r="B798" s="648">
        <v>1</v>
      </c>
      <c r="C798" s="657" t="s">
        <v>206</v>
      </c>
      <c r="D798" s="648">
        <v>2763</v>
      </c>
      <c r="E798" s="648" t="s">
        <v>1056</v>
      </c>
      <c r="F798" s="655">
        <v>4011064</v>
      </c>
      <c r="G798" s="655">
        <v>0</v>
      </c>
      <c r="H798" s="655">
        <v>46498</v>
      </c>
      <c r="I798" s="655">
        <v>461166</v>
      </c>
      <c r="J798" s="655">
        <v>343412</v>
      </c>
      <c r="K798" s="655">
        <v>38862</v>
      </c>
      <c r="L798" s="655">
        <v>34477</v>
      </c>
      <c r="M798" s="655">
        <v>0</v>
      </c>
      <c r="N798" s="655">
        <v>203653</v>
      </c>
      <c r="O798" s="655">
        <v>1169</v>
      </c>
      <c r="P798" s="655">
        <v>36757</v>
      </c>
      <c r="Q798" s="655">
        <v>41025</v>
      </c>
      <c r="R798" s="655">
        <v>0</v>
      </c>
      <c r="S798" s="655">
        <v>20027</v>
      </c>
      <c r="T798" s="655">
        <v>2140</v>
      </c>
      <c r="U798" s="655">
        <v>114315</v>
      </c>
      <c r="V798" s="655">
        <v>33338</v>
      </c>
      <c r="W798" s="655">
        <v>30605</v>
      </c>
      <c r="X798" s="655">
        <v>277393</v>
      </c>
      <c r="Y798" s="655">
        <v>0</v>
      </c>
      <c r="Z798" s="655">
        <v>0</v>
      </c>
      <c r="AA798" s="655">
        <v>0</v>
      </c>
      <c r="AB798" s="655">
        <v>0</v>
      </c>
      <c r="AC798" s="655">
        <v>0</v>
      </c>
      <c r="AD798" s="655">
        <v>39375</v>
      </c>
      <c r="AE798" s="655">
        <v>5656526</v>
      </c>
      <c r="AF798" s="655">
        <v>79575</v>
      </c>
      <c r="AG798" s="655">
        <v>334081</v>
      </c>
      <c r="AH798" s="655">
        <v>0</v>
      </c>
      <c r="AI798" s="655">
        <v>2152243</v>
      </c>
      <c r="AJ798" s="655">
        <v>1408920</v>
      </c>
      <c r="AK798" s="655">
        <v>9631345</v>
      </c>
      <c r="AL798" s="655">
        <v>8292561</v>
      </c>
      <c r="AM798" s="655">
        <v>1338784</v>
      </c>
    </row>
    <row r="799" spans="1:39" x14ac:dyDescent="0.2">
      <c r="A799" s="648">
        <v>2015</v>
      </c>
      <c r="B799" s="648">
        <v>10</v>
      </c>
      <c r="C799" s="657" t="s">
        <v>207</v>
      </c>
      <c r="D799" s="648">
        <v>2766</v>
      </c>
      <c r="E799" s="648" t="s">
        <v>920</v>
      </c>
      <c r="F799" s="655">
        <v>2100803</v>
      </c>
      <c r="G799" s="655">
        <v>0</v>
      </c>
      <c r="H799" s="655">
        <v>141082</v>
      </c>
      <c r="I799" s="655">
        <v>178462</v>
      </c>
      <c r="J799" s="655">
        <v>186431</v>
      </c>
      <c r="K799" s="655">
        <v>19133</v>
      </c>
      <c r="L799" s="655">
        <v>19351</v>
      </c>
      <c r="M799" s="655">
        <v>0</v>
      </c>
      <c r="N799" s="655">
        <v>98319</v>
      </c>
      <c r="O799" s="655">
        <v>7439</v>
      </c>
      <c r="P799" s="655">
        <v>17291</v>
      </c>
      <c r="Q799" s="655">
        <v>18994</v>
      </c>
      <c r="R799" s="655">
        <v>0</v>
      </c>
      <c r="S799" s="655">
        <v>9154</v>
      </c>
      <c r="T799" s="655">
        <v>1065</v>
      </c>
      <c r="U799" s="655">
        <v>31727</v>
      </c>
      <c r="V799" s="655">
        <v>0</v>
      </c>
      <c r="W799" s="655">
        <v>34890</v>
      </c>
      <c r="X799" s="655">
        <v>124897</v>
      </c>
      <c r="Y799" s="655">
        <v>0</v>
      </c>
      <c r="Z799" s="655">
        <v>0</v>
      </c>
      <c r="AA799" s="655">
        <v>0</v>
      </c>
      <c r="AB799" s="655">
        <v>0</v>
      </c>
      <c r="AC799" s="655">
        <v>0</v>
      </c>
      <c r="AD799" s="655">
        <v>19800</v>
      </c>
      <c r="AE799" s="655">
        <v>2969238</v>
      </c>
      <c r="AF799" s="655">
        <v>76392</v>
      </c>
      <c r="AG799" s="655">
        <v>175942</v>
      </c>
      <c r="AH799" s="655">
        <v>0</v>
      </c>
      <c r="AI799" s="655">
        <v>442647</v>
      </c>
      <c r="AJ799" s="655">
        <v>1543305</v>
      </c>
      <c r="AK799" s="655">
        <v>5207524</v>
      </c>
      <c r="AL799" s="655">
        <v>3853247</v>
      </c>
      <c r="AM799" s="655">
        <v>1354277</v>
      </c>
    </row>
    <row r="800" spans="1:39" x14ac:dyDescent="0.2">
      <c r="A800" s="648">
        <v>2015</v>
      </c>
      <c r="B800" s="648">
        <v>13</v>
      </c>
      <c r="C800" s="657" t="s">
        <v>208</v>
      </c>
      <c r="D800" s="648">
        <v>2772</v>
      </c>
      <c r="E800" s="648" t="s">
        <v>1124</v>
      </c>
      <c r="F800" s="655">
        <v>1609181</v>
      </c>
      <c r="G800" s="655">
        <v>28896</v>
      </c>
      <c r="H800" s="655">
        <v>158615</v>
      </c>
      <c r="I800" s="655">
        <v>231779</v>
      </c>
      <c r="J800" s="655">
        <v>140153</v>
      </c>
      <c r="K800" s="655">
        <v>14330</v>
      </c>
      <c r="L800" s="655">
        <v>16265</v>
      </c>
      <c r="M800" s="655">
        <v>0</v>
      </c>
      <c r="N800" s="655">
        <v>79184</v>
      </c>
      <c r="O800" s="655">
        <v>4553</v>
      </c>
      <c r="P800" s="655">
        <v>12866</v>
      </c>
      <c r="Q800" s="655">
        <v>14230</v>
      </c>
      <c r="R800" s="655">
        <v>0</v>
      </c>
      <c r="S800" s="655">
        <v>8131</v>
      </c>
      <c r="T800" s="655">
        <v>863</v>
      </c>
      <c r="U800" s="655">
        <v>15617</v>
      </c>
      <c r="V800" s="655">
        <v>148951</v>
      </c>
      <c r="W800" s="655">
        <v>37546</v>
      </c>
      <c r="X800" s="655">
        <v>76452</v>
      </c>
      <c r="Y800" s="655">
        <v>0</v>
      </c>
      <c r="Z800" s="655">
        <v>0</v>
      </c>
      <c r="AA800" s="655">
        <v>0</v>
      </c>
      <c r="AB800" s="655">
        <v>0</v>
      </c>
      <c r="AC800" s="655">
        <v>6262</v>
      </c>
      <c r="AD800" s="655">
        <v>14801</v>
      </c>
      <c r="AE800" s="655">
        <v>2589073</v>
      </c>
      <c r="AF800" s="655">
        <v>44562</v>
      </c>
      <c r="AG800" s="655">
        <v>137320</v>
      </c>
      <c r="AH800" s="655">
        <v>0</v>
      </c>
      <c r="AI800" s="655">
        <v>566015</v>
      </c>
      <c r="AJ800" s="655">
        <v>-148951</v>
      </c>
      <c r="AK800" s="655">
        <v>3188019</v>
      </c>
      <c r="AL800" s="655">
        <v>3094831</v>
      </c>
      <c r="AM800" s="655">
        <v>93188</v>
      </c>
    </row>
    <row r="801" spans="1:39" x14ac:dyDescent="0.2">
      <c r="A801" s="648">
        <v>2015</v>
      </c>
      <c r="B801" s="648">
        <v>7</v>
      </c>
      <c r="C801" s="657" t="s">
        <v>209</v>
      </c>
      <c r="D801" s="648">
        <v>2781</v>
      </c>
      <c r="E801" s="648" t="s">
        <v>1125</v>
      </c>
      <c r="F801" s="655">
        <v>7749332</v>
      </c>
      <c r="G801" s="655">
        <v>0</v>
      </c>
      <c r="H801" s="655">
        <v>475827</v>
      </c>
      <c r="I801" s="655">
        <v>1324001</v>
      </c>
      <c r="J801" s="655">
        <v>697927</v>
      </c>
      <c r="K801" s="655">
        <v>75400</v>
      </c>
      <c r="L801" s="655">
        <v>90202</v>
      </c>
      <c r="M801" s="655">
        <v>0</v>
      </c>
      <c r="N801" s="655">
        <v>403639</v>
      </c>
      <c r="O801" s="655">
        <v>0</v>
      </c>
      <c r="P801" s="655">
        <v>64283</v>
      </c>
      <c r="Q801" s="655">
        <v>71816</v>
      </c>
      <c r="R801" s="655">
        <v>0</v>
      </c>
      <c r="S801" s="655">
        <v>51524</v>
      </c>
      <c r="T801" s="655">
        <v>5915</v>
      </c>
      <c r="U801" s="655">
        <v>232499</v>
      </c>
      <c r="V801" s="655">
        <v>7039</v>
      </c>
      <c r="W801" s="655">
        <v>205399</v>
      </c>
      <c r="X801" s="655">
        <v>157457</v>
      </c>
      <c r="Y801" s="655">
        <v>0</v>
      </c>
      <c r="Z801" s="655">
        <v>0</v>
      </c>
      <c r="AA801" s="655">
        <v>0</v>
      </c>
      <c r="AB801" s="655">
        <v>0</v>
      </c>
      <c r="AC801" s="655">
        <v>0</v>
      </c>
      <c r="AD801" s="655">
        <v>56126</v>
      </c>
      <c r="AE801" s="655">
        <v>11556134</v>
      </c>
      <c r="AF801" s="655">
        <v>152784</v>
      </c>
      <c r="AG801" s="655">
        <v>556789</v>
      </c>
      <c r="AH801" s="655">
        <v>0</v>
      </c>
      <c r="AI801" s="655">
        <v>1641616</v>
      </c>
      <c r="AJ801" s="655">
        <v>2586235</v>
      </c>
      <c r="AK801" s="655">
        <v>16493558</v>
      </c>
      <c r="AL801" s="655">
        <v>13771073</v>
      </c>
      <c r="AM801" s="655">
        <v>2722485</v>
      </c>
    </row>
    <row r="802" spans="1:39" x14ac:dyDescent="0.2">
      <c r="A802" s="648">
        <v>2015</v>
      </c>
      <c r="B802" s="648">
        <v>13</v>
      </c>
      <c r="C802" s="657" t="s">
        <v>210</v>
      </c>
      <c r="D802" s="648">
        <v>2826</v>
      </c>
      <c r="E802" s="648" t="s">
        <v>1126</v>
      </c>
      <c r="F802" s="655">
        <v>9127269</v>
      </c>
      <c r="G802" s="655">
        <v>0</v>
      </c>
      <c r="H802" s="655">
        <v>140810</v>
      </c>
      <c r="I802" s="655">
        <v>1217588</v>
      </c>
      <c r="J802" s="655">
        <v>781930</v>
      </c>
      <c r="K802" s="655">
        <v>91999</v>
      </c>
      <c r="L802" s="655">
        <v>90632</v>
      </c>
      <c r="M802" s="655">
        <v>0</v>
      </c>
      <c r="N802" s="655">
        <v>451970</v>
      </c>
      <c r="O802" s="655">
        <v>0</v>
      </c>
      <c r="P802" s="655">
        <v>80062</v>
      </c>
      <c r="Q802" s="655">
        <v>88547</v>
      </c>
      <c r="R802" s="655">
        <v>0</v>
      </c>
      <c r="S802" s="655">
        <v>46411</v>
      </c>
      <c r="T802" s="655">
        <v>4925</v>
      </c>
      <c r="U802" s="655">
        <v>438910</v>
      </c>
      <c r="V802" s="655">
        <v>0</v>
      </c>
      <c r="W802" s="655">
        <v>43773</v>
      </c>
      <c r="X802" s="655">
        <v>31616</v>
      </c>
      <c r="Y802" s="655">
        <v>0</v>
      </c>
      <c r="Z802" s="655">
        <v>0</v>
      </c>
      <c r="AA802" s="655">
        <v>0</v>
      </c>
      <c r="AB802" s="655">
        <v>0</v>
      </c>
      <c r="AC802" s="655">
        <v>5545</v>
      </c>
      <c r="AD802" s="655">
        <v>75561</v>
      </c>
      <c r="AE802" s="655">
        <v>12566426</v>
      </c>
      <c r="AF802" s="655">
        <v>168699</v>
      </c>
      <c r="AG802" s="655">
        <v>701431</v>
      </c>
      <c r="AH802" s="655">
        <v>0</v>
      </c>
      <c r="AI802" s="655">
        <v>2175473</v>
      </c>
      <c r="AJ802" s="655">
        <v>7642862</v>
      </c>
      <c r="AK802" s="655">
        <v>23254891</v>
      </c>
      <c r="AL802" s="655">
        <v>16709931</v>
      </c>
      <c r="AM802" s="655">
        <v>6544960</v>
      </c>
    </row>
    <row r="803" spans="1:39" x14ac:dyDescent="0.2">
      <c r="A803" s="648">
        <v>2015</v>
      </c>
      <c r="B803" s="648">
        <v>15</v>
      </c>
      <c r="C803" s="657" t="s">
        <v>211</v>
      </c>
      <c r="D803" s="648">
        <v>2834</v>
      </c>
      <c r="E803" s="648" t="s">
        <v>1127</v>
      </c>
      <c r="F803" s="655">
        <v>2218551</v>
      </c>
      <c r="G803" s="655">
        <v>7045</v>
      </c>
      <c r="H803" s="655">
        <v>71554</v>
      </c>
      <c r="I803" s="655">
        <v>306268</v>
      </c>
      <c r="J803" s="655">
        <v>187967</v>
      </c>
      <c r="K803" s="655">
        <v>17976</v>
      </c>
      <c r="L803" s="655">
        <v>22924</v>
      </c>
      <c r="M803" s="655">
        <v>0</v>
      </c>
      <c r="N803" s="655">
        <v>109956</v>
      </c>
      <c r="O803" s="655">
        <v>10723</v>
      </c>
      <c r="P803" s="655">
        <v>18377</v>
      </c>
      <c r="Q803" s="655">
        <v>20185</v>
      </c>
      <c r="R803" s="655">
        <v>297</v>
      </c>
      <c r="S803" s="655">
        <v>11068</v>
      </c>
      <c r="T803" s="655">
        <v>1192</v>
      </c>
      <c r="U803" s="655">
        <v>21180</v>
      </c>
      <c r="V803" s="655">
        <v>0</v>
      </c>
      <c r="W803" s="655">
        <v>85694</v>
      </c>
      <c r="X803" s="655">
        <v>56601</v>
      </c>
      <c r="Y803" s="655">
        <v>0</v>
      </c>
      <c r="Z803" s="655">
        <v>0</v>
      </c>
      <c r="AA803" s="655">
        <v>0</v>
      </c>
      <c r="AB803" s="655">
        <v>0</v>
      </c>
      <c r="AC803" s="655">
        <v>2877</v>
      </c>
      <c r="AD803" s="655">
        <v>23152</v>
      </c>
      <c r="AE803" s="655">
        <v>3147283</v>
      </c>
      <c r="AF803" s="655">
        <v>47745</v>
      </c>
      <c r="AG803" s="655">
        <v>159331</v>
      </c>
      <c r="AH803" s="655">
        <v>0</v>
      </c>
      <c r="AI803" s="655">
        <v>411474</v>
      </c>
      <c r="AJ803" s="655">
        <v>485352</v>
      </c>
      <c r="AK803" s="655">
        <v>4251185</v>
      </c>
      <c r="AL803" s="655">
        <v>4370477</v>
      </c>
      <c r="AM803" s="655">
        <v>-119292</v>
      </c>
    </row>
    <row r="804" spans="1:39" x14ac:dyDescent="0.2">
      <c r="A804" s="648">
        <v>2015</v>
      </c>
      <c r="B804" s="648">
        <v>5</v>
      </c>
      <c r="C804" s="657" t="s">
        <v>212</v>
      </c>
      <c r="D804" s="648">
        <v>2846</v>
      </c>
      <c r="E804" s="648" t="s">
        <v>1128</v>
      </c>
      <c r="F804" s="655">
        <v>2111336</v>
      </c>
      <c r="G804" s="655">
        <v>0</v>
      </c>
      <c r="H804" s="655">
        <v>61023</v>
      </c>
      <c r="I804" s="655">
        <v>147214</v>
      </c>
      <c r="J804" s="655">
        <v>188885</v>
      </c>
      <c r="K804" s="655">
        <v>19601</v>
      </c>
      <c r="L804" s="655">
        <v>25679</v>
      </c>
      <c r="M804" s="655">
        <v>0</v>
      </c>
      <c r="N804" s="655">
        <v>101693</v>
      </c>
      <c r="O804" s="655">
        <v>0</v>
      </c>
      <c r="P804" s="655">
        <v>17253</v>
      </c>
      <c r="Q804" s="655">
        <v>19381</v>
      </c>
      <c r="R804" s="655">
        <v>310</v>
      </c>
      <c r="S804" s="655">
        <v>10835</v>
      </c>
      <c r="T804" s="655">
        <v>1291</v>
      </c>
      <c r="U804" s="655">
        <v>53880</v>
      </c>
      <c r="V804" s="655">
        <v>0</v>
      </c>
      <c r="W804" s="655">
        <v>12242</v>
      </c>
      <c r="X804" s="655">
        <v>0</v>
      </c>
      <c r="Y804" s="655">
        <v>0</v>
      </c>
      <c r="Z804" s="655">
        <v>0</v>
      </c>
      <c r="AA804" s="655">
        <v>0</v>
      </c>
      <c r="AB804" s="655">
        <v>0</v>
      </c>
      <c r="AC804" s="655">
        <v>-1362</v>
      </c>
      <c r="AD804" s="655">
        <v>15519</v>
      </c>
      <c r="AE804" s="655">
        <v>2753742</v>
      </c>
      <c r="AF804" s="655">
        <v>70026</v>
      </c>
      <c r="AG804" s="655">
        <v>185333</v>
      </c>
      <c r="AH804" s="655">
        <v>0</v>
      </c>
      <c r="AI804" s="655">
        <v>485443</v>
      </c>
      <c r="AJ804" s="655">
        <v>2928964</v>
      </c>
      <c r="AK804" s="655">
        <v>6423508</v>
      </c>
      <c r="AL804" s="655">
        <v>3215483</v>
      </c>
      <c r="AM804" s="655">
        <v>3208025</v>
      </c>
    </row>
    <row r="805" spans="1:39" x14ac:dyDescent="0.2">
      <c r="A805" s="648">
        <v>2015</v>
      </c>
      <c r="B805" s="648">
        <v>12</v>
      </c>
      <c r="C805" s="657" t="s">
        <v>213</v>
      </c>
      <c r="D805" s="648">
        <v>2862</v>
      </c>
      <c r="E805" s="648" t="s">
        <v>1129</v>
      </c>
      <c r="F805" s="655">
        <v>3972854</v>
      </c>
      <c r="G805" s="655">
        <v>0</v>
      </c>
      <c r="H805" s="655">
        <v>63008</v>
      </c>
      <c r="I805" s="655">
        <v>707867</v>
      </c>
      <c r="J805" s="655">
        <v>360976</v>
      </c>
      <c r="K805" s="655">
        <v>38836</v>
      </c>
      <c r="L805" s="655">
        <v>35869</v>
      </c>
      <c r="M805" s="655">
        <v>0</v>
      </c>
      <c r="N805" s="655">
        <v>209081</v>
      </c>
      <c r="O805" s="655">
        <v>2388</v>
      </c>
      <c r="P805" s="655">
        <v>37549</v>
      </c>
      <c r="Q805" s="655">
        <v>42167</v>
      </c>
      <c r="R805" s="655">
        <v>0</v>
      </c>
      <c r="S805" s="655">
        <v>20991</v>
      </c>
      <c r="T805" s="655">
        <v>2511</v>
      </c>
      <c r="U805" s="655">
        <v>191054</v>
      </c>
      <c r="V805" s="655">
        <v>0</v>
      </c>
      <c r="W805" s="655">
        <v>119410</v>
      </c>
      <c r="X805" s="655">
        <v>67883</v>
      </c>
      <c r="Y805" s="655">
        <v>0</v>
      </c>
      <c r="Z805" s="655">
        <v>0</v>
      </c>
      <c r="AA805" s="655">
        <v>0</v>
      </c>
      <c r="AB805" s="655">
        <v>0</v>
      </c>
      <c r="AC805" s="655">
        <v>-1604</v>
      </c>
      <c r="AD805" s="655">
        <v>41896</v>
      </c>
      <c r="AE805" s="655">
        <v>5828944</v>
      </c>
      <c r="AF805" s="655">
        <v>89124</v>
      </c>
      <c r="AG805" s="655">
        <v>330303</v>
      </c>
      <c r="AH805" s="655">
        <v>0</v>
      </c>
      <c r="AI805" s="655">
        <v>575166</v>
      </c>
      <c r="AJ805" s="655">
        <v>1916011</v>
      </c>
      <c r="AK805" s="655">
        <v>8739548</v>
      </c>
      <c r="AL805" s="655">
        <v>7066596</v>
      </c>
      <c r="AM805" s="655">
        <v>1672952</v>
      </c>
    </row>
    <row r="806" spans="1:39" x14ac:dyDescent="0.2">
      <c r="A806" s="648">
        <v>2015</v>
      </c>
      <c r="B806" s="648">
        <v>10</v>
      </c>
      <c r="C806" s="657" t="s">
        <v>214</v>
      </c>
      <c r="D806" s="648">
        <v>2977</v>
      </c>
      <c r="E806" s="648" t="s">
        <v>1130</v>
      </c>
      <c r="F806" s="655">
        <v>4134717</v>
      </c>
      <c r="G806" s="655">
        <v>0</v>
      </c>
      <c r="H806" s="655">
        <v>177465</v>
      </c>
      <c r="I806" s="655">
        <v>487699</v>
      </c>
      <c r="J806" s="655">
        <v>377450</v>
      </c>
      <c r="K806" s="655">
        <v>39743</v>
      </c>
      <c r="L806" s="655">
        <v>44406</v>
      </c>
      <c r="M806" s="655">
        <v>0</v>
      </c>
      <c r="N806" s="655">
        <v>202527</v>
      </c>
      <c r="O806" s="655">
        <v>0</v>
      </c>
      <c r="P806" s="655">
        <v>34008</v>
      </c>
      <c r="Q806" s="655">
        <v>37358</v>
      </c>
      <c r="R806" s="655">
        <v>0</v>
      </c>
      <c r="S806" s="655">
        <v>18857</v>
      </c>
      <c r="T806" s="655">
        <v>2193</v>
      </c>
      <c r="U806" s="655">
        <v>92250</v>
      </c>
      <c r="V806" s="655">
        <v>0</v>
      </c>
      <c r="W806" s="655">
        <v>171296</v>
      </c>
      <c r="X806" s="655">
        <v>368041</v>
      </c>
      <c r="Y806" s="655">
        <v>0</v>
      </c>
      <c r="Z806" s="655">
        <v>0</v>
      </c>
      <c r="AA806" s="655">
        <v>0</v>
      </c>
      <c r="AB806" s="655">
        <v>0</v>
      </c>
      <c r="AC806" s="655">
        <v>0</v>
      </c>
      <c r="AD806" s="655">
        <v>28769</v>
      </c>
      <c r="AE806" s="655">
        <v>6159241</v>
      </c>
      <c r="AF806" s="655">
        <v>124137</v>
      </c>
      <c r="AG806" s="655">
        <v>325402</v>
      </c>
      <c r="AH806" s="655">
        <v>0</v>
      </c>
      <c r="AI806" s="655">
        <v>946329</v>
      </c>
      <c r="AJ806" s="655">
        <v>543539</v>
      </c>
      <c r="AK806" s="655">
        <v>8098648</v>
      </c>
      <c r="AL806" s="655">
        <v>7950919</v>
      </c>
      <c r="AM806" s="655">
        <v>147729</v>
      </c>
    </row>
    <row r="807" spans="1:39" x14ac:dyDescent="0.2">
      <c r="A807" s="648">
        <v>2015</v>
      </c>
      <c r="B807" s="648">
        <v>12</v>
      </c>
      <c r="C807" s="657" t="s">
        <v>215</v>
      </c>
      <c r="D807" s="648">
        <v>2988</v>
      </c>
      <c r="E807" s="648" t="s">
        <v>1131</v>
      </c>
      <c r="F807" s="655">
        <v>3479656</v>
      </c>
      <c r="G807" s="655">
        <v>0</v>
      </c>
      <c r="H807" s="655">
        <v>26985</v>
      </c>
      <c r="I807" s="655">
        <v>310597</v>
      </c>
      <c r="J807" s="655">
        <v>312611</v>
      </c>
      <c r="K807" s="655">
        <v>35081</v>
      </c>
      <c r="L807" s="655">
        <v>37748</v>
      </c>
      <c r="M807" s="655">
        <v>0</v>
      </c>
      <c r="N807" s="655">
        <v>170555</v>
      </c>
      <c r="O807" s="655">
        <v>0</v>
      </c>
      <c r="P807" s="655">
        <v>29746</v>
      </c>
      <c r="Q807" s="655">
        <v>33404</v>
      </c>
      <c r="R807" s="655">
        <v>0</v>
      </c>
      <c r="S807" s="655">
        <v>17123</v>
      </c>
      <c r="T807" s="655">
        <v>2048</v>
      </c>
      <c r="U807" s="655">
        <v>120654</v>
      </c>
      <c r="V807" s="655">
        <v>0</v>
      </c>
      <c r="W807" s="655">
        <v>24484</v>
      </c>
      <c r="X807" s="655">
        <v>0</v>
      </c>
      <c r="Y807" s="655">
        <v>0</v>
      </c>
      <c r="Z807" s="655">
        <v>0</v>
      </c>
      <c r="AA807" s="655">
        <v>0</v>
      </c>
      <c r="AB807" s="655">
        <v>0</v>
      </c>
      <c r="AC807" s="655">
        <v>0</v>
      </c>
      <c r="AD807" s="655">
        <v>25986</v>
      </c>
      <c r="AE807" s="655">
        <v>4574706</v>
      </c>
      <c r="AF807" s="655">
        <v>89124</v>
      </c>
      <c r="AG807" s="655">
        <v>271727</v>
      </c>
      <c r="AH807" s="655">
        <v>0</v>
      </c>
      <c r="AI807" s="655">
        <v>1945206</v>
      </c>
      <c r="AJ807" s="655">
        <v>975306</v>
      </c>
      <c r="AK807" s="655">
        <v>7856069</v>
      </c>
      <c r="AL807" s="655">
        <v>6828596</v>
      </c>
      <c r="AM807" s="655">
        <v>1027473</v>
      </c>
    </row>
    <row r="808" spans="1:39" x14ac:dyDescent="0.2">
      <c r="A808" s="648">
        <v>2015</v>
      </c>
      <c r="B808" s="648">
        <v>1</v>
      </c>
      <c r="C808" s="657" t="s">
        <v>216</v>
      </c>
      <c r="D808" s="648">
        <v>3029</v>
      </c>
      <c r="E808" s="648" t="s">
        <v>1132</v>
      </c>
      <c r="F808" s="655">
        <v>8416882</v>
      </c>
      <c r="G808" s="655">
        <v>0</v>
      </c>
      <c r="H808" s="655">
        <v>146898</v>
      </c>
      <c r="I808" s="655">
        <v>930782</v>
      </c>
      <c r="J808" s="655">
        <v>740501</v>
      </c>
      <c r="K808" s="655">
        <v>79473</v>
      </c>
      <c r="L808" s="655">
        <v>77618</v>
      </c>
      <c r="M808" s="655">
        <v>0</v>
      </c>
      <c r="N808" s="655">
        <v>423634</v>
      </c>
      <c r="O808" s="655">
        <v>8296</v>
      </c>
      <c r="P808" s="655">
        <v>76655</v>
      </c>
      <c r="Q808" s="655">
        <v>85556</v>
      </c>
      <c r="R808" s="655">
        <v>0</v>
      </c>
      <c r="S808" s="655">
        <v>41660</v>
      </c>
      <c r="T808" s="655">
        <v>4451</v>
      </c>
      <c r="U808" s="655">
        <v>369450</v>
      </c>
      <c r="V808" s="655">
        <v>0</v>
      </c>
      <c r="W808" s="655">
        <v>137517</v>
      </c>
      <c r="X808" s="655">
        <v>517740</v>
      </c>
      <c r="Y808" s="655">
        <v>0</v>
      </c>
      <c r="Z808" s="655">
        <v>0</v>
      </c>
      <c r="AA808" s="655">
        <v>0</v>
      </c>
      <c r="AB808" s="655">
        <v>0</v>
      </c>
      <c r="AC808" s="655">
        <v>0</v>
      </c>
      <c r="AD808" s="655">
        <v>74965</v>
      </c>
      <c r="AE808" s="655">
        <v>11982148</v>
      </c>
      <c r="AF808" s="655">
        <v>280104</v>
      </c>
      <c r="AG808" s="655">
        <v>672677</v>
      </c>
      <c r="AH808" s="655">
        <v>0</v>
      </c>
      <c r="AI808" s="655">
        <v>1332685</v>
      </c>
      <c r="AJ808" s="655">
        <v>2457324</v>
      </c>
      <c r="AK808" s="655">
        <v>16724938</v>
      </c>
      <c r="AL808" s="655">
        <v>14455354</v>
      </c>
      <c r="AM808" s="655">
        <v>2269584</v>
      </c>
    </row>
    <row r="809" spans="1:39" x14ac:dyDescent="0.2">
      <c r="A809" s="648">
        <v>2015</v>
      </c>
      <c r="B809" s="648">
        <v>7</v>
      </c>
      <c r="C809" s="657" t="s">
        <v>217</v>
      </c>
      <c r="D809" s="648">
        <v>3033</v>
      </c>
      <c r="E809" s="648" t="s">
        <v>640</v>
      </c>
      <c r="F809" s="655">
        <v>2829590</v>
      </c>
      <c r="G809" s="655">
        <v>0</v>
      </c>
      <c r="H809" s="655">
        <v>68939</v>
      </c>
      <c r="I809" s="655">
        <v>338994</v>
      </c>
      <c r="J809" s="655">
        <v>237436</v>
      </c>
      <c r="K809" s="655">
        <v>19922</v>
      </c>
      <c r="L809" s="655">
        <v>23238</v>
      </c>
      <c r="M809" s="655">
        <v>0</v>
      </c>
      <c r="N809" s="655">
        <v>138522</v>
      </c>
      <c r="O809" s="655">
        <v>0</v>
      </c>
      <c r="P809" s="655">
        <v>22894</v>
      </c>
      <c r="Q809" s="655">
        <v>25578</v>
      </c>
      <c r="R809" s="655">
        <v>0</v>
      </c>
      <c r="S809" s="655">
        <v>17682</v>
      </c>
      <c r="T809" s="655">
        <v>2030</v>
      </c>
      <c r="U809" s="655">
        <v>141674</v>
      </c>
      <c r="V809" s="655">
        <v>0</v>
      </c>
      <c r="W809" s="655">
        <v>94263</v>
      </c>
      <c r="X809" s="655">
        <v>160105</v>
      </c>
      <c r="Y809" s="655">
        <v>0</v>
      </c>
      <c r="Z809" s="655">
        <v>0</v>
      </c>
      <c r="AA809" s="655">
        <v>0</v>
      </c>
      <c r="AB809" s="655">
        <v>0</v>
      </c>
      <c r="AC809" s="655">
        <v>6233</v>
      </c>
      <c r="AD809" s="655">
        <v>23920</v>
      </c>
      <c r="AE809" s="655">
        <v>4103180</v>
      </c>
      <c r="AF809" s="655">
        <v>92307</v>
      </c>
      <c r="AG809" s="655">
        <v>240260</v>
      </c>
      <c r="AH809" s="655">
        <v>0</v>
      </c>
      <c r="AI809" s="655">
        <v>1551487</v>
      </c>
      <c r="AJ809" s="655">
        <v>1433988</v>
      </c>
      <c r="AK809" s="655">
        <v>7421222</v>
      </c>
      <c r="AL809" s="655">
        <v>5744508</v>
      </c>
      <c r="AM809" s="655">
        <v>1676714</v>
      </c>
    </row>
    <row r="810" spans="1:39" x14ac:dyDescent="0.2">
      <c r="A810" s="648">
        <v>2015</v>
      </c>
      <c r="B810" s="648">
        <v>7</v>
      </c>
      <c r="C810" s="657" t="s">
        <v>218</v>
      </c>
      <c r="D810" s="648">
        <v>3042</v>
      </c>
      <c r="E810" s="648" t="s">
        <v>1134</v>
      </c>
      <c r="F810" s="655">
        <v>4382470</v>
      </c>
      <c r="G810" s="655">
        <v>17930</v>
      </c>
      <c r="H810" s="655">
        <v>92065</v>
      </c>
      <c r="I810" s="655">
        <v>560171</v>
      </c>
      <c r="J810" s="655">
        <v>398871</v>
      </c>
      <c r="K810" s="655">
        <v>45145</v>
      </c>
      <c r="L810" s="655">
        <v>34418</v>
      </c>
      <c r="M810" s="655">
        <v>0</v>
      </c>
      <c r="N810" s="655">
        <v>213997</v>
      </c>
      <c r="O810" s="655">
        <v>0</v>
      </c>
      <c r="P810" s="655">
        <v>35782</v>
      </c>
      <c r="Q810" s="655">
        <v>39976</v>
      </c>
      <c r="R810" s="655">
        <v>0</v>
      </c>
      <c r="S810" s="655">
        <v>27316</v>
      </c>
      <c r="T810" s="655">
        <v>3136</v>
      </c>
      <c r="U810" s="655">
        <v>123348</v>
      </c>
      <c r="V810" s="655">
        <v>0</v>
      </c>
      <c r="W810" s="655">
        <v>24484</v>
      </c>
      <c r="X810" s="655">
        <v>235835</v>
      </c>
      <c r="Y810" s="655">
        <v>0</v>
      </c>
      <c r="Z810" s="655">
        <v>0</v>
      </c>
      <c r="AA810" s="655">
        <v>0</v>
      </c>
      <c r="AB810" s="655">
        <v>0</v>
      </c>
      <c r="AC810" s="655">
        <v>0</v>
      </c>
      <c r="AD810" s="655">
        <v>34532</v>
      </c>
      <c r="AE810" s="655">
        <v>6200412</v>
      </c>
      <c r="AF810" s="655">
        <v>0</v>
      </c>
      <c r="AG810" s="655">
        <v>327258</v>
      </c>
      <c r="AH810" s="655">
        <v>0</v>
      </c>
      <c r="AI810" s="655">
        <v>1262377</v>
      </c>
      <c r="AJ810" s="655">
        <v>1358464</v>
      </c>
      <c r="AK810" s="655">
        <v>9148511</v>
      </c>
      <c r="AL810" s="655">
        <v>7419200</v>
      </c>
      <c r="AM810" s="655">
        <v>1729311</v>
      </c>
    </row>
    <row r="811" spans="1:39" x14ac:dyDescent="0.2">
      <c r="A811" s="648">
        <v>2015</v>
      </c>
      <c r="B811" s="648">
        <v>5</v>
      </c>
      <c r="C811" s="657" t="s">
        <v>219</v>
      </c>
      <c r="D811" s="648">
        <v>3060</v>
      </c>
      <c r="E811" s="648" t="s">
        <v>1135</v>
      </c>
      <c r="F811" s="655">
        <v>7572357</v>
      </c>
      <c r="G811" s="655">
        <v>0</v>
      </c>
      <c r="H811" s="655">
        <v>340887</v>
      </c>
      <c r="I811" s="655">
        <v>700133</v>
      </c>
      <c r="J811" s="655">
        <v>670545</v>
      </c>
      <c r="K811" s="655">
        <v>73249</v>
      </c>
      <c r="L811" s="655">
        <v>81445</v>
      </c>
      <c r="M811" s="655">
        <v>0</v>
      </c>
      <c r="N811" s="655">
        <v>376628</v>
      </c>
      <c r="O811" s="655">
        <v>0</v>
      </c>
      <c r="P811" s="655">
        <v>69955</v>
      </c>
      <c r="Q811" s="655">
        <v>78586</v>
      </c>
      <c r="R811" s="655">
        <v>1151</v>
      </c>
      <c r="S811" s="655">
        <v>40128</v>
      </c>
      <c r="T811" s="655">
        <v>4782</v>
      </c>
      <c r="U811" s="655">
        <v>240538</v>
      </c>
      <c r="V811" s="655">
        <v>0</v>
      </c>
      <c r="W811" s="655">
        <v>155967</v>
      </c>
      <c r="X811" s="655">
        <v>270993</v>
      </c>
      <c r="Y811" s="655">
        <v>0</v>
      </c>
      <c r="Z811" s="655">
        <v>0</v>
      </c>
      <c r="AA811" s="655">
        <v>0</v>
      </c>
      <c r="AB811" s="655">
        <v>0</v>
      </c>
      <c r="AC811" s="655">
        <v>-13283</v>
      </c>
      <c r="AD811" s="655">
        <v>61988</v>
      </c>
      <c r="AE811" s="655">
        <v>10602073</v>
      </c>
      <c r="AF811" s="655">
        <v>203712</v>
      </c>
      <c r="AG811" s="655">
        <v>581936</v>
      </c>
      <c r="AH811" s="655">
        <v>0</v>
      </c>
      <c r="AI811" s="655">
        <v>2843776</v>
      </c>
      <c r="AJ811" s="655">
        <v>1660578</v>
      </c>
      <c r="AK811" s="655">
        <v>15892075</v>
      </c>
      <c r="AL811" s="655">
        <v>14560577</v>
      </c>
      <c r="AM811" s="655">
        <v>1331498</v>
      </c>
    </row>
    <row r="812" spans="1:39" x14ac:dyDescent="0.2">
      <c r="A812" s="648">
        <v>2015</v>
      </c>
      <c r="B812" s="648">
        <v>7</v>
      </c>
      <c r="C812" s="657" t="s">
        <v>220</v>
      </c>
      <c r="D812" s="648">
        <v>3105</v>
      </c>
      <c r="E812" s="648" t="s">
        <v>1136</v>
      </c>
      <c r="F812" s="655">
        <v>8856379</v>
      </c>
      <c r="G812" s="655">
        <v>0</v>
      </c>
      <c r="H812" s="655">
        <v>124481</v>
      </c>
      <c r="I812" s="655">
        <v>1605951</v>
      </c>
      <c r="J812" s="655">
        <v>800469</v>
      </c>
      <c r="K812" s="655">
        <v>94407</v>
      </c>
      <c r="L812" s="655">
        <v>88633</v>
      </c>
      <c r="M812" s="655">
        <v>0</v>
      </c>
      <c r="N812" s="655">
        <v>465431</v>
      </c>
      <c r="O812" s="655">
        <v>0</v>
      </c>
      <c r="P812" s="655">
        <v>79214</v>
      </c>
      <c r="Q812" s="655">
        <v>88497</v>
      </c>
      <c r="R812" s="655">
        <v>0</v>
      </c>
      <c r="S812" s="655">
        <v>59411</v>
      </c>
      <c r="T812" s="655">
        <v>6820</v>
      </c>
      <c r="U812" s="655">
        <v>406504</v>
      </c>
      <c r="V812" s="655">
        <v>0</v>
      </c>
      <c r="W812" s="655">
        <v>150849</v>
      </c>
      <c r="X812" s="655">
        <v>271425</v>
      </c>
      <c r="Y812" s="655">
        <v>0</v>
      </c>
      <c r="Z812" s="655">
        <v>0</v>
      </c>
      <c r="AA812" s="655">
        <v>0</v>
      </c>
      <c r="AB812" s="655">
        <v>0</v>
      </c>
      <c r="AC812" s="655">
        <v>428</v>
      </c>
      <c r="AD812" s="655">
        <v>73977</v>
      </c>
      <c r="AE812" s="655">
        <v>13024922</v>
      </c>
      <c r="AF812" s="655">
        <v>346947</v>
      </c>
      <c r="AG812" s="655">
        <v>653689</v>
      </c>
      <c r="AH812" s="655">
        <v>0</v>
      </c>
      <c r="AI812" s="655">
        <v>2196275</v>
      </c>
      <c r="AJ812" s="655">
        <v>2096495</v>
      </c>
      <c r="AK812" s="655">
        <v>18318328</v>
      </c>
      <c r="AL812" s="655">
        <v>16436669</v>
      </c>
      <c r="AM812" s="655">
        <v>1881659</v>
      </c>
    </row>
    <row r="813" spans="1:39" x14ac:dyDescent="0.2">
      <c r="A813" s="648">
        <v>2015</v>
      </c>
      <c r="B813" s="648">
        <v>11</v>
      </c>
      <c r="C813" s="657" t="s">
        <v>221</v>
      </c>
      <c r="D813" s="648">
        <v>3114</v>
      </c>
      <c r="E813" s="648" t="s">
        <v>1137</v>
      </c>
      <c r="F813" s="655">
        <v>21662225</v>
      </c>
      <c r="G813" s="655">
        <v>0</v>
      </c>
      <c r="H813" s="655">
        <v>305301</v>
      </c>
      <c r="I813" s="655">
        <v>1956272</v>
      </c>
      <c r="J813" s="655">
        <v>1724981</v>
      </c>
      <c r="K813" s="655">
        <v>205019</v>
      </c>
      <c r="L813" s="655">
        <v>194878</v>
      </c>
      <c r="M813" s="655">
        <v>0</v>
      </c>
      <c r="N813" s="655">
        <v>1008479</v>
      </c>
      <c r="O813" s="655">
        <v>0</v>
      </c>
      <c r="P813" s="655">
        <v>178171</v>
      </c>
      <c r="Q813" s="655">
        <v>195556</v>
      </c>
      <c r="R813" s="655">
        <v>0</v>
      </c>
      <c r="S813" s="655">
        <v>82364</v>
      </c>
      <c r="T813" s="655">
        <v>10500</v>
      </c>
      <c r="U813" s="655">
        <v>1041427</v>
      </c>
      <c r="V813" s="655">
        <v>7216</v>
      </c>
      <c r="W813" s="655">
        <v>182068</v>
      </c>
      <c r="X813" s="655">
        <v>652775</v>
      </c>
      <c r="Y813" s="655">
        <v>0</v>
      </c>
      <c r="Z813" s="655">
        <v>0</v>
      </c>
      <c r="AA813" s="655">
        <v>0</v>
      </c>
      <c r="AB813" s="655">
        <v>0</v>
      </c>
      <c r="AC813" s="655">
        <v>-11446</v>
      </c>
      <c r="AD813" s="655">
        <v>139171</v>
      </c>
      <c r="AE813" s="655">
        <v>29256615</v>
      </c>
      <c r="AF813" s="655">
        <v>391509</v>
      </c>
      <c r="AG813" s="655">
        <v>1425375</v>
      </c>
      <c r="AH813" s="655">
        <v>0</v>
      </c>
      <c r="AI813" s="655">
        <v>2823002</v>
      </c>
      <c r="AJ813" s="655">
        <v>6578207</v>
      </c>
      <c r="AK813" s="655">
        <v>40474708</v>
      </c>
      <c r="AL813" s="655">
        <v>33933222</v>
      </c>
      <c r="AM813" s="655">
        <v>6541486</v>
      </c>
    </row>
    <row r="814" spans="1:39" x14ac:dyDescent="0.2">
      <c r="A814" s="648">
        <v>2015</v>
      </c>
      <c r="B814" s="648">
        <v>11</v>
      </c>
      <c r="C814" s="657" t="s">
        <v>222</v>
      </c>
      <c r="D814" s="648">
        <v>3119</v>
      </c>
      <c r="E814" s="648" t="s">
        <v>1138</v>
      </c>
      <c r="F814" s="655">
        <v>5642822</v>
      </c>
      <c r="G814" s="655">
        <v>0</v>
      </c>
      <c r="H814" s="655">
        <v>65602</v>
      </c>
      <c r="I814" s="655">
        <v>514500</v>
      </c>
      <c r="J814" s="655">
        <v>495267</v>
      </c>
      <c r="K814" s="655">
        <v>45304</v>
      </c>
      <c r="L814" s="655">
        <v>51863</v>
      </c>
      <c r="M814" s="655">
        <v>0</v>
      </c>
      <c r="N814" s="655">
        <v>262910</v>
      </c>
      <c r="O814" s="655">
        <v>0</v>
      </c>
      <c r="P814" s="655">
        <v>46244</v>
      </c>
      <c r="Q814" s="655">
        <v>50757</v>
      </c>
      <c r="R814" s="655">
        <v>0</v>
      </c>
      <c r="S814" s="655">
        <v>21472</v>
      </c>
      <c r="T814" s="655">
        <v>2737</v>
      </c>
      <c r="U814" s="655">
        <v>0</v>
      </c>
      <c r="V814" s="655">
        <v>0</v>
      </c>
      <c r="W814" s="655">
        <v>147190</v>
      </c>
      <c r="X814" s="655">
        <v>163652</v>
      </c>
      <c r="Y814" s="655">
        <v>0</v>
      </c>
      <c r="Z814" s="655">
        <v>0</v>
      </c>
      <c r="AA814" s="655">
        <v>0</v>
      </c>
      <c r="AB814" s="655">
        <v>0</v>
      </c>
      <c r="AC814" s="655">
        <v>0</v>
      </c>
      <c r="AD814" s="655">
        <v>33511</v>
      </c>
      <c r="AE814" s="655">
        <v>7476809</v>
      </c>
      <c r="AF814" s="655">
        <v>124137</v>
      </c>
      <c r="AG814" s="655">
        <v>0</v>
      </c>
      <c r="AH814" s="655">
        <v>0</v>
      </c>
      <c r="AI814" s="655">
        <v>987722</v>
      </c>
      <c r="AJ814" s="655">
        <v>2201190</v>
      </c>
      <c r="AK814" s="655">
        <v>10789858</v>
      </c>
      <c r="AL814" s="655">
        <v>8910903</v>
      </c>
      <c r="AM814" s="655">
        <v>1878955</v>
      </c>
    </row>
    <row r="815" spans="1:39" x14ac:dyDescent="0.2">
      <c r="A815" s="648">
        <v>2015</v>
      </c>
      <c r="B815" s="648">
        <v>10</v>
      </c>
      <c r="C815" s="657" t="s">
        <v>223</v>
      </c>
      <c r="D815" s="648">
        <v>3141</v>
      </c>
      <c r="E815" s="648" t="s">
        <v>1139</v>
      </c>
      <c r="F815" s="655">
        <v>83999642</v>
      </c>
      <c r="G815" s="655">
        <v>0</v>
      </c>
      <c r="H815" s="655">
        <v>1885628</v>
      </c>
      <c r="I815" s="655">
        <v>9490436</v>
      </c>
      <c r="J815" s="655">
        <v>6927503</v>
      </c>
      <c r="K815" s="655">
        <v>860394</v>
      </c>
      <c r="L815" s="655">
        <v>879345</v>
      </c>
      <c r="M815" s="655">
        <v>0</v>
      </c>
      <c r="N815" s="655">
        <v>4085266</v>
      </c>
      <c r="O815" s="655">
        <v>0</v>
      </c>
      <c r="P815" s="655">
        <v>727714</v>
      </c>
      <c r="Q815" s="655">
        <v>799395</v>
      </c>
      <c r="R815" s="655">
        <v>0</v>
      </c>
      <c r="S815" s="655">
        <v>380376</v>
      </c>
      <c r="T815" s="655">
        <v>44233</v>
      </c>
      <c r="U815" s="655">
        <v>4038835</v>
      </c>
      <c r="V815" s="655">
        <v>1165350</v>
      </c>
      <c r="W815" s="655">
        <v>1148812</v>
      </c>
      <c r="X815" s="655">
        <v>5650359</v>
      </c>
      <c r="Y815" s="655">
        <v>0</v>
      </c>
      <c r="Z815" s="655">
        <v>0</v>
      </c>
      <c r="AA815" s="655">
        <v>0</v>
      </c>
      <c r="AB815" s="655">
        <v>0</v>
      </c>
      <c r="AC815" s="655">
        <v>0</v>
      </c>
      <c r="AD815" s="655">
        <v>485100</v>
      </c>
      <c r="AE815" s="655">
        <v>121598188</v>
      </c>
      <c r="AF815" s="655">
        <v>1094952</v>
      </c>
      <c r="AG815" s="655">
        <v>6738451</v>
      </c>
      <c r="AH815" s="655">
        <v>0</v>
      </c>
      <c r="AI815" s="655">
        <v>11252573</v>
      </c>
      <c r="AJ815" s="655">
        <v>4425304</v>
      </c>
      <c r="AK815" s="655">
        <v>145109468</v>
      </c>
      <c r="AL815" s="655">
        <v>138665217</v>
      </c>
      <c r="AM815" s="655">
        <v>6444251</v>
      </c>
    </row>
    <row r="816" spans="1:39" x14ac:dyDescent="0.2">
      <c r="A816" s="648">
        <v>2015</v>
      </c>
      <c r="B816" s="648">
        <v>7</v>
      </c>
      <c r="C816" s="657" t="s">
        <v>224</v>
      </c>
      <c r="D816" s="648">
        <v>3150</v>
      </c>
      <c r="E816" s="648" t="s">
        <v>1140</v>
      </c>
      <c r="F816" s="655">
        <v>6928463</v>
      </c>
      <c r="G816" s="655">
        <v>0</v>
      </c>
      <c r="H816" s="655">
        <v>214359</v>
      </c>
      <c r="I816" s="655">
        <v>962340</v>
      </c>
      <c r="J816" s="655">
        <v>607162</v>
      </c>
      <c r="K816" s="655">
        <v>70698</v>
      </c>
      <c r="L816" s="655">
        <v>76223</v>
      </c>
      <c r="M816" s="655">
        <v>0</v>
      </c>
      <c r="N816" s="655">
        <v>350757</v>
      </c>
      <c r="O816" s="655">
        <v>0</v>
      </c>
      <c r="P816" s="655">
        <v>57210</v>
      </c>
      <c r="Q816" s="655">
        <v>63915</v>
      </c>
      <c r="R816" s="655">
        <v>0</v>
      </c>
      <c r="S816" s="655">
        <v>44774</v>
      </c>
      <c r="T816" s="655">
        <v>5140</v>
      </c>
      <c r="U816" s="655">
        <v>346423</v>
      </c>
      <c r="V816" s="655">
        <v>32474</v>
      </c>
      <c r="W816" s="655">
        <v>30605</v>
      </c>
      <c r="X816" s="655">
        <v>178881</v>
      </c>
      <c r="Y816" s="655">
        <v>0</v>
      </c>
      <c r="Z816" s="655">
        <v>0</v>
      </c>
      <c r="AA816" s="655">
        <v>0</v>
      </c>
      <c r="AB816" s="655">
        <v>0</v>
      </c>
      <c r="AC816" s="655">
        <v>0</v>
      </c>
      <c r="AD816" s="655">
        <v>49711</v>
      </c>
      <c r="AE816" s="655">
        <v>9919713</v>
      </c>
      <c r="AF816" s="655">
        <v>35013</v>
      </c>
      <c r="AG816" s="655">
        <v>466078</v>
      </c>
      <c r="AH816" s="655">
        <v>0</v>
      </c>
      <c r="AI816" s="655">
        <v>1927402</v>
      </c>
      <c r="AJ816" s="655">
        <v>3441542</v>
      </c>
      <c r="AK816" s="655">
        <v>15789748</v>
      </c>
      <c r="AL816" s="655">
        <v>12238901</v>
      </c>
      <c r="AM816" s="655">
        <v>3550847</v>
      </c>
    </row>
    <row r="817" spans="1:39" x14ac:dyDescent="0.2">
      <c r="A817" s="648">
        <v>2015</v>
      </c>
      <c r="B817" s="648">
        <v>10</v>
      </c>
      <c r="C817" s="657" t="s">
        <v>225</v>
      </c>
      <c r="D817" s="648">
        <v>3154</v>
      </c>
      <c r="E817" s="648" t="s">
        <v>1141</v>
      </c>
      <c r="F817" s="655">
        <v>3549682</v>
      </c>
      <c r="G817" s="655">
        <v>0</v>
      </c>
      <c r="H817" s="655">
        <v>93555</v>
      </c>
      <c r="I817" s="655">
        <v>384888</v>
      </c>
      <c r="J817" s="655">
        <v>290772</v>
      </c>
      <c r="K817" s="655">
        <v>33958</v>
      </c>
      <c r="L817" s="655">
        <v>28287</v>
      </c>
      <c r="M817" s="655">
        <v>0</v>
      </c>
      <c r="N817" s="655">
        <v>172389</v>
      </c>
      <c r="O817" s="655">
        <v>15219</v>
      </c>
      <c r="P817" s="655">
        <v>29217</v>
      </c>
      <c r="Q817" s="655">
        <v>32095</v>
      </c>
      <c r="R817" s="655">
        <v>0</v>
      </c>
      <c r="S817" s="655">
        <v>16051</v>
      </c>
      <c r="T817" s="655">
        <v>1867</v>
      </c>
      <c r="U817" s="655">
        <v>13679</v>
      </c>
      <c r="V817" s="655">
        <v>0</v>
      </c>
      <c r="W817" s="655">
        <v>122949</v>
      </c>
      <c r="X817" s="655">
        <v>40593</v>
      </c>
      <c r="Y817" s="655">
        <v>0</v>
      </c>
      <c r="Z817" s="655">
        <v>0</v>
      </c>
      <c r="AA817" s="655">
        <v>0</v>
      </c>
      <c r="AB817" s="655">
        <v>0</v>
      </c>
      <c r="AC817" s="655">
        <v>0</v>
      </c>
      <c r="AD817" s="655">
        <v>30923</v>
      </c>
      <c r="AE817" s="655">
        <v>4794278</v>
      </c>
      <c r="AF817" s="655">
        <v>92307</v>
      </c>
      <c r="AG817" s="655">
        <v>247626</v>
      </c>
      <c r="AH817" s="655">
        <v>0</v>
      </c>
      <c r="AI817" s="655">
        <v>606474</v>
      </c>
      <c r="AJ817" s="655">
        <v>1140407</v>
      </c>
      <c r="AK817" s="655">
        <v>6881092</v>
      </c>
      <c r="AL817" s="655">
        <v>6085468</v>
      </c>
      <c r="AM817" s="655">
        <v>795624</v>
      </c>
    </row>
    <row r="818" spans="1:39" x14ac:dyDescent="0.2">
      <c r="A818" s="648">
        <v>2015</v>
      </c>
      <c r="B818" s="648">
        <v>13</v>
      </c>
      <c r="C818" s="657" t="s">
        <v>1484</v>
      </c>
      <c r="D818" s="648">
        <v>3168</v>
      </c>
      <c r="E818" s="648" t="s">
        <v>1481</v>
      </c>
      <c r="F818" s="655">
        <v>4570876</v>
      </c>
      <c r="G818" s="655">
        <v>26031</v>
      </c>
      <c r="H818" s="655">
        <v>188274</v>
      </c>
      <c r="I818" s="655">
        <v>395974</v>
      </c>
      <c r="J818" s="655">
        <v>424122</v>
      </c>
      <c r="K818" s="655">
        <v>48593</v>
      </c>
      <c r="L818" s="655">
        <v>43306</v>
      </c>
      <c r="M818" s="655">
        <v>0</v>
      </c>
      <c r="N818" s="655">
        <v>214956</v>
      </c>
      <c r="O818" s="655">
        <v>17294</v>
      </c>
      <c r="P818" s="655">
        <v>37453</v>
      </c>
      <c r="Q818" s="655">
        <v>41422</v>
      </c>
      <c r="R818" s="655">
        <v>0</v>
      </c>
      <c r="S818" s="655">
        <v>22096</v>
      </c>
      <c r="T818" s="655">
        <v>2342</v>
      </c>
      <c r="U818" s="655">
        <v>101157</v>
      </c>
      <c r="V818" s="655">
        <v>0</v>
      </c>
      <c r="W818" s="655">
        <v>97936</v>
      </c>
      <c r="X818" s="655">
        <v>305594</v>
      </c>
      <c r="Y818" s="655">
        <v>0</v>
      </c>
      <c r="Z818" s="655">
        <v>0</v>
      </c>
      <c r="AA818" s="655">
        <v>0</v>
      </c>
      <c r="AB818" s="655">
        <v>0</v>
      </c>
      <c r="AC818" s="655">
        <v>0</v>
      </c>
      <c r="AD818" s="655">
        <v>45080</v>
      </c>
      <c r="AE818" s="655">
        <v>6492346</v>
      </c>
      <c r="AF818" s="655">
        <v>133686</v>
      </c>
      <c r="AG818" s="655">
        <v>388025</v>
      </c>
      <c r="AH818" s="655">
        <v>0</v>
      </c>
      <c r="AI818" s="655">
        <v>885901</v>
      </c>
      <c r="AJ818" s="655">
        <v>1865222</v>
      </c>
      <c r="AK818" s="655">
        <v>9765180</v>
      </c>
      <c r="AL818" s="655">
        <v>7601852</v>
      </c>
      <c r="AM818" s="655">
        <v>2163328</v>
      </c>
    </row>
    <row r="819" spans="1:39" x14ac:dyDescent="0.2">
      <c r="A819" s="648">
        <v>2015</v>
      </c>
      <c r="B819" s="648">
        <v>7</v>
      </c>
      <c r="C819" s="657" t="s">
        <v>226</v>
      </c>
      <c r="D819" s="648">
        <v>3186</v>
      </c>
      <c r="E819" s="648" t="s">
        <v>1142</v>
      </c>
      <c r="F819" s="655">
        <v>2414087</v>
      </c>
      <c r="G819" s="655">
        <v>0</v>
      </c>
      <c r="H819" s="655">
        <v>23368</v>
      </c>
      <c r="I819" s="655">
        <v>237737</v>
      </c>
      <c r="J819" s="655">
        <v>201766</v>
      </c>
      <c r="K819" s="655">
        <v>19149</v>
      </c>
      <c r="L819" s="655">
        <v>16675</v>
      </c>
      <c r="M819" s="655">
        <v>0</v>
      </c>
      <c r="N819" s="655">
        <v>116596</v>
      </c>
      <c r="O819" s="655">
        <v>0</v>
      </c>
      <c r="P819" s="655">
        <v>20065</v>
      </c>
      <c r="Q819" s="655">
        <v>22417</v>
      </c>
      <c r="R819" s="655">
        <v>0</v>
      </c>
      <c r="S819" s="655">
        <v>14883</v>
      </c>
      <c r="T819" s="655">
        <v>1709</v>
      </c>
      <c r="U819" s="655">
        <v>26989</v>
      </c>
      <c r="V819" s="655">
        <v>0</v>
      </c>
      <c r="W819" s="655">
        <v>99632</v>
      </c>
      <c r="X819" s="655">
        <v>0</v>
      </c>
      <c r="Y819" s="655">
        <v>0</v>
      </c>
      <c r="Z819" s="655">
        <v>0</v>
      </c>
      <c r="AA819" s="655">
        <v>0</v>
      </c>
      <c r="AB819" s="655">
        <v>0</v>
      </c>
      <c r="AC819" s="655">
        <v>0</v>
      </c>
      <c r="AD819" s="655">
        <v>15951</v>
      </c>
      <c r="AE819" s="655">
        <v>3199122</v>
      </c>
      <c r="AF819" s="655">
        <v>105039</v>
      </c>
      <c r="AG819" s="655">
        <v>185861</v>
      </c>
      <c r="AH819" s="655">
        <v>0</v>
      </c>
      <c r="AI819" s="655">
        <v>737857</v>
      </c>
      <c r="AJ819" s="655">
        <v>2314103</v>
      </c>
      <c r="AK819" s="655">
        <v>6541982</v>
      </c>
      <c r="AL819" s="655">
        <v>3901406</v>
      </c>
      <c r="AM819" s="655">
        <v>2640576</v>
      </c>
    </row>
    <row r="820" spans="1:39" x14ac:dyDescent="0.2">
      <c r="A820" s="648">
        <v>2015</v>
      </c>
      <c r="B820" s="648">
        <v>5</v>
      </c>
      <c r="C820" s="657" t="s">
        <v>227</v>
      </c>
      <c r="D820" s="648">
        <v>3195</v>
      </c>
      <c r="E820" s="648" t="s">
        <v>1638</v>
      </c>
      <c r="F820" s="655">
        <v>8394540</v>
      </c>
      <c r="G820" s="655">
        <v>0</v>
      </c>
      <c r="H820" s="655">
        <v>540516</v>
      </c>
      <c r="I820" s="655">
        <v>1162034</v>
      </c>
      <c r="J820" s="655">
        <v>727822</v>
      </c>
      <c r="K820" s="655">
        <v>82811</v>
      </c>
      <c r="L820" s="655">
        <v>89655</v>
      </c>
      <c r="M820" s="655">
        <v>0</v>
      </c>
      <c r="N820" s="655">
        <v>430090</v>
      </c>
      <c r="O820" s="655">
        <v>0</v>
      </c>
      <c r="P820" s="655">
        <v>68434</v>
      </c>
      <c r="Q820" s="655">
        <v>76878</v>
      </c>
      <c r="R820" s="655">
        <v>1313</v>
      </c>
      <c r="S820" s="655">
        <v>45824</v>
      </c>
      <c r="T820" s="655">
        <v>5461</v>
      </c>
      <c r="U820" s="655">
        <v>419863</v>
      </c>
      <c r="V820" s="655">
        <v>3834</v>
      </c>
      <c r="W820" s="655">
        <v>57537</v>
      </c>
      <c r="X820" s="655">
        <v>147307</v>
      </c>
      <c r="Y820" s="655">
        <v>0</v>
      </c>
      <c r="Z820" s="655">
        <v>0</v>
      </c>
      <c r="AA820" s="655">
        <v>0</v>
      </c>
      <c r="AB820" s="655">
        <v>0</v>
      </c>
      <c r="AC820" s="655">
        <v>0</v>
      </c>
      <c r="AD820" s="655">
        <v>79359</v>
      </c>
      <c r="AE820" s="655">
        <v>12174560</v>
      </c>
      <c r="AF820" s="655">
        <v>210078</v>
      </c>
      <c r="AG820" s="655">
        <v>662413</v>
      </c>
      <c r="AH820" s="655">
        <v>0</v>
      </c>
      <c r="AI820" s="655">
        <v>1899882</v>
      </c>
      <c r="AJ820" s="655">
        <v>571026</v>
      </c>
      <c r="AK820" s="655">
        <v>15517959</v>
      </c>
      <c r="AL820" s="655">
        <v>15762240</v>
      </c>
      <c r="AM820" s="655">
        <v>-244281</v>
      </c>
    </row>
    <row r="821" spans="1:39" x14ac:dyDescent="0.2">
      <c r="A821" s="648">
        <v>2015</v>
      </c>
      <c r="B821" s="648">
        <v>7</v>
      </c>
      <c r="C821" s="657" t="s">
        <v>228</v>
      </c>
      <c r="D821" s="648">
        <v>3204</v>
      </c>
      <c r="E821" s="648" t="s">
        <v>1146</v>
      </c>
      <c r="F821" s="655">
        <v>5612266</v>
      </c>
      <c r="G821" s="655">
        <v>0</v>
      </c>
      <c r="H821" s="655">
        <v>180693</v>
      </c>
      <c r="I821" s="655">
        <v>702870</v>
      </c>
      <c r="J821" s="655">
        <v>437009</v>
      </c>
      <c r="K821" s="655">
        <v>47254</v>
      </c>
      <c r="L821" s="655">
        <v>58115</v>
      </c>
      <c r="M821" s="655">
        <v>0</v>
      </c>
      <c r="N821" s="655">
        <v>280937</v>
      </c>
      <c r="O821" s="655">
        <v>0</v>
      </c>
      <c r="P821" s="655">
        <v>53123</v>
      </c>
      <c r="Q821" s="655">
        <v>59349</v>
      </c>
      <c r="R821" s="655">
        <v>0</v>
      </c>
      <c r="S821" s="655">
        <v>35861</v>
      </c>
      <c r="T821" s="655">
        <v>4117</v>
      </c>
      <c r="U821" s="655">
        <v>84000</v>
      </c>
      <c r="V821" s="655">
        <v>0</v>
      </c>
      <c r="W821" s="655">
        <v>93535</v>
      </c>
      <c r="X821" s="655">
        <v>113632</v>
      </c>
      <c r="Y821" s="655">
        <v>0</v>
      </c>
      <c r="Z821" s="655">
        <v>0</v>
      </c>
      <c r="AA821" s="655">
        <v>0</v>
      </c>
      <c r="AB821" s="655">
        <v>0</v>
      </c>
      <c r="AC821" s="655">
        <v>0</v>
      </c>
      <c r="AD821" s="655">
        <v>41079</v>
      </c>
      <c r="AE821" s="655">
        <v>7721682</v>
      </c>
      <c r="AF821" s="655">
        <v>0</v>
      </c>
      <c r="AG821" s="655">
        <v>0</v>
      </c>
      <c r="AH821" s="655">
        <v>0</v>
      </c>
      <c r="AI821" s="655">
        <v>984462</v>
      </c>
      <c r="AJ821" s="655">
        <v>3155675</v>
      </c>
      <c r="AK821" s="655">
        <v>11861819</v>
      </c>
      <c r="AL821" s="655">
        <v>8968774</v>
      </c>
      <c r="AM821" s="655">
        <v>2893045</v>
      </c>
    </row>
    <row r="822" spans="1:39" x14ac:dyDescent="0.2">
      <c r="A822" s="648">
        <v>2015</v>
      </c>
      <c r="B822" s="648">
        <v>11</v>
      </c>
      <c r="C822" s="657" t="s">
        <v>229</v>
      </c>
      <c r="D822" s="648">
        <v>3231</v>
      </c>
      <c r="E822" s="648" t="s">
        <v>1147</v>
      </c>
      <c r="F822" s="655">
        <v>40799694</v>
      </c>
      <c r="G822" s="655">
        <v>0</v>
      </c>
      <c r="H822" s="655">
        <v>577103</v>
      </c>
      <c r="I822" s="655">
        <v>3066184</v>
      </c>
      <c r="J822" s="655">
        <v>3262501</v>
      </c>
      <c r="K822" s="655">
        <v>361532</v>
      </c>
      <c r="L822" s="655">
        <v>351982</v>
      </c>
      <c r="M822" s="655">
        <v>0</v>
      </c>
      <c r="N822" s="655">
        <v>1873016</v>
      </c>
      <c r="O822" s="655">
        <v>0</v>
      </c>
      <c r="P822" s="655">
        <v>354991</v>
      </c>
      <c r="Q822" s="655">
        <v>389629</v>
      </c>
      <c r="R822" s="655">
        <v>0</v>
      </c>
      <c r="S822" s="655">
        <v>152972</v>
      </c>
      <c r="T822" s="655">
        <v>19501</v>
      </c>
      <c r="U822" s="655">
        <v>1104828</v>
      </c>
      <c r="V822" s="655">
        <v>289513</v>
      </c>
      <c r="W822" s="655">
        <v>1383587</v>
      </c>
      <c r="X822" s="655">
        <v>2870610</v>
      </c>
      <c r="Y822" s="655">
        <v>0</v>
      </c>
      <c r="Z822" s="655">
        <v>0</v>
      </c>
      <c r="AA822" s="655">
        <v>0</v>
      </c>
      <c r="AB822" s="655">
        <v>0</v>
      </c>
      <c r="AC822" s="655">
        <v>0</v>
      </c>
      <c r="AD822" s="655">
        <v>179185</v>
      </c>
      <c r="AE822" s="655">
        <v>56678458</v>
      </c>
      <c r="AF822" s="655">
        <v>795750</v>
      </c>
      <c r="AG822" s="655">
        <v>3017137</v>
      </c>
      <c r="AH822" s="655">
        <v>0</v>
      </c>
      <c r="AI822" s="655">
        <v>9581125</v>
      </c>
      <c r="AJ822" s="655">
        <v>5982645</v>
      </c>
      <c r="AK822" s="655">
        <v>76055115</v>
      </c>
      <c r="AL822" s="655">
        <v>68388620</v>
      </c>
      <c r="AM822" s="655">
        <v>7666495</v>
      </c>
    </row>
    <row r="823" spans="1:39" x14ac:dyDescent="0.2">
      <c r="A823" s="648">
        <v>2015</v>
      </c>
      <c r="B823" s="648">
        <v>15</v>
      </c>
      <c r="C823" s="657" t="s">
        <v>230</v>
      </c>
      <c r="D823" s="648">
        <v>3312</v>
      </c>
      <c r="E823" s="648" t="s">
        <v>1148</v>
      </c>
      <c r="F823" s="655">
        <v>12537200</v>
      </c>
      <c r="G823" s="655">
        <v>0</v>
      </c>
      <c r="H823" s="655">
        <v>184907</v>
      </c>
      <c r="I823" s="655">
        <v>2196779</v>
      </c>
      <c r="J823" s="655">
        <v>1059931</v>
      </c>
      <c r="K823" s="655">
        <v>126357</v>
      </c>
      <c r="L823" s="655">
        <v>136302</v>
      </c>
      <c r="M823" s="655">
        <v>0</v>
      </c>
      <c r="N823" s="655">
        <v>641666</v>
      </c>
      <c r="O823" s="655">
        <v>15339</v>
      </c>
      <c r="P823" s="655">
        <v>106567</v>
      </c>
      <c r="Q823" s="655">
        <v>117047</v>
      </c>
      <c r="R823" s="655">
        <v>1733</v>
      </c>
      <c r="S823" s="655">
        <v>64227</v>
      </c>
      <c r="T823" s="655">
        <v>6943</v>
      </c>
      <c r="U823" s="655">
        <v>564544</v>
      </c>
      <c r="V823" s="655">
        <v>0</v>
      </c>
      <c r="W823" s="655">
        <v>195872</v>
      </c>
      <c r="X823" s="655">
        <v>572692</v>
      </c>
      <c r="Y823" s="655">
        <v>0</v>
      </c>
      <c r="Z823" s="655">
        <v>0</v>
      </c>
      <c r="AA823" s="655">
        <v>0</v>
      </c>
      <c r="AB823" s="655">
        <v>0</v>
      </c>
      <c r="AC823" s="655">
        <v>0</v>
      </c>
      <c r="AD823" s="655">
        <v>104456</v>
      </c>
      <c r="AE823" s="655">
        <v>18423650</v>
      </c>
      <c r="AF823" s="655">
        <v>267372</v>
      </c>
      <c r="AG823" s="655">
        <v>751354</v>
      </c>
      <c r="AH823" s="655">
        <v>0</v>
      </c>
      <c r="AI823" s="655">
        <v>2303991</v>
      </c>
      <c r="AJ823" s="655">
        <v>6171697</v>
      </c>
      <c r="AK823" s="655">
        <v>27918064</v>
      </c>
      <c r="AL823" s="655">
        <v>21506798</v>
      </c>
      <c r="AM823" s="655">
        <v>6411266</v>
      </c>
    </row>
    <row r="824" spans="1:39" x14ac:dyDescent="0.2">
      <c r="A824" s="648">
        <v>2015</v>
      </c>
      <c r="B824" s="648">
        <v>15</v>
      </c>
      <c r="C824" s="657" t="s">
        <v>231</v>
      </c>
      <c r="D824" s="648">
        <v>3330</v>
      </c>
      <c r="E824" s="648" t="s">
        <v>1149</v>
      </c>
      <c r="F824" s="655">
        <v>2216578</v>
      </c>
      <c r="G824" s="655">
        <v>0</v>
      </c>
      <c r="H824" s="655">
        <v>114803</v>
      </c>
      <c r="I824" s="655">
        <v>211851</v>
      </c>
      <c r="J824" s="655">
        <v>204354</v>
      </c>
      <c r="K824" s="655">
        <v>21312</v>
      </c>
      <c r="L824" s="655">
        <v>19399</v>
      </c>
      <c r="M824" s="655">
        <v>0</v>
      </c>
      <c r="N824" s="655">
        <v>105032</v>
      </c>
      <c r="O824" s="655">
        <v>0</v>
      </c>
      <c r="P824" s="655">
        <v>18117</v>
      </c>
      <c r="Q824" s="655">
        <v>19899</v>
      </c>
      <c r="R824" s="655">
        <v>283</v>
      </c>
      <c r="S824" s="655">
        <v>10513</v>
      </c>
      <c r="T824" s="655">
        <v>1137</v>
      </c>
      <c r="U824" s="655">
        <v>62064</v>
      </c>
      <c r="V824" s="655">
        <v>0</v>
      </c>
      <c r="W824" s="655">
        <v>41011</v>
      </c>
      <c r="X824" s="655">
        <v>135615</v>
      </c>
      <c r="Y824" s="655">
        <v>0</v>
      </c>
      <c r="Z824" s="655">
        <v>0</v>
      </c>
      <c r="AA824" s="655">
        <v>0</v>
      </c>
      <c r="AB824" s="655">
        <v>0</v>
      </c>
      <c r="AC824" s="655">
        <v>0</v>
      </c>
      <c r="AD824" s="655">
        <v>17793</v>
      </c>
      <c r="AE824" s="655">
        <v>3164175</v>
      </c>
      <c r="AF824" s="655">
        <v>76392</v>
      </c>
      <c r="AG824" s="655">
        <v>184685</v>
      </c>
      <c r="AH824" s="655">
        <v>0</v>
      </c>
      <c r="AI824" s="655">
        <v>383927</v>
      </c>
      <c r="AJ824" s="655">
        <v>673338</v>
      </c>
      <c r="AK824" s="655">
        <v>4482517</v>
      </c>
      <c r="AL824" s="655">
        <v>3699148</v>
      </c>
      <c r="AM824" s="655">
        <v>783369</v>
      </c>
    </row>
    <row r="825" spans="1:39" x14ac:dyDescent="0.2">
      <c r="A825" s="648">
        <v>2015</v>
      </c>
      <c r="B825" s="648">
        <v>12</v>
      </c>
      <c r="C825" s="657" t="s">
        <v>232</v>
      </c>
      <c r="D825" s="648">
        <v>3348</v>
      </c>
      <c r="E825" s="648" t="s">
        <v>1150</v>
      </c>
      <c r="F825" s="655">
        <v>2949864</v>
      </c>
      <c r="G825" s="655">
        <v>0</v>
      </c>
      <c r="H825" s="655">
        <v>23431</v>
      </c>
      <c r="I825" s="655">
        <v>454124</v>
      </c>
      <c r="J825" s="655">
        <v>268183</v>
      </c>
      <c r="K825" s="655">
        <v>31122</v>
      </c>
      <c r="L825" s="655">
        <v>33940</v>
      </c>
      <c r="M825" s="655">
        <v>0</v>
      </c>
      <c r="N825" s="655">
        <v>150735</v>
      </c>
      <c r="O825" s="655">
        <v>0</v>
      </c>
      <c r="P825" s="655">
        <v>24090</v>
      </c>
      <c r="Q825" s="655">
        <v>27053</v>
      </c>
      <c r="R825" s="655">
        <v>0</v>
      </c>
      <c r="S825" s="655">
        <v>15134</v>
      </c>
      <c r="T825" s="655">
        <v>1810</v>
      </c>
      <c r="U825" s="655">
        <v>87000</v>
      </c>
      <c r="V825" s="655">
        <v>0</v>
      </c>
      <c r="W825" s="655">
        <v>73452</v>
      </c>
      <c r="X825" s="655">
        <v>0</v>
      </c>
      <c r="Y825" s="655">
        <v>0</v>
      </c>
      <c r="Z825" s="655">
        <v>0</v>
      </c>
      <c r="AA825" s="655">
        <v>0</v>
      </c>
      <c r="AB825" s="655">
        <v>0</v>
      </c>
      <c r="AC825" s="655">
        <v>0</v>
      </c>
      <c r="AD825" s="655">
        <v>21764</v>
      </c>
      <c r="AE825" s="655">
        <v>4118174</v>
      </c>
      <c r="AF825" s="655">
        <v>0</v>
      </c>
      <c r="AG825" s="655">
        <v>233806</v>
      </c>
      <c r="AH825" s="655">
        <v>0</v>
      </c>
      <c r="AI825" s="655">
        <v>614233</v>
      </c>
      <c r="AJ825" s="655">
        <v>362304</v>
      </c>
      <c r="AK825" s="655">
        <v>5328517</v>
      </c>
      <c r="AL825" s="655">
        <v>4990994</v>
      </c>
      <c r="AM825" s="655">
        <v>337523</v>
      </c>
    </row>
    <row r="826" spans="1:39" x14ac:dyDescent="0.2">
      <c r="A826" s="648">
        <v>2015</v>
      </c>
      <c r="B826" s="648">
        <v>11</v>
      </c>
      <c r="C826" s="657" t="s">
        <v>233</v>
      </c>
      <c r="D826" s="648">
        <v>3375</v>
      </c>
      <c r="E826" s="648" t="s">
        <v>1151</v>
      </c>
      <c r="F826" s="655">
        <v>11440975</v>
      </c>
      <c r="G826" s="655">
        <v>0</v>
      </c>
      <c r="H826" s="655">
        <v>191623</v>
      </c>
      <c r="I826" s="655">
        <v>1467045</v>
      </c>
      <c r="J826" s="655">
        <v>991551</v>
      </c>
      <c r="K826" s="655">
        <v>105711</v>
      </c>
      <c r="L826" s="655">
        <v>117034</v>
      </c>
      <c r="M826" s="655">
        <v>0</v>
      </c>
      <c r="N826" s="655">
        <v>551156</v>
      </c>
      <c r="O826" s="655">
        <v>1260</v>
      </c>
      <c r="P826" s="655">
        <v>94567</v>
      </c>
      <c r="Q826" s="655">
        <v>103795</v>
      </c>
      <c r="R826" s="655">
        <v>0</v>
      </c>
      <c r="S826" s="655">
        <v>45014</v>
      </c>
      <c r="T826" s="655">
        <v>5738</v>
      </c>
      <c r="U826" s="655">
        <v>352021</v>
      </c>
      <c r="V826" s="655">
        <v>0</v>
      </c>
      <c r="W826" s="655">
        <v>150780</v>
      </c>
      <c r="X826" s="655">
        <v>259303</v>
      </c>
      <c r="Y826" s="655">
        <v>0</v>
      </c>
      <c r="Z826" s="655">
        <v>0</v>
      </c>
      <c r="AA826" s="655">
        <v>0</v>
      </c>
      <c r="AB826" s="655">
        <v>0</v>
      </c>
      <c r="AC826" s="655">
        <v>0</v>
      </c>
      <c r="AD826" s="655">
        <v>89650</v>
      </c>
      <c r="AE826" s="655">
        <v>15787923</v>
      </c>
      <c r="AF826" s="655">
        <v>251457</v>
      </c>
      <c r="AG826" s="655">
        <v>513116</v>
      </c>
      <c r="AH826" s="655">
        <v>0</v>
      </c>
      <c r="AI826" s="655">
        <v>1174284</v>
      </c>
      <c r="AJ826" s="655">
        <v>4737052</v>
      </c>
      <c r="AK826" s="655">
        <v>22463832</v>
      </c>
      <c r="AL826" s="655">
        <v>18260303</v>
      </c>
      <c r="AM826" s="655">
        <v>4203529</v>
      </c>
    </row>
    <row r="827" spans="1:39" x14ac:dyDescent="0.2">
      <c r="A827" s="648">
        <v>2015</v>
      </c>
      <c r="B827" s="648">
        <v>7</v>
      </c>
      <c r="C827" s="657" t="s">
        <v>234</v>
      </c>
      <c r="D827" s="648">
        <v>3420</v>
      </c>
      <c r="E827" s="648" t="s">
        <v>1152</v>
      </c>
      <c r="F827" s="655">
        <v>3881987</v>
      </c>
      <c r="G827" s="655">
        <v>0</v>
      </c>
      <c r="H827" s="655">
        <v>38330</v>
      </c>
      <c r="I827" s="655">
        <v>515137</v>
      </c>
      <c r="J827" s="655">
        <v>356678</v>
      </c>
      <c r="K827" s="655">
        <v>36442</v>
      </c>
      <c r="L827" s="655">
        <v>41881</v>
      </c>
      <c r="M827" s="655">
        <v>0</v>
      </c>
      <c r="N827" s="655">
        <v>195612</v>
      </c>
      <c r="O827" s="655">
        <v>0</v>
      </c>
      <c r="P827" s="655">
        <v>31958</v>
      </c>
      <c r="Q827" s="655">
        <v>35703</v>
      </c>
      <c r="R827" s="655">
        <v>0</v>
      </c>
      <c r="S827" s="655">
        <v>24970</v>
      </c>
      <c r="T827" s="655">
        <v>2866</v>
      </c>
      <c r="U827" s="655">
        <v>39530</v>
      </c>
      <c r="V827" s="655">
        <v>0</v>
      </c>
      <c r="W827" s="655">
        <v>58425</v>
      </c>
      <c r="X827" s="655">
        <v>268976</v>
      </c>
      <c r="Y827" s="655">
        <v>0</v>
      </c>
      <c r="Z827" s="655">
        <v>0</v>
      </c>
      <c r="AA827" s="655">
        <v>0</v>
      </c>
      <c r="AB827" s="655">
        <v>0</v>
      </c>
      <c r="AC827" s="655">
        <v>0</v>
      </c>
      <c r="AD827" s="655">
        <v>32934</v>
      </c>
      <c r="AE827" s="655">
        <v>5495561</v>
      </c>
      <c r="AF827" s="655">
        <v>105039</v>
      </c>
      <c r="AG827" s="655">
        <v>311685</v>
      </c>
      <c r="AH827" s="655">
        <v>0</v>
      </c>
      <c r="AI827" s="655">
        <v>1062316</v>
      </c>
      <c r="AJ827" s="655">
        <v>2346385</v>
      </c>
      <c r="AK827" s="655">
        <v>9320986</v>
      </c>
      <c r="AL827" s="655">
        <v>7200753</v>
      </c>
      <c r="AM827" s="655">
        <v>2120233</v>
      </c>
    </row>
    <row r="828" spans="1:39" x14ac:dyDescent="0.2">
      <c r="A828" s="648">
        <v>2015</v>
      </c>
      <c r="B828" s="648">
        <v>13</v>
      </c>
      <c r="C828" s="657" t="s">
        <v>235</v>
      </c>
      <c r="D828" s="648">
        <v>3465</v>
      </c>
      <c r="E828" s="648" t="s">
        <v>1153</v>
      </c>
      <c r="F828" s="655">
        <v>2053672</v>
      </c>
      <c r="G828" s="655">
        <v>0</v>
      </c>
      <c r="H828" s="655">
        <v>63354</v>
      </c>
      <c r="I828" s="655">
        <v>319000</v>
      </c>
      <c r="J828" s="655">
        <v>202980</v>
      </c>
      <c r="K828" s="655">
        <v>21814</v>
      </c>
      <c r="L828" s="655">
        <v>21824</v>
      </c>
      <c r="M828" s="655">
        <v>0</v>
      </c>
      <c r="N828" s="655">
        <v>104314</v>
      </c>
      <c r="O828" s="655">
        <v>1930</v>
      </c>
      <c r="P828" s="655">
        <v>16825</v>
      </c>
      <c r="Q828" s="655">
        <v>18608</v>
      </c>
      <c r="R828" s="655">
        <v>0</v>
      </c>
      <c r="S828" s="655">
        <v>10712</v>
      </c>
      <c r="T828" s="655">
        <v>1137</v>
      </c>
      <c r="U828" s="655">
        <v>43480</v>
      </c>
      <c r="V828" s="655">
        <v>0</v>
      </c>
      <c r="W828" s="655">
        <v>18363</v>
      </c>
      <c r="X828" s="655">
        <v>176115</v>
      </c>
      <c r="Y828" s="655">
        <v>0</v>
      </c>
      <c r="Z828" s="655">
        <v>0</v>
      </c>
      <c r="AA828" s="655">
        <v>0</v>
      </c>
      <c r="AB828" s="655">
        <v>0</v>
      </c>
      <c r="AC828" s="655">
        <v>0</v>
      </c>
      <c r="AD828" s="655">
        <v>16904</v>
      </c>
      <c r="AE828" s="655">
        <v>3057224</v>
      </c>
      <c r="AF828" s="655">
        <v>54111</v>
      </c>
      <c r="AG828" s="655">
        <v>97151</v>
      </c>
      <c r="AH828" s="655">
        <v>0</v>
      </c>
      <c r="AI828" s="655">
        <v>733310</v>
      </c>
      <c r="AJ828" s="655">
        <v>1862986</v>
      </c>
      <c r="AK828" s="655">
        <v>5804782</v>
      </c>
      <c r="AL828" s="655">
        <v>4240818</v>
      </c>
      <c r="AM828" s="655">
        <v>1563964</v>
      </c>
    </row>
    <row r="829" spans="1:39" x14ac:dyDescent="0.2">
      <c r="A829" s="648">
        <v>2015</v>
      </c>
      <c r="B829" s="648">
        <v>5</v>
      </c>
      <c r="C829" s="657" t="s">
        <v>236</v>
      </c>
      <c r="D829" s="648">
        <v>3537</v>
      </c>
      <c r="E829" s="648" t="s">
        <v>1154</v>
      </c>
      <c r="F829" s="655">
        <v>1993195</v>
      </c>
      <c r="G829" s="655">
        <v>0</v>
      </c>
      <c r="H829" s="655">
        <v>25789</v>
      </c>
      <c r="I829" s="655">
        <v>268009</v>
      </c>
      <c r="J829" s="655">
        <v>192854</v>
      </c>
      <c r="K829" s="655">
        <v>20993</v>
      </c>
      <c r="L829" s="655">
        <v>19609</v>
      </c>
      <c r="M829" s="655">
        <v>0</v>
      </c>
      <c r="N829" s="655">
        <v>102948</v>
      </c>
      <c r="O829" s="655">
        <v>9317</v>
      </c>
      <c r="P829" s="655">
        <v>16414</v>
      </c>
      <c r="Q829" s="655">
        <v>18439</v>
      </c>
      <c r="R829" s="655">
        <v>313</v>
      </c>
      <c r="S829" s="655">
        <v>10969</v>
      </c>
      <c r="T829" s="655">
        <v>1307</v>
      </c>
      <c r="U829" s="655">
        <v>67748</v>
      </c>
      <c r="V829" s="655">
        <v>339257</v>
      </c>
      <c r="W829" s="655">
        <v>52055</v>
      </c>
      <c r="X829" s="655">
        <v>34335</v>
      </c>
      <c r="Y829" s="655">
        <v>0</v>
      </c>
      <c r="Z829" s="655">
        <v>0</v>
      </c>
      <c r="AA829" s="655">
        <v>0</v>
      </c>
      <c r="AB829" s="655">
        <v>0</v>
      </c>
      <c r="AC829" s="655">
        <v>0</v>
      </c>
      <c r="AD829" s="655">
        <v>21809</v>
      </c>
      <c r="AE829" s="655">
        <v>3151742</v>
      </c>
      <c r="AF829" s="655">
        <v>79575</v>
      </c>
      <c r="AG829" s="655">
        <v>168824</v>
      </c>
      <c r="AH829" s="655">
        <v>0</v>
      </c>
      <c r="AI829" s="655">
        <v>363231</v>
      </c>
      <c r="AJ829" s="655">
        <v>-339257</v>
      </c>
      <c r="AK829" s="655">
        <v>3424115</v>
      </c>
      <c r="AL829" s="655">
        <v>3523098</v>
      </c>
      <c r="AM829" s="655">
        <v>-98983</v>
      </c>
    </row>
    <row r="830" spans="1:39" x14ac:dyDescent="0.2">
      <c r="A830" s="648">
        <v>2015</v>
      </c>
      <c r="B830" s="648">
        <v>12</v>
      </c>
      <c r="C830" s="657" t="s">
        <v>237</v>
      </c>
      <c r="D830" s="648">
        <v>3555</v>
      </c>
      <c r="E830" s="648" t="s">
        <v>1155</v>
      </c>
      <c r="F830" s="655">
        <v>3864162</v>
      </c>
      <c r="G830" s="655">
        <v>0</v>
      </c>
      <c r="H830" s="655">
        <v>37610</v>
      </c>
      <c r="I830" s="655">
        <v>349812</v>
      </c>
      <c r="J830" s="655">
        <v>327568</v>
      </c>
      <c r="K830" s="655">
        <v>34617</v>
      </c>
      <c r="L830" s="655">
        <v>33051</v>
      </c>
      <c r="M830" s="655">
        <v>0</v>
      </c>
      <c r="N830" s="655">
        <v>189622</v>
      </c>
      <c r="O830" s="655">
        <v>0</v>
      </c>
      <c r="P830" s="655">
        <v>32993</v>
      </c>
      <c r="Q830" s="655">
        <v>37050</v>
      </c>
      <c r="R830" s="655">
        <v>0</v>
      </c>
      <c r="S830" s="655">
        <v>19038</v>
      </c>
      <c r="T830" s="655">
        <v>2277</v>
      </c>
      <c r="U830" s="655">
        <v>126228</v>
      </c>
      <c r="V830" s="655">
        <v>0</v>
      </c>
      <c r="W830" s="655">
        <v>58968</v>
      </c>
      <c r="X830" s="655">
        <v>70484</v>
      </c>
      <c r="Y830" s="655">
        <v>0</v>
      </c>
      <c r="Z830" s="655">
        <v>0</v>
      </c>
      <c r="AA830" s="655">
        <v>0</v>
      </c>
      <c r="AB830" s="655">
        <v>0</v>
      </c>
      <c r="AC830" s="655">
        <v>-10651</v>
      </c>
      <c r="AD830" s="655">
        <v>28228</v>
      </c>
      <c r="AE830" s="655">
        <v>5144601</v>
      </c>
      <c r="AF830" s="655">
        <v>76392</v>
      </c>
      <c r="AG830" s="655">
        <v>294333</v>
      </c>
      <c r="AH830" s="655">
        <v>0</v>
      </c>
      <c r="AI830" s="655">
        <v>919858</v>
      </c>
      <c r="AJ830" s="655">
        <v>770830</v>
      </c>
      <c r="AK830" s="655">
        <v>7206014</v>
      </c>
      <c r="AL830" s="655">
        <v>6581822</v>
      </c>
      <c r="AM830" s="655">
        <v>624192</v>
      </c>
    </row>
    <row r="831" spans="1:39" x14ac:dyDescent="0.2">
      <c r="A831" s="648">
        <v>2015</v>
      </c>
      <c r="B831" s="648">
        <v>7</v>
      </c>
      <c r="C831" s="657" t="s">
        <v>238</v>
      </c>
      <c r="D831" s="648">
        <v>1968</v>
      </c>
      <c r="E831" s="648" t="s">
        <v>1157</v>
      </c>
      <c r="F831" s="655">
        <v>3929985</v>
      </c>
      <c r="G831" s="655">
        <v>159892</v>
      </c>
      <c r="H831" s="655">
        <v>39422</v>
      </c>
      <c r="I831" s="655">
        <v>457241</v>
      </c>
      <c r="J831" s="655">
        <v>376087</v>
      </c>
      <c r="K831" s="655">
        <v>42758</v>
      </c>
      <c r="L831" s="655">
        <v>42739</v>
      </c>
      <c r="M831" s="655">
        <v>0</v>
      </c>
      <c r="N831" s="655">
        <v>192630</v>
      </c>
      <c r="O831" s="655">
        <v>22973</v>
      </c>
      <c r="P831" s="655">
        <v>32115</v>
      </c>
      <c r="Q831" s="655">
        <v>35879</v>
      </c>
      <c r="R831" s="655">
        <v>0</v>
      </c>
      <c r="S831" s="655">
        <v>26466</v>
      </c>
      <c r="T831" s="655">
        <v>3036</v>
      </c>
      <c r="U831" s="655">
        <v>168520</v>
      </c>
      <c r="V831" s="655">
        <v>0</v>
      </c>
      <c r="W831" s="655">
        <v>64048</v>
      </c>
      <c r="X831" s="655">
        <v>0</v>
      </c>
      <c r="Y831" s="655">
        <v>0</v>
      </c>
      <c r="Z831" s="655">
        <v>0</v>
      </c>
      <c r="AA831" s="655">
        <v>0</v>
      </c>
      <c r="AB831" s="655">
        <v>0</v>
      </c>
      <c r="AC831" s="655">
        <v>0</v>
      </c>
      <c r="AD831" s="655">
        <v>36691</v>
      </c>
      <c r="AE831" s="655">
        <v>5557100</v>
      </c>
      <c r="AF831" s="655">
        <v>162333</v>
      </c>
      <c r="AG831" s="655">
        <v>319542</v>
      </c>
      <c r="AH831" s="655">
        <v>0</v>
      </c>
      <c r="AI831" s="655">
        <v>2977266</v>
      </c>
      <c r="AJ831" s="655">
        <v>2065536</v>
      </c>
      <c r="AK831" s="655">
        <v>11081777</v>
      </c>
      <c r="AL831" s="655">
        <v>8961934</v>
      </c>
      <c r="AM831" s="655">
        <v>2119843</v>
      </c>
    </row>
    <row r="832" spans="1:39" x14ac:dyDescent="0.2">
      <c r="A832" s="648">
        <v>2015</v>
      </c>
      <c r="B832" s="648">
        <v>12</v>
      </c>
      <c r="C832" s="657" t="s">
        <v>239</v>
      </c>
      <c r="D832" s="648">
        <v>3600</v>
      </c>
      <c r="E832" s="648" t="s">
        <v>1158</v>
      </c>
      <c r="F832" s="655">
        <v>13289662</v>
      </c>
      <c r="G832" s="655">
        <v>0</v>
      </c>
      <c r="H832" s="655">
        <v>272344</v>
      </c>
      <c r="I832" s="655">
        <v>1654205</v>
      </c>
      <c r="J832" s="655">
        <v>1099706</v>
      </c>
      <c r="K832" s="655">
        <v>127970</v>
      </c>
      <c r="L832" s="655">
        <v>119619</v>
      </c>
      <c r="M832" s="655">
        <v>0</v>
      </c>
      <c r="N832" s="655">
        <v>672451</v>
      </c>
      <c r="O832" s="655">
        <v>0</v>
      </c>
      <c r="P832" s="655">
        <v>131344</v>
      </c>
      <c r="Q832" s="655">
        <v>147495</v>
      </c>
      <c r="R832" s="655">
        <v>0</v>
      </c>
      <c r="S832" s="655">
        <v>67513</v>
      </c>
      <c r="T832" s="655">
        <v>8075</v>
      </c>
      <c r="U832" s="655">
        <v>183264</v>
      </c>
      <c r="V832" s="655">
        <v>35518</v>
      </c>
      <c r="W832" s="655">
        <v>255532</v>
      </c>
      <c r="X832" s="655">
        <v>81638</v>
      </c>
      <c r="Y832" s="655">
        <v>0</v>
      </c>
      <c r="Z832" s="655">
        <v>0</v>
      </c>
      <c r="AA832" s="655">
        <v>0</v>
      </c>
      <c r="AB832" s="655">
        <v>0</v>
      </c>
      <c r="AC832" s="655">
        <v>0</v>
      </c>
      <c r="AD832" s="655">
        <v>105133</v>
      </c>
      <c r="AE832" s="655">
        <v>18041203</v>
      </c>
      <c r="AF832" s="655">
        <v>114588</v>
      </c>
      <c r="AG832" s="655">
        <v>502283</v>
      </c>
      <c r="AH832" s="655">
        <v>0</v>
      </c>
      <c r="AI832" s="655">
        <v>1954022</v>
      </c>
      <c r="AJ832" s="655">
        <v>5390076</v>
      </c>
      <c r="AK832" s="655">
        <v>26002172</v>
      </c>
      <c r="AL832" s="655">
        <v>21011967</v>
      </c>
      <c r="AM832" s="655">
        <v>4990205</v>
      </c>
    </row>
    <row r="833" spans="1:39" x14ac:dyDescent="0.2">
      <c r="A833" s="648">
        <v>2015</v>
      </c>
      <c r="B833" s="648">
        <v>13</v>
      </c>
      <c r="C833" s="657" t="s">
        <v>240</v>
      </c>
      <c r="D833" s="648">
        <v>3609</v>
      </c>
      <c r="E833" s="648" t="s">
        <v>1159</v>
      </c>
      <c r="F833" s="655">
        <v>2879978</v>
      </c>
      <c r="G833" s="655">
        <v>0</v>
      </c>
      <c r="H833" s="655">
        <v>71433</v>
      </c>
      <c r="I833" s="655">
        <v>193463</v>
      </c>
      <c r="J833" s="655">
        <v>275883</v>
      </c>
      <c r="K833" s="655">
        <v>31867</v>
      </c>
      <c r="L833" s="655">
        <v>36631</v>
      </c>
      <c r="M833" s="655">
        <v>0</v>
      </c>
      <c r="N833" s="655">
        <v>135123</v>
      </c>
      <c r="O833" s="655">
        <v>0</v>
      </c>
      <c r="P833" s="655">
        <v>23597</v>
      </c>
      <c r="Q833" s="655">
        <v>26097</v>
      </c>
      <c r="R833" s="655">
        <v>0</v>
      </c>
      <c r="S833" s="655">
        <v>13875</v>
      </c>
      <c r="T833" s="655">
        <v>1473</v>
      </c>
      <c r="U833" s="655">
        <v>0</v>
      </c>
      <c r="V833" s="655">
        <v>1394</v>
      </c>
      <c r="W833" s="655">
        <v>152607</v>
      </c>
      <c r="X833" s="655">
        <v>224375</v>
      </c>
      <c r="Y833" s="655">
        <v>0</v>
      </c>
      <c r="Z833" s="655">
        <v>0</v>
      </c>
      <c r="AA833" s="655">
        <v>0</v>
      </c>
      <c r="AB833" s="655">
        <v>0</v>
      </c>
      <c r="AC833" s="655">
        <v>0</v>
      </c>
      <c r="AD833" s="655">
        <v>21838</v>
      </c>
      <c r="AE833" s="655">
        <v>4045958</v>
      </c>
      <c r="AF833" s="655">
        <v>70026</v>
      </c>
      <c r="AG833" s="655">
        <v>211938</v>
      </c>
      <c r="AH833" s="655">
        <v>0</v>
      </c>
      <c r="AI833" s="655">
        <v>843973</v>
      </c>
      <c r="AJ833" s="655">
        <v>1619027</v>
      </c>
      <c r="AK833" s="655">
        <v>6790922</v>
      </c>
      <c r="AL833" s="655">
        <v>5011185</v>
      </c>
      <c r="AM833" s="655">
        <v>1779737</v>
      </c>
    </row>
    <row r="834" spans="1:39" x14ac:dyDescent="0.2">
      <c r="A834" s="648">
        <v>2015</v>
      </c>
      <c r="B834" s="648">
        <v>13</v>
      </c>
      <c r="C834" s="657" t="s">
        <v>241</v>
      </c>
      <c r="D834" s="648">
        <v>3645</v>
      </c>
      <c r="E834" s="648" t="s">
        <v>1160</v>
      </c>
      <c r="F834" s="655">
        <v>16231390</v>
      </c>
      <c r="G834" s="655">
        <v>0</v>
      </c>
      <c r="H834" s="655">
        <v>239425</v>
      </c>
      <c r="I834" s="655">
        <v>1760072</v>
      </c>
      <c r="J834" s="655">
        <v>1354350</v>
      </c>
      <c r="K834" s="655">
        <v>158948</v>
      </c>
      <c r="L834" s="655">
        <v>204256</v>
      </c>
      <c r="M834" s="655">
        <v>0</v>
      </c>
      <c r="N834" s="655">
        <v>790991</v>
      </c>
      <c r="O834" s="655">
        <v>0</v>
      </c>
      <c r="P834" s="655">
        <v>143248</v>
      </c>
      <c r="Q834" s="655">
        <v>158428</v>
      </c>
      <c r="R834" s="655">
        <v>0</v>
      </c>
      <c r="S834" s="655">
        <v>81224</v>
      </c>
      <c r="T834" s="655">
        <v>8620</v>
      </c>
      <c r="U834" s="655">
        <v>352878</v>
      </c>
      <c r="V834" s="655">
        <v>0</v>
      </c>
      <c r="W834" s="655">
        <v>422336</v>
      </c>
      <c r="X834" s="655">
        <v>518702</v>
      </c>
      <c r="Y834" s="655">
        <v>0</v>
      </c>
      <c r="Z834" s="655">
        <v>0</v>
      </c>
      <c r="AA834" s="655">
        <v>0</v>
      </c>
      <c r="AB834" s="655">
        <v>0</v>
      </c>
      <c r="AC834" s="655">
        <v>0</v>
      </c>
      <c r="AD834" s="655">
        <v>112825</v>
      </c>
      <c r="AE834" s="655">
        <v>22312043</v>
      </c>
      <c r="AF834" s="655">
        <v>200529</v>
      </c>
      <c r="AG834" s="655">
        <v>1317340</v>
      </c>
      <c r="AH834" s="655">
        <v>0</v>
      </c>
      <c r="AI834" s="655">
        <v>6622844</v>
      </c>
      <c r="AJ834" s="655">
        <v>5950247</v>
      </c>
      <c r="AK834" s="655">
        <v>36403003</v>
      </c>
      <c r="AL834" s="655">
        <v>30560175</v>
      </c>
      <c r="AM834" s="655">
        <v>5842828</v>
      </c>
    </row>
    <row r="835" spans="1:39" x14ac:dyDescent="0.2">
      <c r="A835" s="648">
        <v>2015</v>
      </c>
      <c r="B835" s="648">
        <v>10</v>
      </c>
      <c r="C835" s="657" t="s">
        <v>242</v>
      </c>
      <c r="D835" s="648">
        <v>3691</v>
      </c>
      <c r="E835" s="648" t="s">
        <v>1161</v>
      </c>
      <c r="F835" s="655">
        <v>5508739</v>
      </c>
      <c r="G835" s="655">
        <v>0</v>
      </c>
      <c r="H835" s="655">
        <v>78396</v>
      </c>
      <c r="I835" s="655">
        <v>880322</v>
      </c>
      <c r="J835" s="655">
        <v>470164</v>
      </c>
      <c r="K835" s="655">
        <v>50187</v>
      </c>
      <c r="L835" s="655">
        <v>48622</v>
      </c>
      <c r="M835" s="655">
        <v>0</v>
      </c>
      <c r="N835" s="655">
        <v>278139</v>
      </c>
      <c r="O835" s="655">
        <v>2885</v>
      </c>
      <c r="P835" s="655">
        <v>44893</v>
      </c>
      <c r="Q835" s="655">
        <v>49315</v>
      </c>
      <c r="R835" s="655">
        <v>0</v>
      </c>
      <c r="S835" s="655">
        <v>25897</v>
      </c>
      <c r="T835" s="655">
        <v>3012</v>
      </c>
      <c r="U835" s="655">
        <v>110250</v>
      </c>
      <c r="V835" s="655">
        <v>0</v>
      </c>
      <c r="W835" s="655">
        <v>236219</v>
      </c>
      <c r="X835" s="655">
        <v>31083</v>
      </c>
      <c r="Y835" s="655">
        <v>0</v>
      </c>
      <c r="Z835" s="655">
        <v>0</v>
      </c>
      <c r="AA835" s="655">
        <v>0</v>
      </c>
      <c r="AB835" s="655">
        <v>0</v>
      </c>
      <c r="AC835" s="655">
        <v>-544</v>
      </c>
      <c r="AD835" s="655">
        <v>44471</v>
      </c>
      <c r="AE835" s="655">
        <v>7773108</v>
      </c>
      <c r="AF835" s="655">
        <v>130503</v>
      </c>
      <c r="AG835" s="655">
        <v>431169</v>
      </c>
      <c r="AH835" s="655">
        <v>0</v>
      </c>
      <c r="AI835" s="655">
        <v>705617</v>
      </c>
      <c r="AJ835" s="655">
        <v>2244763</v>
      </c>
      <c r="AK835" s="655">
        <v>11285160</v>
      </c>
      <c r="AL835" s="655">
        <v>9141138</v>
      </c>
      <c r="AM835" s="655">
        <v>2144022</v>
      </c>
    </row>
    <row r="836" spans="1:39" x14ac:dyDescent="0.2">
      <c r="A836" s="648">
        <v>2015</v>
      </c>
      <c r="B836" s="648">
        <v>10</v>
      </c>
      <c r="C836" s="657" t="s">
        <v>243</v>
      </c>
      <c r="D836" s="648">
        <v>3715</v>
      </c>
      <c r="E836" s="648" t="s">
        <v>1162</v>
      </c>
      <c r="F836" s="655">
        <v>44206081</v>
      </c>
      <c r="G836" s="655">
        <v>0</v>
      </c>
      <c r="H836" s="655">
        <v>506737</v>
      </c>
      <c r="I836" s="655">
        <v>4267800</v>
      </c>
      <c r="J836" s="655">
        <v>3550442</v>
      </c>
      <c r="K836" s="655">
        <v>396376</v>
      </c>
      <c r="L836" s="655">
        <v>388253</v>
      </c>
      <c r="M836" s="655">
        <v>0</v>
      </c>
      <c r="N836" s="655">
        <v>2123502</v>
      </c>
      <c r="O836" s="655">
        <v>0</v>
      </c>
      <c r="P836" s="655">
        <v>383621</v>
      </c>
      <c r="Q836" s="655">
        <v>421409</v>
      </c>
      <c r="R836" s="655">
        <v>0</v>
      </c>
      <c r="S836" s="655">
        <v>197717</v>
      </c>
      <c r="T836" s="655">
        <v>22992</v>
      </c>
      <c r="U836" s="655">
        <v>875427</v>
      </c>
      <c r="V836" s="655">
        <v>165746</v>
      </c>
      <c r="W836" s="655">
        <v>1298613</v>
      </c>
      <c r="X836" s="655">
        <v>2016574</v>
      </c>
      <c r="Y836" s="655">
        <v>0</v>
      </c>
      <c r="Z836" s="655">
        <v>0</v>
      </c>
      <c r="AA836" s="655">
        <v>0</v>
      </c>
      <c r="AB836" s="655">
        <v>0</v>
      </c>
      <c r="AC836" s="655">
        <v>0</v>
      </c>
      <c r="AD836" s="655">
        <v>225812</v>
      </c>
      <c r="AE836" s="655">
        <v>60595478</v>
      </c>
      <c r="AF836" s="655">
        <v>572940</v>
      </c>
      <c r="AG836" s="655">
        <v>3150996</v>
      </c>
      <c r="AH836" s="655">
        <v>0</v>
      </c>
      <c r="AI836" s="655">
        <v>9566123</v>
      </c>
      <c r="AJ836" s="655">
        <v>11986993</v>
      </c>
      <c r="AK836" s="655">
        <v>85872530</v>
      </c>
      <c r="AL836" s="655">
        <v>73021462</v>
      </c>
      <c r="AM836" s="655">
        <v>12851068</v>
      </c>
    </row>
    <row r="837" spans="1:39" x14ac:dyDescent="0.2">
      <c r="A837" s="648">
        <v>2015</v>
      </c>
      <c r="B837" s="648">
        <v>10</v>
      </c>
      <c r="C837" s="657" t="s">
        <v>244</v>
      </c>
      <c r="D837" s="648">
        <v>3744</v>
      </c>
      <c r="E837" s="648" t="s">
        <v>1163</v>
      </c>
      <c r="F837" s="655">
        <v>4453017</v>
      </c>
      <c r="G837" s="655">
        <v>0</v>
      </c>
      <c r="H837" s="655">
        <v>70879</v>
      </c>
      <c r="I837" s="655">
        <v>283860</v>
      </c>
      <c r="J837" s="655">
        <v>361334</v>
      </c>
      <c r="K837" s="655">
        <v>35535</v>
      </c>
      <c r="L837" s="655">
        <v>34674</v>
      </c>
      <c r="M837" s="655">
        <v>0</v>
      </c>
      <c r="N837" s="655">
        <v>207542</v>
      </c>
      <c r="O837" s="655">
        <v>0</v>
      </c>
      <c r="P837" s="655">
        <v>36456</v>
      </c>
      <c r="Q837" s="655">
        <v>40047</v>
      </c>
      <c r="R837" s="655">
        <v>0</v>
      </c>
      <c r="S837" s="655">
        <v>19324</v>
      </c>
      <c r="T837" s="655">
        <v>2247</v>
      </c>
      <c r="U837" s="655">
        <v>30769</v>
      </c>
      <c r="V837" s="655">
        <v>0</v>
      </c>
      <c r="W837" s="655">
        <v>140348</v>
      </c>
      <c r="X837" s="655">
        <v>237291</v>
      </c>
      <c r="Y837" s="655">
        <v>0</v>
      </c>
      <c r="Z837" s="655">
        <v>0</v>
      </c>
      <c r="AA837" s="655">
        <v>0</v>
      </c>
      <c r="AB837" s="655">
        <v>0</v>
      </c>
      <c r="AC837" s="655">
        <v>-12242</v>
      </c>
      <c r="AD837" s="655">
        <v>27550</v>
      </c>
      <c r="AE837" s="655">
        <v>5913531</v>
      </c>
      <c r="AF837" s="655">
        <v>165516</v>
      </c>
      <c r="AG837" s="655">
        <v>278670</v>
      </c>
      <c r="AH837" s="655">
        <v>0</v>
      </c>
      <c r="AI837" s="655">
        <v>879867</v>
      </c>
      <c r="AJ837" s="655">
        <v>1270046</v>
      </c>
      <c r="AK837" s="655">
        <v>8507630</v>
      </c>
      <c r="AL837" s="655">
        <v>6808458</v>
      </c>
      <c r="AM837" s="655">
        <v>1699172</v>
      </c>
    </row>
    <row r="838" spans="1:39" x14ac:dyDescent="0.2">
      <c r="A838" s="648">
        <v>2015</v>
      </c>
      <c r="B838" s="648">
        <v>13</v>
      </c>
      <c r="C838" s="657" t="s">
        <v>245</v>
      </c>
      <c r="D838" s="648">
        <v>3798</v>
      </c>
      <c r="E838" s="648" t="s">
        <v>1164</v>
      </c>
      <c r="F838" s="655">
        <v>3529451</v>
      </c>
      <c r="G838" s="655">
        <v>0</v>
      </c>
      <c r="H838" s="655">
        <v>90960</v>
      </c>
      <c r="I838" s="655">
        <v>325609</v>
      </c>
      <c r="J838" s="655">
        <v>306152</v>
      </c>
      <c r="K838" s="655">
        <v>34104</v>
      </c>
      <c r="L838" s="655">
        <v>34536</v>
      </c>
      <c r="M838" s="655">
        <v>0</v>
      </c>
      <c r="N838" s="655">
        <v>169327</v>
      </c>
      <c r="O838" s="655">
        <v>11772</v>
      </c>
      <c r="P838" s="655">
        <v>28858</v>
      </c>
      <c r="Q838" s="655">
        <v>31916</v>
      </c>
      <c r="R838" s="655">
        <v>0</v>
      </c>
      <c r="S838" s="655">
        <v>17404</v>
      </c>
      <c r="T838" s="655">
        <v>1845</v>
      </c>
      <c r="U838" s="655">
        <v>46558</v>
      </c>
      <c r="V838" s="655">
        <v>0</v>
      </c>
      <c r="W838" s="655">
        <v>59260</v>
      </c>
      <c r="X838" s="655">
        <v>336046</v>
      </c>
      <c r="Y838" s="655">
        <v>0</v>
      </c>
      <c r="Z838" s="655">
        <v>0</v>
      </c>
      <c r="AA838" s="655">
        <v>0</v>
      </c>
      <c r="AB838" s="655">
        <v>0</v>
      </c>
      <c r="AC838" s="655">
        <v>-1287</v>
      </c>
      <c r="AD838" s="655">
        <v>28459</v>
      </c>
      <c r="AE838" s="655">
        <v>4994052</v>
      </c>
      <c r="AF838" s="655">
        <v>114588</v>
      </c>
      <c r="AG838" s="655">
        <v>258250</v>
      </c>
      <c r="AH838" s="655">
        <v>0</v>
      </c>
      <c r="AI838" s="655">
        <v>938294</v>
      </c>
      <c r="AJ838" s="655">
        <v>1607007</v>
      </c>
      <c r="AK838" s="655">
        <v>7912191</v>
      </c>
      <c r="AL838" s="655">
        <v>6503088</v>
      </c>
      <c r="AM838" s="655">
        <v>1409103</v>
      </c>
    </row>
    <row r="839" spans="1:39" x14ac:dyDescent="0.2">
      <c r="A839" s="648">
        <v>2015</v>
      </c>
      <c r="B839" s="648">
        <v>10</v>
      </c>
      <c r="C839" s="657" t="s">
        <v>246</v>
      </c>
      <c r="D839" s="648">
        <v>3816</v>
      </c>
      <c r="E839" s="648" t="s">
        <v>1165</v>
      </c>
      <c r="F839" s="655">
        <v>2575047</v>
      </c>
      <c r="G839" s="655">
        <v>53010</v>
      </c>
      <c r="H839" s="655">
        <v>20409</v>
      </c>
      <c r="I839" s="655">
        <v>268200</v>
      </c>
      <c r="J839" s="655">
        <v>255634</v>
      </c>
      <c r="K839" s="655">
        <v>26097</v>
      </c>
      <c r="L839" s="655">
        <v>28664</v>
      </c>
      <c r="M839" s="655">
        <v>0</v>
      </c>
      <c r="N839" s="655">
        <v>124574</v>
      </c>
      <c r="O839" s="655">
        <v>4024</v>
      </c>
      <c r="P839" s="655">
        <v>21405</v>
      </c>
      <c r="Q839" s="655">
        <v>23513</v>
      </c>
      <c r="R839" s="655">
        <v>0</v>
      </c>
      <c r="S839" s="655">
        <v>11926</v>
      </c>
      <c r="T839" s="655">
        <v>1386</v>
      </c>
      <c r="U839" s="655">
        <v>14419</v>
      </c>
      <c r="V839" s="655">
        <v>7426</v>
      </c>
      <c r="W839" s="655">
        <v>18363</v>
      </c>
      <c r="X839" s="655">
        <v>102315</v>
      </c>
      <c r="Y839" s="655">
        <v>0</v>
      </c>
      <c r="Z839" s="655">
        <v>0</v>
      </c>
      <c r="AA839" s="655">
        <v>0</v>
      </c>
      <c r="AB839" s="655">
        <v>0</v>
      </c>
      <c r="AC839" s="655">
        <v>0</v>
      </c>
      <c r="AD839" s="655">
        <v>18559</v>
      </c>
      <c r="AE839" s="655">
        <v>3537853</v>
      </c>
      <c r="AF839" s="655">
        <v>73209</v>
      </c>
      <c r="AG839" s="655">
        <v>202623</v>
      </c>
      <c r="AH839" s="655">
        <v>0</v>
      </c>
      <c r="AI839" s="655">
        <v>890289</v>
      </c>
      <c r="AJ839" s="655">
        <v>2105182</v>
      </c>
      <c r="AK839" s="655">
        <v>6809156</v>
      </c>
      <c r="AL839" s="655">
        <v>4697733</v>
      </c>
      <c r="AM839" s="655">
        <v>2111423</v>
      </c>
    </row>
    <row r="840" spans="1:39" x14ac:dyDescent="0.2">
      <c r="A840" s="648">
        <v>2015</v>
      </c>
      <c r="B840" s="648">
        <v>9</v>
      </c>
      <c r="C840" s="657" t="s">
        <v>247</v>
      </c>
      <c r="D840" s="648">
        <v>3841</v>
      </c>
      <c r="E840" s="648" t="s">
        <v>1166</v>
      </c>
      <c r="F840" s="655">
        <v>4907549</v>
      </c>
      <c r="G840" s="655">
        <v>0</v>
      </c>
      <c r="H840" s="655">
        <v>49152</v>
      </c>
      <c r="I840" s="655">
        <v>590383</v>
      </c>
      <c r="J840" s="655">
        <v>460867</v>
      </c>
      <c r="K840" s="655">
        <v>53423</v>
      </c>
      <c r="L840" s="655">
        <v>48351</v>
      </c>
      <c r="M840" s="655">
        <v>0</v>
      </c>
      <c r="N840" s="655">
        <v>242545</v>
      </c>
      <c r="O840" s="655">
        <v>4626</v>
      </c>
      <c r="P840" s="655">
        <v>40015</v>
      </c>
      <c r="Q840" s="655">
        <v>43646</v>
      </c>
      <c r="R840" s="655">
        <v>0</v>
      </c>
      <c r="S840" s="655">
        <v>21781</v>
      </c>
      <c r="T840" s="655">
        <v>2556</v>
      </c>
      <c r="U840" s="655">
        <v>139336</v>
      </c>
      <c r="V840" s="655">
        <v>0</v>
      </c>
      <c r="W840" s="655">
        <v>20199</v>
      </c>
      <c r="X840" s="655">
        <v>37315</v>
      </c>
      <c r="Y840" s="655">
        <v>0</v>
      </c>
      <c r="Z840" s="655">
        <v>0</v>
      </c>
      <c r="AA840" s="655">
        <v>0</v>
      </c>
      <c r="AB840" s="655">
        <v>0</v>
      </c>
      <c r="AC840" s="655">
        <v>0</v>
      </c>
      <c r="AD840" s="655">
        <v>39308</v>
      </c>
      <c r="AE840" s="655">
        <v>6622436</v>
      </c>
      <c r="AF840" s="655">
        <v>127320</v>
      </c>
      <c r="AG840" s="655">
        <v>379255</v>
      </c>
      <c r="AH840" s="655">
        <v>0</v>
      </c>
      <c r="AI840" s="655">
        <v>1023318</v>
      </c>
      <c r="AJ840" s="655">
        <v>2185197</v>
      </c>
      <c r="AK840" s="655">
        <v>10337526</v>
      </c>
      <c r="AL840" s="655">
        <v>8089601</v>
      </c>
      <c r="AM840" s="655">
        <v>2247925</v>
      </c>
    </row>
    <row r="841" spans="1:39" x14ac:dyDescent="0.2">
      <c r="A841" s="648">
        <v>2015</v>
      </c>
      <c r="B841" s="648">
        <v>5</v>
      </c>
      <c r="C841" s="657" t="s">
        <v>248</v>
      </c>
      <c r="D841" s="648">
        <v>3897</v>
      </c>
      <c r="E841" s="648" t="s">
        <v>1167</v>
      </c>
      <c r="F841" s="655">
        <v>497116</v>
      </c>
      <c r="G841" s="655">
        <v>0</v>
      </c>
      <c r="H841" s="655">
        <v>61531</v>
      </c>
      <c r="I841" s="655">
        <v>56710</v>
      </c>
      <c r="J841" s="655">
        <v>47802</v>
      </c>
      <c r="K841" s="655">
        <v>5067</v>
      </c>
      <c r="L841" s="655">
        <v>624</v>
      </c>
      <c r="M841" s="655">
        <v>0</v>
      </c>
      <c r="N841" s="655">
        <v>24540</v>
      </c>
      <c r="O841" s="655">
        <v>4451</v>
      </c>
      <c r="P841" s="655">
        <v>4405</v>
      </c>
      <c r="Q841" s="655">
        <v>4948</v>
      </c>
      <c r="R841" s="655">
        <v>75</v>
      </c>
      <c r="S841" s="655">
        <v>2615</v>
      </c>
      <c r="T841" s="655">
        <v>312</v>
      </c>
      <c r="U841" s="655">
        <v>2870</v>
      </c>
      <c r="V841" s="655">
        <v>0</v>
      </c>
      <c r="W841" s="655">
        <v>18363</v>
      </c>
      <c r="X841" s="655">
        <v>1494</v>
      </c>
      <c r="Y841" s="655">
        <v>0</v>
      </c>
      <c r="Z841" s="655">
        <v>0</v>
      </c>
      <c r="AA841" s="655">
        <v>0</v>
      </c>
      <c r="AB841" s="655">
        <v>0</v>
      </c>
      <c r="AC841" s="655">
        <v>0</v>
      </c>
      <c r="AD841" s="655">
        <v>5119</v>
      </c>
      <c r="AE841" s="655">
        <v>727804</v>
      </c>
      <c r="AF841" s="655">
        <v>28647</v>
      </c>
      <c r="AG841" s="655">
        <v>46242</v>
      </c>
      <c r="AH841" s="655">
        <v>124279</v>
      </c>
      <c r="AI841" s="655">
        <v>454049</v>
      </c>
      <c r="AJ841" s="655">
        <v>75265</v>
      </c>
      <c r="AK841" s="655">
        <v>1456286</v>
      </c>
      <c r="AL841" s="655">
        <v>1316822</v>
      </c>
      <c r="AM841" s="655">
        <v>139464</v>
      </c>
    </row>
    <row r="842" spans="1:39" x14ac:dyDescent="0.2">
      <c r="A842" s="648">
        <v>2015</v>
      </c>
      <c r="B842" s="648">
        <v>11</v>
      </c>
      <c r="C842" s="657" t="s">
        <v>249</v>
      </c>
      <c r="D842" s="648">
        <v>3906</v>
      </c>
      <c r="E842" s="648" t="s">
        <v>1168</v>
      </c>
      <c r="F842" s="655">
        <v>2755205</v>
      </c>
      <c r="G842" s="655">
        <v>0</v>
      </c>
      <c r="H842" s="655">
        <v>29265</v>
      </c>
      <c r="I842" s="655">
        <v>261388</v>
      </c>
      <c r="J842" s="655">
        <v>242684</v>
      </c>
      <c r="K842" s="655">
        <v>24159</v>
      </c>
      <c r="L842" s="655">
        <v>24237</v>
      </c>
      <c r="M842" s="655">
        <v>0</v>
      </c>
      <c r="N842" s="655">
        <v>128805</v>
      </c>
      <c r="O842" s="655">
        <v>0</v>
      </c>
      <c r="P842" s="655">
        <v>25876</v>
      </c>
      <c r="Q842" s="655">
        <v>28401</v>
      </c>
      <c r="R842" s="655">
        <v>0</v>
      </c>
      <c r="S842" s="655">
        <v>10520</v>
      </c>
      <c r="T842" s="655">
        <v>1341</v>
      </c>
      <c r="U842" s="655">
        <v>82656</v>
      </c>
      <c r="V842" s="655">
        <v>0</v>
      </c>
      <c r="W842" s="655">
        <v>32441</v>
      </c>
      <c r="X842" s="655">
        <v>60668</v>
      </c>
      <c r="Y842" s="655">
        <v>0</v>
      </c>
      <c r="Z842" s="655">
        <v>0</v>
      </c>
      <c r="AA842" s="655">
        <v>0</v>
      </c>
      <c r="AB842" s="655">
        <v>0</v>
      </c>
      <c r="AC842" s="655">
        <v>0</v>
      </c>
      <c r="AD842" s="655">
        <v>23232</v>
      </c>
      <c r="AE842" s="655">
        <v>3684414</v>
      </c>
      <c r="AF842" s="655">
        <v>111405</v>
      </c>
      <c r="AG842" s="655">
        <v>223034</v>
      </c>
      <c r="AH842" s="655">
        <v>0</v>
      </c>
      <c r="AI842" s="655">
        <v>715622</v>
      </c>
      <c r="AJ842" s="655">
        <v>1737945</v>
      </c>
      <c r="AK842" s="655">
        <v>6472420</v>
      </c>
      <c r="AL842" s="655">
        <v>4994082</v>
      </c>
      <c r="AM842" s="655">
        <v>1478338</v>
      </c>
    </row>
    <row r="843" spans="1:39" x14ac:dyDescent="0.2">
      <c r="A843" s="648">
        <v>2015</v>
      </c>
      <c r="B843" s="648">
        <v>11</v>
      </c>
      <c r="C843" s="657" t="s">
        <v>250</v>
      </c>
      <c r="D843" s="648">
        <v>3942</v>
      </c>
      <c r="E843" s="648" t="s">
        <v>1169</v>
      </c>
      <c r="F843" s="655">
        <v>4141720</v>
      </c>
      <c r="G843" s="655">
        <v>38072</v>
      </c>
      <c r="H843" s="655">
        <v>23548</v>
      </c>
      <c r="I843" s="655">
        <v>338226</v>
      </c>
      <c r="J843" s="655">
        <v>351265</v>
      </c>
      <c r="K843" s="655">
        <v>38626</v>
      </c>
      <c r="L843" s="655">
        <v>42204</v>
      </c>
      <c r="M843" s="655">
        <v>0</v>
      </c>
      <c r="N843" s="655">
        <v>191288</v>
      </c>
      <c r="O843" s="655">
        <v>178</v>
      </c>
      <c r="P843" s="655">
        <v>34034</v>
      </c>
      <c r="Q843" s="655">
        <v>37355</v>
      </c>
      <c r="R843" s="655">
        <v>0</v>
      </c>
      <c r="S843" s="655">
        <v>15623</v>
      </c>
      <c r="T843" s="655">
        <v>1992</v>
      </c>
      <c r="U843" s="655">
        <v>19114</v>
      </c>
      <c r="V843" s="655">
        <v>0</v>
      </c>
      <c r="W843" s="655">
        <v>164243</v>
      </c>
      <c r="X843" s="655">
        <v>215990</v>
      </c>
      <c r="Y843" s="655">
        <v>0</v>
      </c>
      <c r="Z843" s="655">
        <v>0</v>
      </c>
      <c r="AA843" s="655">
        <v>0</v>
      </c>
      <c r="AB843" s="655">
        <v>0</v>
      </c>
      <c r="AC843" s="655">
        <v>-3673</v>
      </c>
      <c r="AD843" s="655">
        <v>25816</v>
      </c>
      <c r="AE843" s="655">
        <v>5623989</v>
      </c>
      <c r="AF843" s="655">
        <v>15915</v>
      </c>
      <c r="AG843" s="655">
        <v>239627</v>
      </c>
      <c r="AH843" s="655">
        <v>0</v>
      </c>
      <c r="AI843" s="655">
        <v>668763</v>
      </c>
      <c r="AJ843" s="655">
        <v>2019934</v>
      </c>
      <c r="AK843" s="655">
        <v>8568228</v>
      </c>
      <c r="AL843" s="655">
        <v>6589056</v>
      </c>
      <c r="AM843" s="655">
        <v>1979172</v>
      </c>
    </row>
    <row r="844" spans="1:39" x14ac:dyDescent="0.2">
      <c r="A844" s="648">
        <v>2015</v>
      </c>
      <c r="B844" s="648">
        <v>13</v>
      </c>
      <c r="C844" s="657" t="s">
        <v>251</v>
      </c>
      <c r="D844" s="648">
        <v>3978</v>
      </c>
      <c r="E844" s="648" t="s">
        <v>1480</v>
      </c>
      <c r="F844" s="655">
        <v>3504993</v>
      </c>
      <c r="G844" s="655">
        <v>0</v>
      </c>
      <c r="H844" s="655">
        <v>77771</v>
      </c>
      <c r="I844" s="655">
        <v>419365</v>
      </c>
      <c r="J844" s="655">
        <v>329464</v>
      </c>
      <c r="K844" s="655">
        <v>36636</v>
      </c>
      <c r="L844" s="655">
        <v>32630</v>
      </c>
      <c r="M844" s="655">
        <v>0</v>
      </c>
      <c r="N844" s="655">
        <v>170816</v>
      </c>
      <c r="O844" s="655">
        <v>6631</v>
      </c>
      <c r="P844" s="655">
        <v>28754</v>
      </c>
      <c r="Q844" s="655">
        <v>31801</v>
      </c>
      <c r="R844" s="655">
        <v>0</v>
      </c>
      <c r="S844" s="655">
        <v>17541</v>
      </c>
      <c r="T844" s="655">
        <v>1861</v>
      </c>
      <c r="U844" s="655">
        <v>82379</v>
      </c>
      <c r="V844" s="655">
        <v>0</v>
      </c>
      <c r="W844" s="655">
        <v>146904</v>
      </c>
      <c r="X844" s="655">
        <v>168373</v>
      </c>
      <c r="Y844" s="655">
        <v>0</v>
      </c>
      <c r="Z844" s="655">
        <v>0</v>
      </c>
      <c r="AA844" s="655">
        <v>0</v>
      </c>
      <c r="AB844" s="655">
        <v>0</v>
      </c>
      <c r="AC844" s="655">
        <v>0</v>
      </c>
      <c r="AD844" s="655">
        <v>31373</v>
      </c>
      <c r="AE844" s="655">
        <v>5024546</v>
      </c>
      <c r="AF844" s="655">
        <v>73209</v>
      </c>
      <c r="AG844" s="655">
        <v>302270</v>
      </c>
      <c r="AH844" s="655">
        <v>0</v>
      </c>
      <c r="AI844" s="655">
        <v>552789</v>
      </c>
      <c r="AJ844" s="655">
        <v>572077</v>
      </c>
      <c r="AK844" s="655">
        <v>6524891</v>
      </c>
      <c r="AL844" s="655">
        <v>5059266</v>
      </c>
      <c r="AM844" s="655">
        <v>1465625</v>
      </c>
    </row>
    <row r="845" spans="1:39" x14ac:dyDescent="0.2">
      <c r="A845" s="648">
        <v>2015</v>
      </c>
      <c r="B845" s="648">
        <v>5</v>
      </c>
      <c r="C845" s="657" t="s">
        <v>252</v>
      </c>
      <c r="D845" s="648">
        <v>4023</v>
      </c>
      <c r="E845" s="648" t="s">
        <v>1170</v>
      </c>
      <c r="F845" s="655">
        <v>4311846</v>
      </c>
      <c r="G845" s="655">
        <v>0</v>
      </c>
      <c r="H845" s="655">
        <v>67743</v>
      </c>
      <c r="I845" s="655">
        <v>329011</v>
      </c>
      <c r="J845" s="655">
        <v>389844</v>
      </c>
      <c r="K845" s="655">
        <v>42192</v>
      </c>
      <c r="L845" s="655">
        <v>33288</v>
      </c>
      <c r="M845" s="655">
        <v>0</v>
      </c>
      <c r="N845" s="655">
        <v>209315</v>
      </c>
      <c r="O845" s="655">
        <v>0</v>
      </c>
      <c r="P845" s="655">
        <v>37914</v>
      </c>
      <c r="Q845" s="655">
        <v>42592</v>
      </c>
      <c r="R845" s="655">
        <v>638</v>
      </c>
      <c r="S845" s="655">
        <v>22302</v>
      </c>
      <c r="T845" s="655">
        <v>2658</v>
      </c>
      <c r="U845" s="655">
        <v>207373</v>
      </c>
      <c r="V845" s="655">
        <v>0</v>
      </c>
      <c r="W845" s="655">
        <v>73452</v>
      </c>
      <c r="X845" s="655">
        <v>34418</v>
      </c>
      <c r="Y845" s="655">
        <v>0</v>
      </c>
      <c r="Z845" s="655">
        <v>0</v>
      </c>
      <c r="AA845" s="655">
        <v>0</v>
      </c>
      <c r="AB845" s="655">
        <v>0</v>
      </c>
      <c r="AC845" s="655">
        <v>-4327</v>
      </c>
      <c r="AD845" s="655">
        <v>38009</v>
      </c>
      <c r="AE845" s="655">
        <v>5762250</v>
      </c>
      <c r="AF845" s="655">
        <v>98673</v>
      </c>
      <c r="AG845" s="655">
        <v>362627</v>
      </c>
      <c r="AH845" s="655">
        <v>0</v>
      </c>
      <c r="AI845" s="655">
        <v>2054884</v>
      </c>
      <c r="AJ845" s="655">
        <v>903821</v>
      </c>
      <c r="AK845" s="655">
        <v>9182255</v>
      </c>
      <c r="AL845" s="655">
        <v>8293369</v>
      </c>
      <c r="AM845" s="655">
        <v>888886</v>
      </c>
    </row>
    <row r="846" spans="1:39" x14ac:dyDescent="0.2">
      <c r="A846" s="648">
        <v>2015</v>
      </c>
      <c r="B846" s="648">
        <v>12</v>
      </c>
      <c r="C846" s="657" t="s">
        <v>253</v>
      </c>
      <c r="D846" s="648">
        <v>4033</v>
      </c>
      <c r="E846" s="648" t="s">
        <v>1494</v>
      </c>
      <c r="F846" s="655">
        <v>4356976</v>
      </c>
      <c r="G846" s="655">
        <v>16027</v>
      </c>
      <c r="H846" s="655">
        <v>146782</v>
      </c>
      <c r="I846" s="655">
        <v>608527</v>
      </c>
      <c r="J846" s="655">
        <v>376848</v>
      </c>
      <c r="K846" s="655">
        <v>39302</v>
      </c>
      <c r="L846" s="655">
        <v>37054</v>
      </c>
      <c r="M846" s="655">
        <v>0</v>
      </c>
      <c r="N846" s="655">
        <v>219746</v>
      </c>
      <c r="O846" s="655">
        <v>15631</v>
      </c>
      <c r="P846" s="655">
        <v>37078</v>
      </c>
      <c r="Q846" s="655">
        <v>41637</v>
      </c>
      <c r="R846" s="655">
        <v>0</v>
      </c>
      <c r="S846" s="655">
        <v>22062</v>
      </c>
      <c r="T846" s="655">
        <v>2639</v>
      </c>
      <c r="U846" s="655">
        <v>78750</v>
      </c>
      <c r="V846" s="655">
        <v>0</v>
      </c>
      <c r="W846" s="655">
        <v>86918</v>
      </c>
      <c r="X846" s="655">
        <v>8540</v>
      </c>
      <c r="Y846" s="655">
        <v>0</v>
      </c>
      <c r="Z846" s="655">
        <v>0</v>
      </c>
      <c r="AA846" s="655">
        <v>0</v>
      </c>
      <c r="AB846" s="655">
        <v>0</v>
      </c>
      <c r="AC846" s="655">
        <v>0</v>
      </c>
      <c r="AD846" s="655">
        <v>42589</v>
      </c>
      <c r="AE846" s="655">
        <v>6051928</v>
      </c>
      <c r="AF846" s="655">
        <v>105039</v>
      </c>
      <c r="AG846" s="655">
        <v>368163</v>
      </c>
      <c r="AH846" s="655">
        <v>0</v>
      </c>
      <c r="AI846" s="655">
        <v>1118352</v>
      </c>
      <c r="AJ846" s="655">
        <v>2127589</v>
      </c>
      <c r="AK846" s="655">
        <v>9771071</v>
      </c>
      <c r="AL846" s="655">
        <v>7943593</v>
      </c>
      <c r="AM846" s="655">
        <v>1827478</v>
      </c>
    </row>
    <row r="847" spans="1:39" x14ac:dyDescent="0.2">
      <c r="A847" s="648">
        <v>2015</v>
      </c>
      <c r="B847" s="648">
        <v>9</v>
      </c>
      <c r="C847" s="657" t="s">
        <v>254</v>
      </c>
      <c r="D847" s="648">
        <v>4041</v>
      </c>
      <c r="E847" s="648" t="s">
        <v>1171</v>
      </c>
      <c r="F847" s="655">
        <v>8610652</v>
      </c>
      <c r="G847" s="655">
        <v>0</v>
      </c>
      <c r="H847" s="655">
        <v>223612</v>
      </c>
      <c r="I847" s="655">
        <v>1529813</v>
      </c>
      <c r="J847" s="655">
        <v>784522</v>
      </c>
      <c r="K847" s="655">
        <v>91828</v>
      </c>
      <c r="L847" s="655">
        <v>93992</v>
      </c>
      <c r="M847" s="655">
        <v>0</v>
      </c>
      <c r="N847" s="655">
        <v>447353</v>
      </c>
      <c r="O847" s="655">
        <v>12318</v>
      </c>
      <c r="P847" s="655">
        <v>74580</v>
      </c>
      <c r="Q847" s="655">
        <v>81349</v>
      </c>
      <c r="R847" s="655">
        <v>0</v>
      </c>
      <c r="S847" s="655">
        <v>40173</v>
      </c>
      <c r="T847" s="655">
        <v>4715</v>
      </c>
      <c r="U847" s="655">
        <v>159127</v>
      </c>
      <c r="V847" s="655">
        <v>0</v>
      </c>
      <c r="W847" s="655">
        <v>166639</v>
      </c>
      <c r="X847" s="655">
        <v>0</v>
      </c>
      <c r="Y847" s="655">
        <v>0</v>
      </c>
      <c r="Z847" s="655">
        <v>0</v>
      </c>
      <c r="AA847" s="655">
        <v>0</v>
      </c>
      <c r="AB847" s="655">
        <v>0</v>
      </c>
      <c r="AC847" s="655">
        <v>0</v>
      </c>
      <c r="AD847" s="655">
        <v>74194</v>
      </c>
      <c r="AE847" s="655">
        <v>12246479</v>
      </c>
      <c r="AF847" s="655">
        <v>257823</v>
      </c>
      <c r="AG847" s="655">
        <v>611614</v>
      </c>
      <c r="AH847" s="655">
        <v>0</v>
      </c>
      <c r="AI847" s="655">
        <v>2904053</v>
      </c>
      <c r="AJ847" s="655">
        <v>3381915</v>
      </c>
      <c r="AK847" s="655">
        <v>19401884</v>
      </c>
      <c r="AL847" s="655">
        <v>16092405</v>
      </c>
      <c r="AM847" s="655">
        <v>3309479</v>
      </c>
    </row>
    <row r="848" spans="1:39" x14ac:dyDescent="0.2">
      <c r="A848" s="648">
        <v>2015</v>
      </c>
      <c r="B848" s="648">
        <v>1</v>
      </c>
      <c r="C848" s="657" t="s">
        <v>255</v>
      </c>
      <c r="D848" s="648">
        <v>4043</v>
      </c>
      <c r="E848" s="648" t="s">
        <v>1172</v>
      </c>
      <c r="F848" s="655">
        <v>4421658</v>
      </c>
      <c r="G848" s="655">
        <v>49697</v>
      </c>
      <c r="H848" s="655">
        <v>66744</v>
      </c>
      <c r="I848" s="655">
        <v>463279</v>
      </c>
      <c r="J848" s="655">
        <v>388760</v>
      </c>
      <c r="K848" s="655">
        <v>42753</v>
      </c>
      <c r="L848" s="655">
        <v>41335</v>
      </c>
      <c r="M848" s="655">
        <v>0</v>
      </c>
      <c r="N848" s="655">
        <v>224533</v>
      </c>
      <c r="O848" s="655">
        <v>10267</v>
      </c>
      <c r="P848" s="655">
        <v>37752</v>
      </c>
      <c r="Q848" s="655">
        <v>42135</v>
      </c>
      <c r="R848" s="655">
        <v>0</v>
      </c>
      <c r="S848" s="655">
        <v>22309</v>
      </c>
      <c r="T848" s="655">
        <v>2374</v>
      </c>
      <c r="U848" s="655">
        <v>125100</v>
      </c>
      <c r="V848" s="655">
        <v>0</v>
      </c>
      <c r="W848" s="655">
        <v>204096</v>
      </c>
      <c r="X848" s="655">
        <v>33321</v>
      </c>
      <c r="Y848" s="655">
        <v>0</v>
      </c>
      <c r="Z848" s="655">
        <v>0</v>
      </c>
      <c r="AA848" s="655">
        <v>0</v>
      </c>
      <c r="AB848" s="655">
        <v>0</v>
      </c>
      <c r="AC848" s="655">
        <v>0</v>
      </c>
      <c r="AD848" s="655">
        <v>45215</v>
      </c>
      <c r="AE848" s="655">
        <v>6130898</v>
      </c>
      <c r="AF848" s="655">
        <v>146418</v>
      </c>
      <c r="AG848" s="655">
        <v>362896</v>
      </c>
      <c r="AH848" s="655">
        <v>0</v>
      </c>
      <c r="AI848" s="655">
        <v>745981</v>
      </c>
      <c r="AJ848" s="655">
        <v>1457773</v>
      </c>
      <c r="AK848" s="655">
        <v>8843966</v>
      </c>
      <c r="AL848" s="655">
        <v>6991047</v>
      </c>
      <c r="AM848" s="655">
        <v>1852919</v>
      </c>
    </row>
    <row r="849" spans="1:39" x14ac:dyDescent="0.2">
      <c r="A849" s="648">
        <v>2015</v>
      </c>
      <c r="B849" s="648">
        <v>12</v>
      </c>
      <c r="C849" s="657" t="s">
        <v>256</v>
      </c>
      <c r="D849" s="648">
        <v>4068</v>
      </c>
      <c r="E849" s="648" t="s">
        <v>1173</v>
      </c>
      <c r="F849" s="655">
        <v>2772913</v>
      </c>
      <c r="G849" s="655">
        <v>33693</v>
      </c>
      <c r="H849" s="655">
        <v>31026</v>
      </c>
      <c r="I849" s="655">
        <v>277803</v>
      </c>
      <c r="J849" s="655">
        <v>255443</v>
      </c>
      <c r="K849" s="655">
        <v>26836</v>
      </c>
      <c r="L849" s="655">
        <v>20196</v>
      </c>
      <c r="M849" s="655">
        <v>0</v>
      </c>
      <c r="N849" s="655">
        <v>136527</v>
      </c>
      <c r="O849" s="655">
        <v>12022</v>
      </c>
      <c r="P849" s="655">
        <v>22938</v>
      </c>
      <c r="Q849" s="655">
        <v>25759</v>
      </c>
      <c r="R849" s="655">
        <v>0</v>
      </c>
      <c r="S849" s="655">
        <v>14030</v>
      </c>
      <c r="T849" s="655">
        <v>1679</v>
      </c>
      <c r="U849" s="655">
        <v>79121</v>
      </c>
      <c r="V849" s="655">
        <v>0</v>
      </c>
      <c r="W849" s="655">
        <v>94895</v>
      </c>
      <c r="X849" s="655">
        <v>256717</v>
      </c>
      <c r="Y849" s="655">
        <v>0</v>
      </c>
      <c r="Z849" s="655">
        <v>0</v>
      </c>
      <c r="AA849" s="655">
        <v>0</v>
      </c>
      <c r="AB849" s="655">
        <v>0</v>
      </c>
      <c r="AC849" s="655">
        <v>0</v>
      </c>
      <c r="AD849" s="655">
        <v>28045</v>
      </c>
      <c r="AE849" s="655">
        <v>4033553</v>
      </c>
      <c r="AF849" s="655">
        <v>85941</v>
      </c>
      <c r="AG849" s="655">
        <v>248806</v>
      </c>
      <c r="AH849" s="655">
        <v>0</v>
      </c>
      <c r="AI849" s="655">
        <v>476457</v>
      </c>
      <c r="AJ849" s="655">
        <v>479050</v>
      </c>
      <c r="AK849" s="655">
        <v>5323807</v>
      </c>
      <c r="AL849" s="655">
        <v>4787907</v>
      </c>
      <c r="AM849" s="655">
        <v>535900</v>
      </c>
    </row>
    <row r="850" spans="1:39" x14ac:dyDescent="0.2">
      <c r="A850" s="648">
        <v>2015</v>
      </c>
      <c r="B850" s="648">
        <v>10</v>
      </c>
      <c r="C850" s="657" t="s">
        <v>257</v>
      </c>
      <c r="D850" s="648">
        <v>4086</v>
      </c>
      <c r="E850" s="648" t="s">
        <v>1174</v>
      </c>
      <c r="F850" s="655">
        <v>12056352</v>
      </c>
      <c r="G850" s="655">
        <v>0</v>
      </c>
      <c r="H850" s="655">
        <v>170872</v>
      </c>
      <c r="I850" s="655">
        <v>1396829</v>
      </c>
      <c r="J850" s="655">
        <v>1058864</v>
      </c>
      <c r="K850" s="655">
        <v>127759</v>
      </c>
      <c r="L850" s="655">
        <v>129678</v>
      </c>
      <c r="M850" s="655">
        <v>0</v>
      </c>
      <c r="N850" s="655">
        <v>580142</v>
      </c>
      <c r="O850" s="655">
        <v>0</v>
      </c>
      <c r="P850" s="655">
        <v>101348</v>
      </c>
      <c r="Q850" s="655">
        <v>111331</v>
      </c>
      <c r="R850" s="655">
        <v>0</v>
      </c>
      <c r="S850" s="655">
        <v>54017</v>
      </c>
      <c r="T850" s="655">
        <v>6281</v>
      </c>
      <c r="U850" s="655">
        <v>111671</v>
      </c>
      <c r="V850" s="655">
        <v>0</v>
      </c>
      <c r="W850" s="655">
        <v>466084</v>
      </c>
      <c r="X850" s="655">
        <v>558624</v>
      </c>
      <c r="Y850" s="655">
        <v>0</v>
      </c>
      <c r="Z850" s="655">
        <v>0</v>
      </c>
      <c r="AA850" s="655">
        <v>0</v>
      </c>
      <c r="AB850" s="655">
        <v>0</v>
      </c>
      <c r="AC850" s="655">
        <v>-18309</v>
      </c>
      <c r="AD850" s="655">
        <v>80131</v>
      </c>
      <c r="AE850" s="655">
        <v>16831412</v>
      </c>
      <c r="AF850" s="655">
        <v>289653</v>
      </c>
      <c r="AG850" s="655">
        <v>811995</v>
      </c>
      <c r="AH850" s="655">
        <v>0</v>
      </c>
      <c r="AI850" s="655">
        <v>5597400</v>
      </c>
      <c r="AJ850" s="655">
        <v>7078659</v>
      </c>
      <c r="AK850" s="655">
        <v>30609119</v>
      </c>
      <c r="AL850" s="655">
        <v>23089544</v>
      </c>
      <c r="AM850" s="655">
        <v>7519575</v>
      </c>
    </row>
    <row r="851" spans="1:39" x14ac:dyDescent="0.2">
      <c r="A851" s="648">
        <v>2015</v>
      </c>
      <c r="B851" s="648">
        <v>7</v>
      </c>
      <c r="C851" s="657" t="s">
        <v>258</v>
      </c>
      <c r="D851" s="648">
        <v>4104</v>
      </c>
      <c r="E851" s="648" t="s">
        <v>1175</v>
      </c>
      <c r="F851" s="655">
        <v>34524120</v>
      </c>
      <c r="G851" s="655">
        <v>0</v>
      </c>
      <c r="H851" s="655">
        <v>1971709</v>
      </c>
      <c r="I851" s="655">
        <v>4726956</v>
      </c>
      <c r="J851" s="655">
        <v>2857037</v>
      </c>
      <c r="K851" s="655">
        <v>319700</v>
      </c>
      <c r="L851" s="655">
        <v>448808</v>
      </c>
      <c r="M851" s="655">
        <v>0</v>
      </c>
      <c r="N851" s="655">
        <v>1734962</v>
      </c>
      <c r="O851" s="655">
        <v>0</v>
      </c>
      <c r="P851" s="655">
        <v>291026</v>
      </c>
      <c r="Q851" s="655">
        <v>325134</v>
      </c>
      <c r="R851" s="655">
        <v>0</v>
      </c>
      <c r="S851" s="655">
        <v>221465</v>
      </c>
      <c r="T851" s="655">
        <v>25424</v>
      </c>
      <c r="U851" s="655">
        <v>1726206</v>
      </c>
      <c r="V851" s="655">
        <v>0</v>
      </c>
      <c r="W851" s="655">
        <v>1077968</v>
      </c>
      <c r="X851" s="655">
        <v>1377899</v>
      </c>
      <c r="Y851" s="655">
        <v>0</v>
      </c>
      <c r="Z851" s="655">
        <v>0</v>
      </c>
      <c r="AA851" s="655">
        <v>0</v>
      </c>
      <c r="AB851" s="655">
        <v>0</v>
      </c>
      <c r="AC851" s="655">
        <v>0</v>
      </c>
      <c r="AD851" s="655">
        <v>232815</v>
      </c>
      <c r="AE851" s="655">
        <v>51395599</v>
      </c>
      <c r="AF851" s="655">
        <v>700260</v>
      </c>
      <c r="AG851" s="655">
        <v>1947160</v>
      </c>
      <c r="AH851" s="655">
        <v>0</v>
      </c>
      <c r="AI851" s="655">
        <v>6701101</v>
      </c>
      <c r="AJ851" s="655">
        <v>18632701</v>
      </c>
      <c r="AK851" s="655">
        <v>79376821</v>
      </c>
      <c r="AL851" s="655">
        <v>59530790</v>
      </c>
      <c r="AM851" s="655">
        <v>19846031</v>
      </c>
    </row>
    <row r="852" spans="1:39" x14ac:dyDescent="0.2">
      <c r="A852" s="648">
        <v>2015</v>
      </c>
      <c r="B852" s="648">
        <v>11</v>
      </c>
      <c r="C852" s="657" t="s">
        <v>259</v>
      </c>
      <c r="D852" s="648">
        <v>4122</v>
      </c>
      <c r="E852" s="648" t="s">
        <v>1176</v>
      </c>
      <c r="F852" s="655">
        <v>3377163</v>
      </c>
      <c r="G852" s="655">
        <v>0</v>
      </c>
      <c r="H852" s="655">
        <v>18780</v>
      </c>
      <c r="I852" s="655">
        <v>364517</v>
      </c>
      <c r="J852" s="655">
        <v>289892</v>
      </c>
      <c r="K852" s="655">
        <v>27522</v>
      </c>
      <c r="L852" s="655">
        <v>31321</v>
      </c>
      <c r="M852" s="655">
        <v>0</v>
      </c>
      <c r="N852" s="655">
        <v>159765</v>
      </c>
      <c r="O852" s="655">
        <v>0</v>
      </c>
      <c r="P852" s="655">
        <v>28474</v>
      </c>
      <c r="Q852" s="655">
        <v>31252</v>
      </c>
      <c r="R852" s="655">
        <v>0</v>
      </c>
      <c r="S852" s="655">
        <v>13048</v>
      </c>
      <c r="T852" s="655">
        <v>1663</v>
      </c>
      <c r="U852" s="655">
        <v>93342</v>
      </c>
      <c r="V852" s="655">
        <v>0</v>
      </c>
      <c r="W852" s="655">
        <v>89367</v>
      </c>
      <c r="X852" s="655">
        <v>8327</v>
      </c>
      <c r="Y852" s="655">
        <v>0</v>
      </c>
      <c r="Z852" s="655">
        <v>0</v>
      </c>
      <c r="AA852" s="655">
        <v>0</v>
      </c>
      <c r="AB852" s="655">
        <v>0</v>
      </c>
      <c r="AC852" s="655">
        <v>0</v>
      </c>
      <c r="AD852" s="655">
        <v>22923</v>
      </c>
      <c r="AE852" s="655">
        <v>4511510</v>
      </c>
      <c r="AF852" s="655">
        <v>63660</v>
      </c>
      <c r="AG852" s="655">
        <v>241264</v>
      </c>
      <c r="AH852" s="655">
        <v>0</v>
      </c>
      <c r="AI852" s="655">
        <v>1173258</v>
      </c>
      <c r="AJ852" s="655">
        <v>1900586</v>
      </c>
      <c r="AK852" s="655">
        <v>7890278</v>
      </c>
      <c r="AL852" s="655">
        <v>5913081</v>
      </c>
      <c r="AM852" s="655">
        <v>1977197</v>
      </c>
    </row>
    <row r="853" spans="1:39" x14ac:dyDescent="0.2">
      <c r="A853" s="648">
        <v>2015</v>
      </c>
      <c r="B853" s="648">
        <v>7</v>
      </c>
      <c r="C853" s="657" t="s">
        <v>260</v>
      </c>
      <c r="D853" s="648">
        <v>4131</v>
      </c>
      <c r="E853" s="648" t="s">
        <v>1177</v>
      </c>
      <c r="F853" s="655">
        <v>23979619</v>
      </c>
      <c r="G853" s="655">
        <v>0</v>
      </c>
      <c r="H853" s="655">
        <v>330636</v>
      </c>
      <c r="I853" s="655">
        <v>3879668</v>
      </c>
      <c r="J853" s="655">
        <v>1995508</v>
      </c>
      <c r="K853" s="655">
        <v>237561</v>
      </c>
      <c r="L853" s="655">
        <v>269445</v>
      </c>
      <c r="M853" s="655">
        <v>0</v>
      </c>
      <c r="N853" s="655">
        <v>1225497</v>
      </c>
      <c r="O853" s="655">
        <v>27930</v>
      </c>
      <c r="P853" s="655">
        <v>220352</v>
      </c>
      <c r="Q853" s="655">
        <v>246177</v>
      </c>
      <c r="R853" s="655">
        <v>0</v>
      </c>
      <c r="S853" s="655">
        <v>156433</v>
      </c>
      <c r="T853" s="655">
        <v>17958</v>
      </c>
      <c r="U853" s="655">
        <v>1198981</v>
      </c>
      <c r="V853" s="655">
        <v>0</v>
      </c>
      <c r="W853" s="655">
        <v>182230</v>
      </c>
      <c r="X853" s="655">
        <v>2554419</v>
      </c>
      <c r="Y853" s="655">
        <v>0</v>
      </c>
      <c r="Z853" s="655">
        <v>0</v>
      </c>
      <c r="AA853" s="655">
        <v>0</v>
      </c>
      <c r="AB853" s="655">
        <v>0</v>
      </c>
      <c r="AC853" s="655">
        <v>0</v>
      </c>
      <c r="AD853" s="655">
        <v>218724</v>
      </c>
      <c r="AE853" s="655">
        <v>36303690</v>
      </c>
      <c r="AF853" s="655">
        <v>455169</v>
      </c>
      <c r="AG853" s="655">
        <v>1813818</v>
      </c>
      <c r="AH853" s="655">
        <v>0</v>
      </c>
      <c r="AI853" s="655">
        <v>5179520</v>
      </c>
      <c r="AJ853" s="655">
        <v>4931225</v>
      </c>
      <c r="AK853" s="655">
        <v>48683422</v>
      </c>
      <c r="AL853" s="655">
        <v>40485757</v>
      </c>
      <c r="AM853" s="655">
        <v>8197665</v>
      </c>
    </row>
    <row r="854" spans="1:39" x14ac:dyDescent="0.2">
      <c r="A854" s="648">
        <v>2015</v>
      </c>
      <c r="B854" s="648">
        <v>12</v>
      </c>
      <c r="C854" s="657" t="s">
        <v>261</v>
      </c>
      <c r="D854" s="648">
        <v>4149</v>
      </c>
      <c r="E854" s="648" t="s">
        <v>641</v>
      </c>
      <c r="F854" s="655">
        <v>8822984</v>
      </c>
      <c r="G854" s="655">
        <v>0</v>
      </c>
      <c r="H854" s="655">
        <v>240853</v>
      </c>
      <c r="I854" s="655">
        <v>929831</v>
      </c>
      <c r="J854" s="655">
        <v>743067</v>
      </c>
      <c r="K854" s="655">
        <v>89125</v>
      </c>
      <c r="L854" s="655">
        <v>85296</v>
      </c>
      <c r="M854" s="655">
        <v>0</v>
      </c>
      <c r="N854" s="655">
        <v>436121</v>
      </c>
      <c r="O854" s="655">
        <v>0</v>
      </c>
      <c r="P854" s="655">
        <v>98194</v>
      </c>
      <c r="Q854" s="655">
        <v>110269</v>
      </c>
      <c r="R854" s="655">
        <v>0</v>
      </c>
      <c r="S854" s="655">
        <v>43786</v>
      </c>
      <c r="T854" s="655">
        <v>5237</v>
      </c>
      <c r="U854" s="655">
        <v>293812</v>
      </c>
      <c r="V854" s="655">
        <v>4841</v>
      </c>
      <c r="W854" s="655">
        <v>197049</v>
      </c>
      <c r="X854" s="655">
        <v>0</v>
      </c>
      <c r="Y854" s="655">
        <v>0</v>
      </c>
      <c r="Z854" s="655">
        <v>0</v>
      </c>
      <c r="AA854" s="655">
        <v>0</v>
      </c>
      <c r="AB854" s="655">
        <v>0</v>
      </c>
      <c r="AC854" s="655">
        <v>801</v>
      </c>
      <c r="AD854" s="655">
        <v>71335</v>
      </c>
      <c r="AE854" s="655">
        <v>12029931</v>
      </c>
      <c r="AF854" s="655">
        <v>216444</v>
      </c>
      <c r="AG854" s="655">
        <v>696133</v>
      </c>
      <c r="AH854" s="655">
        <v>0</v>
      </c>
      <c r="AI854" s="655">
        <v>1369418</v>
      </c>
      <c r="AJ854" s="655">
        <v>3970954</v>
      </c>
      <c r="AK854" s="655">
        <v>18282880</v>
      </c>
      <c r="AL854" s="655">
        <v>14289134</v>
      </c>
      <c r="AM854" s="655">
        <v>3993746</v>
      </c>
    </row>
    <row r="855" spans="1:39" x14ac:dyDescent="0.2">
      <c r="A855" s="648">
        <v>2015</v>
      </c>
      <c r="B855" s="648">
        <v>15</v>
      </c>
      <c r="C855" s="657" t="s">
        <v>262</v>
      </c>
      <c r="D855" s="648">
        <v>4203</v>
      </c>
      <c r="E855" s="648" t="s">
        <v>1178</v>
      </c>
      <c r="F855" s="655">
        <v>4691742</v>
      </c>
      <c r="G855" s="655">
        <v>0</v>
      </c>
      <c r="H855" s="655">
        <v>95522</v>
      </c>
      <c r="I855" s="655">
        <v>569693</v>
      </c>
      <c r="J855" s="655">
        <v>410258</v>
      </c>
      <c r="K855" s="655">
        <v>40041</v>
      </c>
      <c r="L855" s="655">
        <v>42201</v>
      </c>
      <c r="M855" s="655">
        <v>0</v>
      </c>
      <c r="N855" s="655">
        <v>229136</v>
      </c>
      <c r="O855" s="655">
        <v>26337</v>
      </c>
      <c r="P855" s="655">
        <v>38420</v>
      </c>
      <c r="Q855" s="655">
        <v>42199</v>
      </c>
      <c r="R855" s="655">
        <v>618</v>
      </c>
      <c r="S855" s="655">
        <v>22935</v>
      </c>
      <c r="T855" s="655">
        <v>2479</v>
      </c>
      <c r="U855" s="655">
        <v>141080</v>
      </c>
      <c r="V855" s="655">
        <v>0</v>
      </c>
      <c r="W855" s="655">
        <v>123500</v>
      </c>
      <c r="X855" s="655">
        <v>0</v>
      </c>
      <c r="Y855" s="655">
        <v>0</v>
      </c>
      <c r="Z855" s="655">
        <v>0</v>
      </c>
      <c r="AA855" s="655">
        <v>0</v>
      </c>
      <c r="AB855" s="655">
        <v>0</v>
      </c>
      <c r="AC855" s="655">
        <v>0</v>
      </c>
      <c r="AD855" s="655">
        <v>41596</v>
      </c>
      <c r="AE855" s="655">
        <v>6434565</v>
      </c>
      <c r="AF855" s="655">
        <v>0</v>
      </c>
      <c r="AG855" s="655">
        <v>373744</v>
      </c>
      <c r="AH855" s="655">
        <v>0</v>
      </c>
      <c r="AI855" s="655">
        <v>1310871</v>
      </c>
      <c r="AJ855" s="655">
        <v>3699763</v>
      </c>
      <c r="AK855" s="655">
        <v>11818943</v>
      </c>
      <c r="AL855" s="655">
        <v>8602003</v>
      </c>
      <c r="AM855" s="655">
        <v>3216940</v>
      </c>
    </row>
    <row r="856" spans="1:39" x14ac:dyDescent="0.2">
      <c r="A856" s="648">
        <v>2015</v>
      </c>
      <c r="B856" s="648">
        <v>11</v>
      </c>
      <c r="C856" s="657" t="s">
        <v>263</v>
      </c>
      <c r="D856" s="648">
        <v>4212</v>
      </c>
      <c r="E856" s="648" t="s">
        <v>1179</v>
      </c>
      <c r="F856" s="655">
        <v>1998924</v>
      </c>
      <c r="G856" s="655">
        <v>0</v>
      </c>
      <c r="H856" s="655">
        <v>13560</v>
      </c>
      <c r="I856" s="655">
        <v>259096</v>
      </c>
      <c r="J856" s="655">
        <v>200561</v>
      </c>
      <c r="K856" s="655">
        <v>20689</v>
      </c>
      <c r="L856" s="655">
        <v>24746</v>
      </c>
      <c r="M856" s="655">
        <v>0</v>
      </c>
      <c r="N856" s="655">
        <v>96415</v>
      </c>
      <c r="O856" s="655">
        <v>13524</v>
      </c>
      <c r="P856" s="655">
        <v>16315</v>
      </c>
      <c r="Q856" s="655">
        <v>17907</v>
      </c>
      <c r="R856" s="655">
        <v>0</v>
      </c>
      <c r="S856" s="655">
        <v>7874</v>
      </c>
      <c r="T856" s="655">
        <v>1004</v>
      </c>
      <c r="U856" s="655">
        <v>71204</v>
      </c>
      <c r="V856" s="655">
        <v>0</v>
      </c>
      <c r="W856" s="655">
        <v>83395</v>
      </c>
      <c r="X856" s="655">
        <v>10920</v>
      </c>
      <c r="Y856" s="655">
        <v>0</v>
      </c>
      <c r="Z856" s="655">
        <v>0</v>
      </c>
      <c r="AA856" s="655">
        <v>0</v>
      </c>
      <c r="AB856" s="655">
        <v>0</v>
      </c>
      <c r="AC856" s="655">
        <v>-3061</v>
      </c>
      <c r="AD856" s="655">
        <v>20816</v>
      </c>
      <c r="AE856" s="655">
        <v>2812257</v>
      </c>
      <c r="AF856" s="655">
        <v>85941</v>
      </c>
      <c r="AG856" s="655">
        <v>125812</v>
      </c>
      <c r="AH856" s="655">
        <v>0</v>
      </c>
      <c r="AI856" s="655">
        <v>409947</v>
      </c>
      <c r="AJ856" s="655">
        <v>1104828</v>
      </c>
      <c r="AK856" s="655">
        <v>4538785</v>
      </c>
      <c r="AL856" s="655">
        <v>3468665</v>
      </c>
      <c r="AM856" s="655">
        <v>1070120</v>
      </c>
    </row>
    <row r="857" spans="1:39" x14ac:dyDescent="0.2">
      <c r="A857" s="648">
        <v>2015</v>
      </c>
      <c r="B857" s="648">
        <v>10</v>
      </c>
      <c r="C857" s="657" t="s">
        <v>264</v>
      </c>
      <c r="D857" s="648">
        <v>4269</v>
      </c>
      <c r="E857" s="648" t="s">
        <v>642</v>
      </c>
      <c r="F857" s="655">
        <v>3576070</v>
      </c>
      <c r="G857" s="655">
        <v>0</v>
      </c>
      <c r="H857" s="655">
        <v>75414</v>
      </c>
      <c r="I857" s="655">
        <v>463598</v>
      </c>
      <c r="J857" s="655">
        <v>329586</v>
      </c>
      <c r="K857" s="655">
        <v>32536</v>
      </c>
      <c r="L857" s="655">
        <v>34448</v>
      </c>
      <c r="M857" s="655">
        <v>0</v>
      </c>
      <c r="N857" s="655">
        <v>174554</v>
      </c>
      <c r="O857" s="655">
        <v>6694</v>
      </c>
      <c r="P857" s="655">
        <v>29529</v>
      </c>
      <c r="Q857" s="655">
        <v>32438</v>
      </c>
      <c r="R857" s="655">
        <v>0</v>
      </c>
      <c r="S857" s="655">
        <v>16253</v>
      </c>
      <c r="T857" s="655">
        <v>1890</v>
      </c>
      <c r="U857" s="655">
        <v>71775</v>
      </c>
      <c r="V857" s="655">
        <v>0</v>
      </c>
      <c r="W857" s="655">
        <v>116299</v>
      </c>
      <c r="X857" s="655">
        <v>89007</v>
      </c>
      <c r="Y857" s="655">
        <v>0</v>
      </c>
      <c r="Z857" s="655">
        <v>0</v>
      </c>
      <c r="AA857" s="655">
        <v>0</v>
      </c>
      <c r="AB857" s="655">
        <v>0</v>
      </c>
      <c r="AC857" s="655">
        <v>0</v>
      </c>
      <c r="AD857" s="655">
        <v>35327</v>
      </c>
      <c r="AE857" s="655">
        <v>5014764</v>
      </c>
      <c r="AF857" s="655">
        <v>95490</v>
      </c>
      <c r="AG857" s="655">
        <v>293238</v>
      </c>
      <c r="AH857" s="655">
        <v>0</v>
      </c>
      <c r="AI857" s="655">
        <v>526009</v>
      </c>
      <c r="AJ857" s="655">
        <v>1699593</v>
      </c>
      <c r="AK857" s="655">
        <v>7629094</v>
      </c>
      <c r="AL857" s="655">
        <v>5704722</v>
      </c>
      <c r="AM857" s="655">
        <v>1924372</v>
      </c>
    </row>
    <row r="858" spans="1:39" x14ac:dyDescent="0.2">
      <c r="A858" s="648">
        <v>2015</v>
      </c>
      <c r="B858" s="648">
        <v>10</v>
      </c>
      <c r="C858" s="657" t="s">
        <v>265</v>
      </c>
      <c r="D858" s="648">
        <v>4271</v>
      </c>
      <c r="E858" s="648" t="s">
        <v>1180</v>
      </c>
      <c r="F858" s="655">
        <v>7961940</v>
      </c>
      <c r="G858" s="655">
        <v>0</v>
      </c>
      <c r="H858" s="655">
        <v>161015</v>
      </c>
      <c r="I858" s="655">
        <v>915048</v>
      </c>
      <c r="J858" s="655">
        <v>704750</v>
      </c>
      <c r="K858" s="655">
        <v>76554</v>
      </c>
      <c r="L858" s="655">
        <v>78498</v>
      </c>
      <c r="M858" s="655">
        <v>0</v>
      </c>
      <c r="N858" s="655">
        <v>387476</v>
      </c>
      <c r="O858" s="655">
        <v>0</v>
      </c>
      <c r="P858" s="655">
        <v>67235</v>
      </c>
      <c r="Q858" s="655">
        <v>73858</v>
      </c>
      <c r="R858" s="655">
        <v>0</v>
      </c>
      <c r="S858" s="655">
        <v>36078</v>
      </c>
      <c r="T858" s="655">
        <v>4195</v>
      </c>
      <c r="U858" s="655">
        <v>160790</v>
      </c>
      <c r="V858" s="655">
        <v>0</v>
      </c>
      <c r="W858" s="655">
        <v>18363</v>
      </c>
      <c r="X858" s="655">
        <v>271988</v>
      </c>
      <c r="Y858" s="655">
        <v>0</v>
      </c>
      <c r="Z858" s="655">
        <v>0</v>
      </c>
      <c r="AA858" s="655">
        <v>0</v>
      </c>
      <c r="AB858" s="655">
        <v>0</v>
      </c>
      <c r="AC858" s="655">
        <v>0</v>
      </c>
      <c r="AD858" s="655">
        <v>55121</v>
      </c>
      <c r="AE858" s="655">
        <v>10862667</v>
      </c>
      <c r="AF858" s="655">
        <v>248274</v>
      </c>
      <c r="AG858" s="655">
        <v>606461</v>
      </c>
      <c r="AH858" s="655">
        <v>0</v>
      </c>
      <c r="AI858" s="655">
        <v>2745527</v>
      </c>
      <c r="AJ858" s="655">
        <v>3235587</v>
      </c>
      <c r="AK858" s="655">
        <v>17698516</v>
      </c>
      <c r="AL858" s="655">
        <v>14633273</v>
      </c>
      <c r="AM858" s="655">
        <v>3065243</v>
      </c>
    </row>
    <row r="859" spans="1:39" x14ac:dyDescent="0.2">
      <c r="A859" s="648">
        <v>2015</v>
      </c>
      <c r="B859" s="648">
        <v>13</v>
      </c>
      <c r="C859" s="657" t="s">
        <v>266</v>
      </c>
      <c r="D859" s="648">
        <v>4356</v>
      </c>
      <c r="E859" s="648" t="s">
        <v>1181</v>
      </c>
      <c r="F859" s="655">
        <v>5469667</v>
      </c>
      <c r="G859" s="655">
        <v>0</v>
      </c>
      <c r="H859" s="655">
        <v>63399</v>
      </c>
      <c r="I859" s="655">
        <v>654807</v>
      </c>
      <c r="J859" s="655">
        <v>450848</v>
      </c>
      <c r="K859" s="655">
        <v>44601</v>
      </c>
      <c r="L859" s="655">
        <v>52867</v>
      </c>
      <c r="M859" s="655">
        <v>0</v>
      </c>
      <c r="N859" s="655">
        <v>269261</v>
      </c>
      <c r="O859" s="655">
        <v>760</v>
      </c>
      <c r="P859" s="655">
        <v>45422</v>
      </c>
      <c r="Q859" s="655">
        <v>50236</v>
      </c>
      <c r="R859" s="655">
        <v>0</v>
      </c>
      <c r="S859" s="655">
        <v>27731</v>
      </c>
      <c r="T859" s="655">
        <v>2934</v>
      </c>
      <c r="U859" s="655">
        <v>123524</v>
      </c>
      <c r="V859" s="655">
        <v>0</v>
      </c>
      <c r="W859" s="655">
        <v>99337</v>
      </c>
      <c r="X859" s="655">
        <v>5832</v>
      </c>
      <c r="Y859" s="655">
        <v>0</v>
      </c>
      <c r="Z859" s="655">
        <v>0</v>
      </c>
      <c r="AA859" s="655">
        <v>0</v>
      </c>
      <c r="AB859" s="655">
        <v>0</v>
      </c>
      <c r="AC859" s="655">
        <v>0</v>
      </c>
      <c r="AD859" s="655">
        <v>44838</v>
      </c>
      <c r="AE859" s="655">
        <v>7316388</v>
      </c>
      <c r="AF859" s="655">
        <v>187797</v>
      </c>
      <c r="AG859" s="655">
        <v>407326</v>
      </c>
      <c r="AH859" s="655">
        <v>0</v>
      </c>
      <c r="AI859" s="655">
        <v>654163</v>
      </c>
      <c r="AJ859" s="655">
        <v>2108184</v>
      </c>
      <c r="AK859" s="655">
        <v>10673858</v>
      </c>
      <c r="AL859" s="655">
        <v>8317463</v>
      </c>
      <c r="AM859" s="655">
        <v>2356395</v>
      </c>
    </row>
    <row r="860" spans="1:39" x14ac:dyDescent="0.2">
      <c r="A860" s="648">
        <v>2015</v>
      </c>
      <c r="B860" s="648">
        <v>1</v>
      </c>
      <c r="C860" s="657" t="s">
        <v>267</v>
      </c>
      <c r="D860" s="648">
        <v>4419</v>
      </c>
      <c r="E860" s="648" t="s">
        <v>643</v>
      </c>
      <c r="F860" s="655">
        <v>5085263</v>
      </c>
      <c r="G860" s="655">
        <v>0</v>
      </c>
      <c r="H860" s="655">
        <v>87811</v>
      </c>
      <c r="I860" s="655">
        <v>534202</v>
      </c>
      <c r="J860" s="655">
        <v>448691</v>
      </c>
      <c r="K860" s="655">
        <v>54633</v>
      </c>
      <c r="L860" s="655">
        <v>55205</v>
      </c>
      <c r="M860" s="655">
        <v>0</v>
      </c>
      <c r="N860" s="655">
        <v>258093</v>
      </c>
      <c r="O860" s="655">
        <v>7394</v>
      </c>
      <c r="P860" s="655">
        <v>41626</v>
      </c>
      <c r="Q860" s="655">
        <v>46460</v>
      </c>
      <c r="R860" s="655">
        <v>0</v>
      </c>
      <c r="S860" s="655">
        <v>25381</v>
      </c>
      <c r="T860" s="655">
        <v>2712</v>
      </c>
      <c r="U860" s="655">
        <v>207776</v>
      </c>
      <c r="V860" s="655">
        <v>0</v>
      </c>
      <c r="W860" s="655">
        <v>61210</v>
      </c>
      <c r="X860" s="655">
        <v>342149</v>
      </c>
      <c r="Y860" s="655">
        <v>0</v>
      </c>
      <c r="Z860" s="655">
        <v>0</v>
      </c>
      <c r="AA860" s="655">
        <v>0</v>
      </c>
      <c r="AB860" s="655">
        <v>0</v>
      </c>
      <c r="AC860" s="655">
        <v>0</v>
      </c>
      <c r="AD860" s="655">
        <v>49021</v>
      </c>
      <c r="AE860" s="655">
        <v>7209585</v>
      </c>
      <c r="AF860" s="655">
        <v>136869</v>
      </c>
      <c r="AG860" s="655">
        <v>375241</v>
      </c>
      <c r="AH860" s="655">
        <v>0</v>
      </c>
      <c r="AI860" s="655">
        <v>598901</v>
      </c>
      <c r="AJ860" s="655">
        <v>1245157</v>
      </c>
      <c r="AK860" s="655">
        <v>9565753</v>
      </c>
      <c r="AL860" s="655">
        <v>8690706</v>
      </c>
      <c r="AM860" s="655">
        <v>875047</v>
      </c>
    </row>
    <row r="861" spans="1:39" x14ac:dyDescent="0.2">
      <c r="A861" s="648">
        <v>2015</v>
      </c>
      <c r="B861" s="648">
        <v>7</v>
      </c>
      <c r="C861" s="657" t="s">
        <v>268</v>
      </c>
      <c r="D861" s="648">
        <v>4437</v>
      </c>
      <c r="E861" s="648" t="s">
        <v>1182</v>
      </c>
      <c r="F861" s="655">
        <v>3507029</v>
      </c>
      <c r="G861" s="655">
        <v>0</v>
      </c>
      <c r="H861" s="655">
        <v>36974</v>
      </c>
      <c r="I861" s="655">
        <v>330141</v>
      </c>
      <c r="J861" s="655">
        <v>285416</v>
      </c>
      <c r="K861" s="655">
        <v>27589</v>
      </c>
      <c r="L861" s="655">
        <v>36806</v>
      </c>
      <c r="M861" s="655">
        <v>0</v>
      </c>
      <c r="N861" s="655">
        <v>170702</v>
      </c>
      <c r="O861" s="655">
        <v>0</v>
      </c>
      <c r="P861" s="655">
        <v>28867</v>
      </c>
      <c r="Q861" s="655">
        <v>32250</v>
      </c>
      <c r="R861" s="655">
        <v>0</v>
      </c>
      <c r="S861" s="655">
        <v>21790</v>
      </c>
      <c r="T861" s="655">
        <v>2501</v>
      </c>
      <c r="U861" s="655">
        <v>165231</v>
      </c>
      <c r="V861" s="655">
        <v>19226</v>
      </c>
      <c r="W861" s="655">
        <v>55089</v>
      </c>
      <c r="X861" s="655">
        <v>304534</v>
      </c>
      <c r="Y861" s="655">
        <v>0</v>
      </c>
      <c r="Z861" s="655">
        <v>0</v>
      </c>
      <c r="AA861" s="655">
        <v>0</v>
      </c>
      <c r="AB861" s="655">
        <v>0</v>
      </c>
      <c r="AC861" s="655">
        <v>0</v>
      </c>
      <c r="AD861" s="655">
        <v>24738</v>
      </c>
      <c r="AE861" s="655">
        <v>4999407</v>
      </c>
      <c r="AF861" s="655">
        <v>82758</v>
      </c>
      <c r="AG861" s="655">
        <v>294941</v>
      </c>
      <c r="AH861" s="655">
        <v>0</v>
      </c>
      <c r="AI861" s="655">
        <v>426793</v>
      </c>
      <c r="AJ861" s="655">
        <v>1227086</v>
      </c>
      <c r="AK861" s="655">
        <v>7030985</v>
      </c>
      <c r="AL861" s="655">
        <v>5666595</v>
      </c>
      <c r="AM861" s="655">
        <v>1364390</v>
      </c>
    </row>
    <row r="862" spans="1:39" x14ac:dyDescent="0.2">
      <c r="A862" s="648">
        <v>2015</v>
      </c>
      <c r="B862" s="648">
        <v>10</v>
      </c>
      <c r="C862" s="657" t="s">
        <v>269</v>
      </c>
      <c r="D862" s="648">
        <v>4446</v>
      </c>
      <c r="E862" s="648" t="s">
        <v>1183</v>
      </c>
      <c r="F862" s="655">
        <v>6497140</v>
      </c>
      <c r="G862" s="655">
        <v>0</v>
      </c>
      <c r="H862" s="655">
        <v>110265</v>
      </c>
      <c r="I862" s="655">
        <v>1008438</v>
      </c>
      <c r="J862" s="655">
        <v>566188</v>
      </c>
      <c r="K862" s="655">
        <v>54745</v>
      </c>
      <c r="L862" s="655">
        <v>59205</v>
      </c>
      <c r="M862" s="655">
        <v>0</v>
      </c>
      <c r="N862" s="655">
        <v>328849</v>
      </c>
      <c r="O862" s="655">
        <v>0</v>
      </c>
      <c r="P862" s="655">
        <v>57600</v>
      </c>
      <c r="Q862" s="655">
        <v>63274</v>
      </c>
      <c r="R862" s="655">
        <v>0</v>
      </c>
      <c r="S862" s="655">
        <v>30619</v>
      </c>
      <c r="T862" s="655">
        <v>3561</v>
      </c>
      <c r="U862" s="655">
        <v>243642</v>
      </c>
      <c r="V862" s="655">
        <v>0</v>
      </c>
      <c r="W862" s="655">
        <v>57803</v>
      </c>
      <c r="X862" s="655">
        <v>25085</v>
      </c>
      <c r="Y862" s="655">
        <v>0</v>
      </c>
      <c r="Z862" s="655">
        <v>0</v>
      </c>
      <c r="AA862" s="655">
        <v>0</v>
      </c>
      <c r="AB862" s="655">
        <v>0</v>
      </c>
      <c r="AC862" s="655">
        <v>428</v>
      </c>
      <c r="AD862" s="655">
        <v>48152</v>
      </c>
      <c r="AE862" s="655">
        <v>9058690</v>
      </c>
      <c r="AF862" s="655">
        <v>178248</v>
      </c>
      <c r="AG862" s="655">
        <v>491184</v>
      </c>
      <c r="AH862" s="655">
        <v>0</v>
      </c>
      <c r="AI862" s="655">
        <v>1669278</v>
      </c>
      <c r="AJ862" s="655">
        <v>664912</v>
      </c>
      <c r="AK862" s="655">
        <v>12062312</v>
      </c>
      <c r="AL862" s="655">
        <v>11246819</v>
      </c>
      <c r="AM862" s="655">
        <v>815493</v>
      </c>
    </row>
    <row r="863" spans="1:39" x14ac:dyDescent="0.2">
      <c r="A863" s="648">
        <v>2015</v>
      </c>
      <c r="B863" s="648">
        <v>15</v>
      </c>
      <c r="C863" s="657" t="s">
        <v>270</v>
      </c>
      <c r="D863" s="648">
        <v>4491</v>
      </c>
      <c r="E863" s="648" t="s">
        <v>1184</v>
      </c>
      <c r="F863" s="655">
        <v>2246561</v>
      </c>
      <c r="G863" s="655">
        <v>0</v>
      </c>
      <c r="H863" s="655">
        <v>112818</v>
      </c>
      <c r="I863" s="655">
        <v>246873</v>
      </c>
      <c r="J863" s="655">
        <v>225344</v>
      </c>
      <c r="K863" s="655">
        <v>25254</v>
      </c>
      <c r="L863" s="655">
        <v>28130</v>
      </c>
      <c r="M863" s="655">
        <v>0</v>
      </c>
      <c r="N863" s="655">
        <v>108589</v>
      </c>
      <c r="O863" s="655">
        <v>0</v>
      </c>
      <c r="P863" s="655">
        <v>18377</v>
      </c>
      <c r="Q863" s="655">
        <v>20185</v>
      </c>
      <c r="R863" s="655">
        <v>294</v>
      </c>
      <c r="S863" s="655">
        <v>10869</v>
      </c>
      <c r="T863" s="655">
        <v>1175</v>
      </c>
      <c r="U863" s="655">
        <v>105000</v>
      </c>
      <c r="V863" s="655">
        <v>0</v>
      </c>
      <c r="W863" s="655">
        <v>91815</v>
      </c>
      <c r="X863" s="655">
        <v>30486</v>
      </c>
      <c r="Y863" s="655">
        <v>0</v>
      </c>
      <c r="Z863" s="655">
        <v>0</v>
      </c>
      <c r="AA863" s="655">
        <v>0</v>
      </c>
      <c r="AB863" s="655">
        <v>0</v>
      </c>
      <c r="AC863" s="655">
        <v>-122</v>
      </c>
      <c r="AD863" s="655">
        <v>14721</v>
      </c>
      <c r="AE863" s="655">
        <v>3256927</v>
      </c>
      <c r="AF863" s="655">
        <v>63660</v>
      </c>
      <c r="AG863" s="655">
        <v>159349</v>
      </c>
      <c r="AH863" s="655">
        <v>0</v>
      </c>
      <c r="AI863" s="655">
        <v>946185</v>
      </c>
      <c r="AJ863" s="655">
        <v>1033715</v>
      </c>
      <c r="AK863" s="655">
        <v>5459836</v>
      </c>
      <c r="AL863" s="655">
        <v>4187586</v>
      </c>
      <c r="AM863" s="655">
        <v>1272250</v>
      </c>
    </row>
    <row r="864" spans="1:39" x14ac:dyDescent="0.2">
      <c r="A864" s="648">
        <v>2015</v>
      </c>
      <c r="B864" s="648">
        <v>13</v>
      </c>
      <c r="C864" s="657" t="s">
        <v>271</v>
      </c>
      <c r="D864" s="648">
        <v>4505</v>
      </c>
      <c r="E864" s="648" t="s">
        <v>1185</v>
      </c>
      <c r="F864" s="655">
        <v>1604204</v>
      </c>
      <c r="G864" s="655">
        <v>0</v>
      </c>
      <c r="H864" s="655">
        <v>69604</v>
      </c>
      <c r="I864" s="655">
        <v>212069</v>
      </c>
      <c r="J864" s="655">
        <v>140727</v>
      </c>
      <c r="K864" s="655">
        <v>12699</v>
      </c>
      <c r="L864" s="655">
        <v>16358</v>
      </c>
      <c r="M864" s="655">
        <v>0</v>
      </c>
      <c r="N864" s="655">
        <v>78935</v>
      </c>
      <c r="O864" s="655">
        <v>5643</v>
      </c>
      <c r="P864" s="655">
        <v>12970</v>
      </c>
      <c r="Q864" s="655">
        <v>14345</v>
      </c>
      <c r="R864" s="655">
        <v>0</v>
      </c>
      <c r="S864" s="655">
        <v>8106</v>
      </c>
      <c r="T864" s="655">
        <v>860</v>
      </c>
      <c r="U864" s="655">
        <v>43726</v>
      </c>
      <c r="V864" s="655">
        <v>0</v>
      </c>
      <c r="W864" s="655">
        <v>62434</v>
      </c>
      <c r="X864" s="655">
        <v>23993</v>
      </c>
      <c r="Y864" s="655">
        <v>0</v>
      </c>
      <c r="Z864" s="655">
        <v>0</v>
      </c>
      <c r="AA864" s="655">
        <v>0</v>
      </c>
      <c r="AB864" s="655">
        <v>0</v>
      </c>
      <c r="AC864" s="655">
        <v>0</v>
      </c>
      <c r="AD864" s="655">
        <v>14742</v>
      </c>
      <c r="AE864" s="655">
        <v>2291931</v>
      </c>
      <c r="AF864" s="655">
        <v>60477</v>
      </c>
      <c r="AG864" s="655">
        <v>121390</v>
      </c>
      <c r="AH864" s="655">
        <v>0</v>
      </c>
      <c r="AI864" s="655">
        <v>399093</v>
      </c>
      <c r="AJ864" s="655">
        <v>533941</v>
      </c>
      <c r="AK864" s="655">
        <v>3406832</v>
      </c>
      <c r="AL864" s="655">
        <v>2948978</v>
      </c>
      <c r="AM864" s="655">
        <v>457854</v>
      </c>
    </row>
    <row r="865" spans="1:39" x14ac:dyDescent="0.2">
      <c r="A865" s="648">
        <v>2015</v>
      </c>
      <c r="B865" s="648">
        <v>15</v>
      </c>
      <c r="C865" s="657" t="s">
        <v>272</v>
      </c>
      <c r="D865" s="648">
        <v>4509</v>
      </c>
      <c r="E865" s="648" t="s">
        <v>1186</v>
      </c>
      <c r="F865" s="655">
        <v>1406886</v>
      </c>
      <c r="G865" s="655">
        <v>0</v>
      </c>
      <c r="H865" s="655">
        <v>51501</v>
      </c>
      <c r="I865" s="655">
        <v>166535</v>
      </c>
      <c r="J865" s="655">
        <v>125071</v>
      </c>
      <c r="K865" s="655">
        <v>13656</v>
      </c>
      <c r="L865" s="655">
        <v>18381</v>
      </c>
      <c r="M865" s="655">
        <v>0</v>
      </c>
      <c r="N865" s="655">
        <v>68523</v>
      </c>
      <c r="O865" s="655">
        <v>45</v>
      </c>
      <c r="P865" s="655">
        <v>11505</v>
      </c>
      <c r="Q865" s="655">
        <v>12637</v>
      </c>
      <c r="R865" s="655">
        <v>186</v>
      </c>
      <c r="S865" s="655">
        <v>6859</v>
      </c>
      <c r="T865" s="655">
        <v>741</v>
      </c>
      <c r="U865" s="655">
        <v>0</v>
      </c>
      <c r="V865" s="655">
        <v>0</v>
      </c>
      <c r="W865" s="655">
        <v>12487</v>
      </c>
      <c r="X865" s="655">
        <v>113396</v>
      </c>
      <c r="Y865" s="655">
        <v>0</v>
      </c>
      <c r="Z865" s="655">
        <v>0</v>
      </c>
      <c r="AA865" s="655">
        <v>0</v>
      </c>
      <c r="AB865" s="655">
        <v>0</v>
      </c>
      <c r="AC865" s="655">
        <v>0</v>
      </c>
      <c r="AD865" s="655">
        <v>10949</v>
      </c>
      <c r="AE865" s="655">
        <v>1997460</v>
      </c>
      <c r="AF865" s="655">
        <v>63660</v>
      </c>
      <c r="AG865" s="655">
        <v>99242</v>
      </c>
      <c r="AH865" s="655">
        <v>0</v>
      </c>
      <c r="AI865" s="655">
        <v>358169</v>
      </c>
      <c r="AJ865" s="655">
        <v>48470</v>
      </c>
      <c r="AK865" s="655">
        <v>2567001</v>
      </c>
      <c r="AL865" s="655">
        <v>2728080</v>
      </c>
      <c r="AM865" s="655">
        <v>-161079</v>
      </c>
    </row>
    <row r="866" spans="1:39" x14ac:dyDescent="0.2">
      <c r="A866" s="648">
        <v>2015</v>
      </c>
      <c r="B866" s="648">
        <v>15</v>
      </c>
      <c r="C866" s="657" t="s">
        <v>273</v>
      </c>
      <c r="D866" s="648">
        <v>4518</v>
      </c>
      <c r="E866" s="648" t="s">
        <v>1187</v>
      </c>
      <c r="F866" s="655">
        <v>1476275</v>
      </c>
      <c r="G866" s="655">
        <v>0</v>
      </c>
      <c r="H866" s="655">
        <v>100634</v>
      </c>
      <c r="I866" s="655">
        <v>130439</v>
      </c>
      <c r="J866" s="655">
        <v>143015</v>
      </c>
      <c r="K866" s="655">
        <v>14635</v>
      </c>
      <c r="L866" s="655">
        <v>16472</v>
      </c>
      <c r="M866" s="655">
        <v>0</v>
      </c>
      <c r="N866" s="655">
        <v>69973</v>
      </c>
      <c r="O866" s="655">
        <v>0</v>
      </c>
      <c r="P866" s="655">
        <v>12078</v>
      </c>
      <c r="Q866" s="655">
        <v>13266</v>
      </c>
      <c r="R866" s="655">
        <v>189</v>
      </c>
      <c r="S866" s="655">
        <v>7004</v>
      </c>
      <c r="T866" s="655">
        <v>757</v>
      </c>
      <c r="U866" s="655">
        <v>25844</v>
      </c>
      <c r="V866" s="655">
        <v>0</v>
      </c>
      <c r="W866" s="655">
        <v>31217</v>
      </c>
      <c r="X866" s="655">
        <v>19161</v>
      </c>
      <c r="Y866" s="655">
        <v>0</v>
      </c>
      <c r="Z866" s="655">
        <v>0</v>
      </c>
      <c r="AA866" s="655">
        <v>0</v>
      </c>
      <c r="AB866" s="655">
        <v>0</v>
      </c>
      <c r="AC866" s="655">
        <v>0</v>
      </c>
      <c r="AD866" s="655">
        <v>12939</v>
      </c>
      <c r="AE866" s="655">
        <v>2048020</v>
      </c>
      <c r="AF866" s="655">
        <v>41379</v>
      </c>
      <c r="AG866" s="655">
        <v>103915</v>
      </c>
      <c r="AH866" s="655">
        <v>0</v>
      </c>
      <c r="AI866" s="655">
        <v>282251</v>
      </c>
      <c r="AJ866" s="655">
        <v>289584</v>
      </c>
      <c r="AK866" s="655">
        <v>2765149</v>
      </c>
      <c r="AL866" s="655">
        <v>2376352</v>
      </c>
      <c r="AM866" s="655">
        <v>388797</v>
      </c>
    </row>
    <row r="867" spans="1:39" x14ac:dyDescent="0.2">
      <c r="A867" s="648">
        <v>2015</v>
      </c>
      <c r="B867" s="648">
        <v>13</v>
      </c>
      <c r="C867" s="657" t="s">
        <v>274</v>
      </c>
      <c r="D867" s="648">
        <v>4527</v>
      </c>
      <c r="E867" s="648" t="s">
        <v>1189</v>
      </c>
      <c r="F867" s="655">
        <v>4008649</v>
      </c>
      <c r="G867" s="655">
        <v>0</v>
      </c>
      <c r="H867" s="655">
        <v>99847</v>
      </c>
      <c r="I867" s="655">
        <v>672375</v>
      </c>
      <c r="J867" s="655">
        <v>395162</v>
      </c>
      <c r="K867" s="655">
        <v>49358</v>
      </c>
      <c r="L867" s="655">
        <v>45562</v>
      </c>
      <c r="M867" s="655">
        <v>0</v>
      </c>
      <c r="N867" s="655">
        <v>205703</v>
      </c>
      <c r="O867" s="655">
        <v>0</v>
      </c>
      <c r="P867" s="655">
        <v>32765</v>
      </c>
      <c r="Q867" s="655">
        <v>36237</v>
      </c>
      <c r="R867" s="655">
        <v>0</v>
      </c>
      <c r="S867" s="655">
        <v>21123</v>
      </c>
      <c r="T867" s="655">
        <v>2242</v>
      </c>
      <c r="U867" s="655">
        <v>154129</v>
      </c>
      <c r="V867" s="655">
        <v>0</v>
      </c>
      <c r="W867" s="655">
        <v>113495</v>
      </c>
      <c r="X867" s="655">
        <v>45057</v>
      </c>
      <c r="Y867" s="655">
        <v>0</v>
      </c>
      <c r="Z867" s="655">
        <v>0</v>
      </c>
      <c r="AA867" s="655">
        <v>0</v>
      </c>
      <c r="AB867" s="655">
        <v>0</v>
      </c>
      <c r="AC867" s="655">
        <v>6124</v>
      </c>
      <c r="AD867" s="655">
        <v>39236</v>
      </c>
      <c r="AE867" s="655">
        <v>5848592</v>
      </c>
      <c r="AF867" s="655">
        <v>95490</v>
      </c>
      <c r="AG867" s="655">
        <v>321855</v>
      </c>
      <c r="AH867" s="655">
        <v>0</v>
      </c>
      <c r="AI867" s="655">
        <v>1026700</v>
      </c>
      <c r="AJ867" s="655">
        <v>1000106</v>
      </c>
      <c r="AK867" s="655">
        <v>8292743</v>
      </c>
      <c r="AL867" s="655">
        <v>7181984</v>
      </c>
      <c r="AM867" s="655">
        <v>1110759</v>
      </c>
    </row>
    <row r="868" spans="1:39" x14ac:dyDescent="0.2">
      <c r="A868" s="648">
        <v>2015</v>
      </c>
      <c r="B868" s="648">
        <v>15</v>
      </c>
      <c r="C868" s="657" t="s">
        <v>275</v>
      </c>
      <c r="D868" s="648">
        <v>4536</v>
      </c>
      <c r="E868" s="648" t="s">
        <v>1190</v>
      </c>
      <c r="F868" s="655">
        <v>12508553</v>
      </c>
      <c r="G868" s="655">
        <v>33297</v>
      </c>
      <c r="H868" s="655">
        <v>231627</v>
      </c>
      <c r="I868" s="655">
        <v>1676168</v>
      </c>
      <c r="J868" s="655">
        <v>1059160</v>
      </c>
      <c r="K868" s="655">
        <v>126815</v>
      </c>
      <c r="L868" s="655">
        <v>141728</v>
      </c>
      <c r="M868" s="655">
        <v>0</v>
      </c>
      <c r="N868" s="655">
        <v>617746</v>
      </c>
      <c r="O868" s="655">
        <v>0</v>
      </c>
      <c r="P868" s="655">
        <v>102454</v>
      </c>
      <c r="Q868" s="655">
        <v>112530</v>
      </c>
      <c r="R868" s="655">
        <v>1669</v>
      </c>
      <c r="S868" s="655">
        <v>61833</v>
      </c>
      <c r="T868" s="655">
        <v>6685</v>
      </c>
      <c r="U868" s="655">
        <v>0</v>
      </c>
      <c r="V868" s="655">
        <v>0</v>
      </c>
      <c r="W868" s="655">
        <v>199638</v>
      </c>
      <c r="X868" s="655">
        <v>0</v>
      </c>
      <c r="Y868" s="655">
        <v>0</v>
      </c>
      <c r="Z868" s="655">
        <v>0</v>
      </c>
      <c r="AA868" s="655">
        <v>0</v>
      </c>
      <c r="AB868" s="655">
        <v>0</v>
      </c>
      <c r="AC868" s="655">
        <v>0</v>
      </c>
      <c r="AD868" s="655">
        <v>93333</v>
      </c>
      <c r="AE868" s="655">
        <v>16786570</v>
      </c>
      <c r="AF868" s="655">
        <v>254640</v>
      </c>
      <c r="AG868" s="655">
        <v>523447</v>
      </c>
      <c r="AH868" s="655">
        <v>0</v>
      </c>
      <c r="AI868" s="655">
        <v>3439611</v>
      </c>
      <c r="AJ868" s="655">
        <v>6163329</v>
      </c>
      <c r="AK868" s="655">
        <v>27167597</v>
      </c>
      <c r="AL868" s="655">
        <v>21638167</v>
      </c>
      <c r="AM868" s="655">
        <v>5529430</v>
      </c>
    </row>
    <row r="869" spans="1:39" x14ac:dyDescent="0.2">
      <c r="A869" s="648">
        <v>2015</v>
      </c>
      <c r="B869" s="648">
        <v>10</v>
      </c>
      <c r="C869" s="657" t="s">
        <v>276</v>
      </c>
      <c r="D869" s="648">
        <v>4554</v>
      </c>
      <c r="E869" s="648" t="s">
        <v>1191</v>
      </c>
      <c r="F869" s="655">
        <v>6971407</v>
      </c>
      <c r="G869" s="655">
        <v>0</v>
      </c>
      <c r="H869" s="655">
        <v>53551</v>
      </c>
      <c r="I869" s="655">
        <v>650924</v>
      </c>
      <c r="J869" s="655">
        <v>607211</v>
      </c>
      <c r="K869" s="655">
        <v>68564</v>
      </c>
      <c r="L869" s="655">
        <v>74500</v>
      </c>
      <c r="M869" s="655">
        <v>0</v>
      </c>
      <c r="N869" s="655">
        <v>333965</v>
      </c>
      <c r="O869" s="655">
        <v>0</v>
      </c>
      <c r="P869" s="655">
        <v>57496</v>
      </c>
      <c r="Q869" s="655">
        <v>63160</v>
      </c>
      <c r="R869" s="655">
        <v>0</v>
      </c>
      <c r="S869" s="655">
        <v>31095</v>
      </c>
      <c r="T869" s="655">
        <v>3616</v>
      </c>
      <c r="U869" s="655">
        <v>216545</v>
      </c>
      <c r="V869" s="655">
        <v>0</v>
      </c>
      <c r="W869" s="655">
        <v>121196</v>
      </c>
      <c r="X869" s="655">
        <v>336550</v>
      </c>
      <c r="Y869" s="655">
        <v>0</v>
      </c>
      <c r="Z869" s="655">
        <v>0</v>
      </c>
      <c r="AA869" s="655">
        <v>0</v>
      </c>
      <c r="AB869" s="655">
        <v>0</v>
      </c>
      <c r="AC869" s="655">
        <v>0</v>
      </c>
      <c r="AD869" s="655">
        <v>45951</v>
      </c>
      <c r="AE869" s="655">
        <v>9543829</v>
      </c>
      <c r="AF869" s="655">
        <v>168699</v>
      </c>
      <c r="AG869" s="655">
        <v>482910</v>
      </c>
      <c r="AH869" s="655">
        <v>0</v>
      </c>
      <c r="AI869" s="655">
        <v>2424556</v>
      </c>
      <c r="AJ869" s="655">
        <v>3172893</v>
      </c>
      <c r="AK869" s="655">
        <v>15792887</v>
      </c>
      <c r="AL869" s="655">
        <v>12672321</v>
      </c>
      <c r="AM869" s="655">
        <v>3120566</v>
      </c>
    </row>
    <row r="870" spans="1:39" x14ac:dyDescent="0.2">
      <c r="A870" s="648">
        <v>2015</v>
      </c>
      <c r="B870" s="648">
        <v>13</v>
      </c>
      <c r="C870" s="657" t="s">
        <v>277</v>
      </c>
      <c r="D870" s="648">
        <v>4572</v>
      </c>
      <c r="E870" s="648" t="s">
        <v>1192</v>
      </c>
      <c r="F870" s="655">
        <v>1722640</v>
      </c>
      <c r="G870" s="655">
        <v>17653</v>
      </c>
      <c r="H870" s="655">
        <v>96375</v>
      </c>
      <c r="I870" s="655">
        <v>218799</v>
      </c>
      <c r="J870" s="655">
        <v>178142</v>
      </c>
      <c r="K870" s="655">
        <v>17574</v>
      </c>
      <c r="L870" s="655">
        <v>21749</v>
      </c>
      <c r="M870" s="655">
        <v>0</v>
      </c>
      <c r="N870" s="655">
        <v>85355</v>
      </c>
      <c r="O870" s="655">
        <v>2222</v>
      </c>
      <c r="P870" s="655">
        <v>14116</v>
      </c>
      <c r="Q870" s="655">
        <v>15612</v>
      </c>
      <c r="R870" s="655">
        <v>0</v>
      </c>
      <c r="S870" s="655">
        <v>8765</v>
      </c>
      <c r="T870" s="655">
        <v>930</v>
      </c>
      <c r="U870" s="655">
        <v>47700</v>
      </c>
      <c r="V870" s="655">
        <v>0</v>
      </c>
      <c r="W870" s="655">
        <v>0</v>
      </c>
      <c r="X870" s="655">
        <v>0</v>
      </c>
      <c r="Y870" s="655">
        <v>36219</v>
      </c>
      <c r="Z870" s="655">
        <v>0</v>
      </c>
      <c r="AA870" s="655">
        <v>0</v>
      </c>
      <c r="AB870" s="655">
        <v>0</v>
      </c>
      <c r="AC870" s="655">
        <v>0</v>
      </c>
      <c r="AD870" s="655">
        <v>15048</v>
      </c>
      <c r="AE870" s="655">
        <v>2396365</v>
      </c>
      <c r="AF870" s="655">
        <v>63660</v>
      </c>
      <c r="AG870" s="655">
        <v>113450</v>
      </c>
      <c r="AH870" s="655">
        <v>0</v>
      </c>
      <c r="AI870" s="655">
        <v>978615</v>
      </c>
      <c r="AJ870" s="655">
        <v>3166105</v>
      </c>
      <c r="AK870" s="655">
        <v>6718195</v>
      </c>
      <c r="AL870" s="655">
        <v>3387237</v>
      </c>
      <c r="AM870" s="655">
        <v>3330958</v>
      </c>
    </row>
    <row r="871" spans="1:39" x14ac:dyDescent="0.2">
      <c r="A871" s="648">
        <v>2015</v>
      </c>
      <c r="B871" s="648">
        <v>9</v>
      </c>
      <c r="C871" s="657" t="s">
        <v>278</v>
      </c>
      <c r="D871" s="648">
        <v>4581</v>
      </c>
      <c r="E871" s="648" t="s">
        <v>1193</v>
      </c>
      <c r="F871" s="655">
        <v>34022450</v>
      </c>
      <c r="G871" s="655">
        <v>0</v>
      </c>
      <c r="H871" s="655">
        <v>830044</v>
      </c>
      <c r="I871" s="655">
        <v>4513812</v>
      </c>
      <c r="J871" s="655">
        <v>2865721</v>
      </c>
      <c r="K871" s="655">
        <v>312541</v>
      </c>
      <c r="L871" s="655">
        <v>385919</v>
      </c>
      <c r="M871" s="655">
        <v>0</v>
      </c>
      <c r="N871" s="655">
        <v>1700051</v>
      </c>
      <c r="O871" s="655">
        <v>0</v>
      </c>
      <c r="P871" s="655">
        <v>282596</v>
      </c>
      <c r="Q871" s="655">
        <v>308241</v>
      </c>
      <c r="R871" s="655">
        <v>0</v>
      </c>
      <c r="S871" s="655">
        <v>152668</v>
      </c>
      <c r="T871" s="655">
        <v>17918</v>
      </c>
      <c r="U871" s="655">
        <v>920552</v>
      </c>
      <c r="V871" s="655">
        <v>576985</v>
      </c>
      <c r="W871" s="655">
        <v>311005</v>
      </c>
      <c r="X871" s="655">
        <v>0</v>
      </c>
      <c r="Y871" s="655">
        <v>0</v>
      </c>
      <c r="Z871" s="655">
        <v>0</v>
      </c>
      <c r="AA871" s="655">
        <v>0</v>
      </c>
      <c r="AB871" s="655">
        <v>0</v>
      </c>
      <c r="AC871" s="655">
        <v>-12242</v>
      </c>
      <c r="AD871" s="655">
        <v>253669</v>
      </c>
      <c r="AE871" s="655">
        <v>46934592</v>
      </c>
      <c r="AF871" s="655">
        <v>974365</v>
      </c>
      <c r="AG871" s="655">
        <v>2256709</v>
      </c>
      <c r="AH871" s="655">
        <v>0</v>
      </c>
      <c r="AI871" s="655">
        <v>5982078</v>
      </c>
      <c r="AJ871" s="655">
        <v>4462285</v>
      </c>
      <c r="AK871" s="655">
        <v>60610029</v>
      </c>
      <c r="AL871" s="655">
        <v>53627897</v>
      </c>
      <c r="AM871" s="655">
        <v>6982132</v>
      </c>
    </row>
    <row r="872" spans="1:39" x14ac:dyDescent="0.2">
      <c r="A872" s="648">
        <v>2015</v>
      </c>
      <c r="B872" s="648">
        <v>7</v>
      </c>
      <c r="C872" s="657" t="s">
        <v>279</v>
      </c>
      <c r="D872" s="648">
        <v>4599</v>
      </c>
      <c r="E872" s="648" t="s">
        <v>644</v>
      </c>
      <c r="F872" s="655">
        <v>4187379</v>
      </c>
      <c r="G872" s="655">
        <v>0</v>
      </c>
      <c r="H872" s="655">
        <v>74763</v>
      </c>
      <c r="I872" s="655">
        <v>409734</v>
      </c>
      <c r="J872" s="655">
        <v>346309</v>
      </c>
      <c r="K872" s="655">
        <v>39340</v>
      </c>
      <c r="L872" s="655">
        <v>34072</v>
      </c>
      <c r="M872" s="655">
        <v>0</v>
      </c>
      <c r="N872" s="655">
        <v>200973</v>
      </c>
      <c r="O872" s="655">
        <v>0</v>
      </c>
      <c r="P872" s="655">
        <v>34054</v>
      </c>
      <c r="Q872" s="655">
        <v>38045</v>
      </c>
      <c r="R872" s="655">
        <v>0</v>
      </c>
      <c r="S872" s="655">
        <v>25654</v>
      </c>
      <c r="T872" s="655">
        <v>2945</v>
      </c>
      <c r="U872" s="655">
        <v>117247</v>
      </c>
      <c r="V872" s="655">
        <v>0</v>
      </c>
      <c r="W872" s="655">
        <v>24484</v>
      </c>
      <c r="X872" s="655">
        <v>0</v>
      </c>
      <c r="Y872" s="655">
        <v>0</v>
      </c>
      <c r="Z872" s="655">
        <v>0</v>
      </c>
      <c r="AA872" s="655">
        <v>0</v>
      </c>
      <c r="AB872" s="655">
        <v>0</v>
      </c>
      <c r="AC872" s="655">
        <v>0</v>
      </c>
      <c r="AD872" s="655">
        <v>37009</v>
      </c>
      <c r="AE872" s="655">
        <v>5497990</v>
      </c>
      <c r="AF872" s="655">
        <v>73209</v>
      </c>
      <c r="AG872" s="655">
        <v>327453</v>
      </c>
      <c r="AH872" s="655">
        <v>0</v>
      </c>
      <c r="AI872" s="655">
        <v>534729</v>
      </c>
      <c r="AJ872" s="655">
        <v>1364380</v>
      </c>
      <c r="AK872" s="655">
        <v>7797761</v>
      </c>
      <c r="AL872" s="655">
        <v>6486208</v>
      </c>
      <c r="AM872" s="655">
        <v>1311553</v>
      </c>
    </row>
    <row r="873" spans="1:39" x14ac:dyDescent="0.2">
      <c r="A873" s="648">
        <v>2015</v>
      </c>
      <c r="B873" s="648">
        <v>11</v>
      </c>
      <c r="C873" s="657" t="s">
        <v>280</v>
      </c>
      <c r="D873" s="648">
        <v>4617</v>
      </c>
      <c r="E873" s="648" t="s">
        <v>1194</v>
      </c>
      <c r="F873" s="655">
        <v>9853295</v>
      </c>
      <c r="G873" s="655">
        <v>0</v>
      </c>
      <c r="H873" s="655">
        <v>136239</v>
      </c>
      <c r="I873" s="655">
        <v>964895</v>
      </c>
      <c r="J873" s="655">
        <v>844263</v>
      </c>
      <c r="K873" s="655">
        <v>102743</v>
      </c>
      <c r="L873" s="655">
        <v>115605</v>
      </c>
      <c r="M873" s="655">
        <v>0</v>
      </c>
      <c r="N873" s="655">
        <v>461923</v>
      </c>
      <c r="O873" s="655">
        <v>0</v>
      </c>
      <c r="P873" s="655">
        <v>81110</v>
      </c>
      <c r="Q873" s="655">
        <v>89024</v>
      </c>
      <c r="R873" s="655">
        <v>0</v>
      </c>
      <c r="S873" s="655">
        <v>37726</v>
      </c>
      <c r="T873" s="655">
        <v>4809</v>
      </c>
      <c r="U873" s="655">
        <v>473704</v>
      </c>
      <c r="V873" s="655">
        <v>59692</v>
      </c>
      <c r="W873" s="655">
        <v>178087</v>
      </c>
      <c r="X873" s="655">
        <v>315588</v>
      </c>
      <c r="Y873" s="655">
        <v>0</v>
      </c>
      <c r="Z873" s="655">
        <v>0</v>
      </c>
      <c r="AA873" s="655">
        <v>0</v>
      </c>
      <c r="AB873" s="655">
        <v>0</v>
      </c>
      <c r="AC873" s="655">
        <v>-2387</v>
      </c>
      <c r="AD873" s="655">
        <v>69114</v>
      </c>
      <c r="AE873" s="655">
        <v>13647202</v>
      </c>
      <c r="AF873" s="655">
        <v>286470</v>
      </c>
      <c r="AG873" s="655">
        <v>650219</v>
      </c>
      <c r="AH873" s="655">
        <v>0</v>
      </c>
      <c r="AI873" s="655">
        <v>1783207</v>
      </c>
      <c r="AJ873" s="655">
        <v>5830867</v>
      </c>
      <c r="AK873" s="655">
        <v>22197965</v>
      </c>
      <c r="AL873" s="655">
        <v>16523939</v>
      </c>
      <c r="AM873" s="655">
        <v>5674026</v>
      </c>
    </row>
    <row r="874" spans="1:39" x14ac:dyDescent="0.2">
      <c r="A874" s="648">
        <v>2015</v>
      </c>
      <c r="B874" s="648">
        <v>5</v>
      </c>
      <c r="C874" s="657" t="s">
        <v>281</v>
      </c>
      <c r="D874" s="648">
        <v>4644</v>
      </c>
      <c r="E874" s="648" t="s">
        <v>645</v>
      </c>
      <c r="F874" s="655">
        <v>3102919</v>
      </c>
      <c r="G874" s="655">
        <v>0</v>
      </c>
      <c r="H874" s="655">
        <v>156863</v>
      </c>
      <c r="I874" s="655">
        <v>275887</v>
      </c>
      <c r="J874" s="655">
        <v>268620</v>
      </c>
      <c r="K874" s="655">
        <v>28602</v>
      </c>
      <c r="L874" s="655">
        <v>34615</v>
      </c>
      <c r="M874" s="655">
        <v>0</v>
      </c>
      <c r="N874" s="655">
        <v>151709</v>
      </c>
      <c r="O874" s="655">
        <v>0</v>
      </c>
      <c r="P874" s="655">
        <v>25224</v>
      </c>
      <c r="Q874" s="655">
        <v>28336</v>
      </c>
      <c r="R874" s="655">
        <v>464</v>
      </c>
      <c r="S874" s="655">
        <v>16164</v>
      </c>
      <c r="T874" s="655">
        <v>1926</v>
      </c>
      <c r="U874" s="655">
        <v>59227</v>
      </c>
      <c r="V874" s="655">
        <v>0</v>
      </c>
      <c r="W874" s="655">
        <v>63169</v>
      </c>
      <c r="X874" s="655">
        <v>0</v>
      </c>
      <c r="Y874" s="655">
        <v>16558</v>
      </c>
      <c r="Z874" s="655">
        <v>0</v>
      </c>
      <c r="AA874" s="655">
        <v>0</v>
      </c>
      <c r="AB874" s="655">
        <v>0</v>
      </c>
      <c r="AC874" s="655">
        <v>0</v>
      </c>
      <c r="AD874" s="655">
        <v>22754</v>
      </c>
      <c r="AE874" s="655">
        <v>4174413</v>
      </c>
      <c r="AF874" s="655">
        <v>76392</v>
      </c>
      <c r="AG874" s="655">
        <v>260180</v>
      </c>
      <c r="AH874" s="655">
        <v>0</v>
      </c>
      <c r="AI874" s="655">
        <v>726444</v>
      </c>
      <c r="AJ874" s="655">
        <v>2615157</v>
      </c>
      <c r="AK874" s="655">
        <v>7852586</v>
      </c>
      <c r="AL874" s="655">
        <v>5220376</v>
      </c>
      <c r="AM874" s="655">
        <v>2632210</v>
      </c>
    </row>
    <row r="875" spans="1:39" x14ac:dyDescent="0.2">
      <c r="A875" s="648">
        <v>2015</v>
      </c>
      <c r="B875" s="648">
        <v>1</v>
      </c>
      <c r="C875" s="657" t="s">
        <v>282</v>
      </c>
      <c r="D875" s="648">
        <v>4662</v>
      </c>
      <c r="E875" s="648" t="s">
        <v>1195</v>
      </c>
      <c r="F875" s="655">
        <v>6252049</v>
      </c>
      <c r="G875" s="655">
        <v>0</v>
      </c>
      <c r="H875" s="655">
        <v>107006</v>
      </c>
      <c r="I875" s="655">
        <v>769331</v>
      </c>
      <c r="J875" s="655">
        <v>543730</v>
      </c>
      <c r="K875" s="655">
        <v>60213</v>
      </c>
      <c r="L875" s="655">
        <v>48329</v>
      </c>
      <c r="M875" s="655">
        <v>0</v>
      </c>
      <c r="N875" s="655">
        <v>324356</v>
      </c>
      <c r="O875" s="655">
        <v>0</v>
      </c>
      <c r="P875" s="655">
        <v>58800</v>
      </c>
      <c r="Q875" s="655">
        <v>65628</v>
      </c>
      <c r="R875" s="655">
        <v>0</v>
      </c>
      <c r="S875" s="655">
        <v>31897</v>
      </c>
      <c r="T875" s="655">
        <v>3408</v>
      </c>
      <c r="U875" s="655">
        <v>312602</v>
      </c>
      <c r="V875" s="655">
        <v>0</v>
      </c>
      <c r="W875" s="655">
        <v>32359</v>
      </c>
      <c r="X875" s="655">
        <v>359988</v>
      </c>
      <c r="Y875" s="655">
        <v>0</v>
      </c>
      <c r="Z875" s="655">
        <v>0</v>
      </c>
      <c r="AA875" s="655">
        <v>0</v>
      </c>
      <c r="AB875" s="655">
        <v>0</v>
      </c>
      <c r="AC875" s="655">
        <v>0</v>
      </c>
      <c r="AD875" s="655">
        <v>58022</v>
      </c>
      <c r="AE875" s="655">
        <v>8911674</v>
      </c>
      <c r="AF875" s="655">
        <v>175065</v>
      </c>
      <c r="AG875" s="655">
        <v>515419</v>
      </c>
      <c r="AH875" s="655">
        <v>0</v>
      </c>
      <c r="AI875" s="655">
        <v>952795</v>
      </c>
      <c r="AJ875" s="655">
        <v>1286866</v>
      </c>
      <c r="AK875" s="655">
        <v>11841819</v>
      </c>
      <c r="AL875" s="655">
        <v>10704047</v>
      </c>
      <c r="AM875" s="655">
        <v>1137772</v>
      </c>
    </row>
    <row r="876" spans="1:39" x14ac:dyDescent="0.2">
      <c r="A876" s="648">
        <v>2015</v>
      </c>
      <c r="B876" s="648">
        <v>15</v>
      </c>
      <c r="C876" s="657" t="s">
        <v>283</v>
      </c>
      <c r="D876" s="648">
        <v>4689</v>
      </c>
      <c r="E876" s="648" t="s">
        <v>1196</v>
      </c>
      <c r="F876" s="655">
        <v>3346606</v>
      </c>
      <c r="G876" s="655">
        <v>0</v>
      </c>
      <c r="H876" s="655">
        <v>70109</v>
      </c>
      <c r="I876" s="655">
        <v>496612</v>
      </c>
      <c r="J876" s="655">
        <v>299497</v>
      </c>
      <c r="K876" s="655">
        <v>31395</v>
      </c>
      <c r="L876" s="655">
        <v>35621</v>
      </c>
      <c r="M876" s="655">
        <v>0</v>
      </c>
      <c r="N876" s="655">
        <v>167373</v>
      </c>
      <c r="O876" s="655">
        <v>0</v>
      </c>
      <c r="P876" s="655">
        <v>27488</v>
      </c>
      <c r="Q876" s="655">
        <v>30191</v>
      </c>
      <c r="R876" s="655">
        <v>452</v>
      </c>
      <c r="S876" s="655">
        <v>16753</v>
      </c>
      <c r="T876" s="655">
        <v>1811</v>
      </c>
      <c r="U876" s="655">
        <v>101430</v>
      </c>
      <c r="V876" s="655">
        <v>0</v>
      </c>
      <c r="W876" s="655">
        <v>44071</v>
      </c>
      <c r="X876" s="655">
        <v>0</v>
      </c>
      <c r="Y876" s="655">
        <v>11623</v>
      </c>
      <c r="Z876" s="655">
        <v>0</v>
      </c>
      <c r="AA876" s="655">
        <v>0</v>
      </c>
      <c r="AB876" s="655">
        <v>0</v>
      </c>
      <c r="AC876" s="655">
        <v>0</v>
      </c>
      <c r="AD876" s="655">
        <v>25009</v>
      </c>
      <c r="AE876" s="655">
        <v>4632777</v>
      </c>
      <c r="AF876" s="655">
        <v>0</v>
      </c>
      <c r="AG876" s="655">
        <v>206419</v>
      </c>
      <c r="AH876" s="655">
        <v>0</v>
      </c>
      <c r="AI876" s="655">
        <v>924704</v>
      </c>
      <c r="AJ876" s="655">
        <v>1517910</v>
      </c>
      <c r="AK876" s="655">
        <v>7281810</v>
      </c>
      <c r="AL876" s="655">
        <v>5800115</v>
      </c>
      <c r="AM876" s="655">
        <v>1481695</v>
      </c>
    </row>
    <row r="877" spans="1:39" x14ac:dyDescent="0.2">
      <c r="A877" s="648">
        <v>2015</v>
      </c>
      <c r="B877" s="648">
        <v>11</v>
      </c>
      <c r="C877" s="657" t="s">
        <v>284</v>
      </c>
      <c r="D877" s="648">
        <v>4725</v>
      </c>
      <c r="E877" s="648" t="s">
        <v>1197</v>
      </c>
      <c r="F877" s="655">
        <v>19115188</v>
      </c>
      <c r="G877" s="655">
        <v>0</v>
      </c>
      <c r="H877" s="655">
        <v>342580</v>
      </c>
      <c r="I877" s="655">
        <v>2503493</v>
      </c>
      <c r="J877" s="655">
        <v>1614882</v>
      </c>
      <c r="K877" s="655">
        <v>179471</v>
      </c>
      <c r="L877" s="655">
        <v>210970</v>
      </c>
      <c r="M877" s="655">
        <v>0</v>
      </c>
      <c r="N877" s="655">
        <v>923090</v>
      </c>
      <c r="O877" s="655">
        <v>0</v>
      </c>
      <c r="P877" s="655">
        <v>160452</v>
      </c>
      <c r="Q877" s="655">
        <v>176109</v>
      </c>
      <c r="R877" s="655">
        <v>0</v>
      </c>
      <c r="S877" s="655">
        <v>75390</v>
      </c>
      <c r="T877" s="655">
        <v>9611</v>
      </c>
      <c r="U877" s="655">
        <v>545876</v>
      </c>
      <c r="V877" s="655">
        <v>0</v>
      </c>
      <c r="W877" s="655">
        <v>138687</v>
      </c>
      <c r="X877" s="655">
        <v>600517</v>
      </c>
      <c r="Y877" s="655">
        <v>0</v>
      </c>
      <c r="Z877" s="655">
        <v>0</v>
      </c>
      <c r="AA877" s="655">
        <v>0</v>
      </c>
      <c r="AB877" s="655">
        <v>0</v>
      </c>
      <c r="AC877" s="655">
        <v>0</v>
      </c>
      <c r="AD877" s="655">
        <v>154889</v>
      </c>
      <c r="AE877" s="655">
        <v>26441427</v>
      </c>
      <c r="AF877" s="655">
        <v>270555</v>
      </c>
      <c r="AG877" s="655">
        <v>1285688</v>
      </c>
      <c r="AH877" s="655">
        <v>0</v>
      </c>
      <c r="AI877" s="655">
        <v>1695119</v>
      </c>
      <c r="AJ877" s="655">
        <v>6262551</v>
      </c>
      <c r="AK877" s="655">
        <v>35955340</v>
      </c>
      <c r="AL877" s="655">
        <v>30340991</v>
      </c>
      <c r="AM877" s="655">
        <v>5614349</v>
      </c>
    </row>
    <row r="878" spans="1:39" x14ac:dyDescent="0.2">
      <c r="A878" s="648">
        <v>2015</v>
      </c>
      <c r="B878" s="648">
        <v>7</v>
      </c>
      <c r="C878" s="657" t="s">
        <v>285</v>
      </c>
      <c r="D878" s="648">
        <v>4772</v>
      </c>
      <c r="E878" s="648" t="s">
        <v>1479</v>
      </c>
      <c r="F878" s="655">
        <v>5392291</v>
      </c>
      <c r="G878" s="655">
        <v>0</v>
      </c>
      <c r="H878" s="655">
        <v>219699</v>
      </c>
      <c r="I878" s="655">
        <v>609285</v>
      </c>
      <c r="J878" s="655">
        <v>488697</v>
      </c>
      <c r="K878" s="655">
        <v>54826</v>
      </c>
      <c r="L878" s="655">
        <v>49612</v>
      </c>
      <c r="M878" s="655">
        <v>0</v>
      </c>
      <c r="N878" s="655">
        <v>265902</v>
      </c>
      <c r="O878" s="655">
        <v>9062</v>
      </c>
      <c r="P878" s="655">
        <v>45894</v>
      </c>
      <c r="Q878" s="655">
        <v>51272</v>
      </c>
      <c r="R878" s="655">
        <v>0</v>
      </c>
      <c r="S878" s="655">
        <v>34502</v>
      </c>
      <c r="T878" s="655">
        <v>3957</v>
      </c>
      <c r="U878" s="655">
        <v>103017</v>
      </c>
      <c r="V878" s="655">
        <v>0</v>
      </c>
      <c r="W878" s="655">
        <v>165267</v>
      </c>
      <c r="X878" s="655">
        <v>136279</v>
      </c>
      <c r="Y878" s="655">
        <v>0</v>
      </c>
      <c r="Z878" s="655">
        <v>0</v>
      </c>
      <c r="AA878" s="655">
        <v>0</v>
      </c>
      <c r="AB878" s="655">
        <v>0</v>
      </c>
      <c r="AC878" s="655">
        <v>0</v>
      </c>
      <c r="AD878" s="655">
        <v>46457</v>
      </c>
      <c r="AE878" s="655">
        <v>7583105</v>
      </c>
      <c r="AF878" s="655">
        <v>136869</v>
      </c>
      <c r="AG878" s="655">
        <v>437369</v>
      </c>
      <c r="AH878" s="655">
        <v>0</v>
      </c>
      <c r="AI878" s="655">
        <v>1338182</v>
      </c>
      <c r="AJ878" s="655">
        <v>2123352</v>
      </c>
      <c r="AK878" s="655">
        <v>11618877</v>
      </c>
      <c r="AL878" s="655">
        <v>10263098</v>
      </c>
      <c r="AM878" s="655">
        <v>1355779</v>
      </c>
    </row>
    <row r="879" spans="1:39" x14ac:dyDescent="0.2">
      <c r="A879" s="648">
        <v>2015</v>
      </c>
      <c r="B879" s="648">
        <v>9</v>
      </c>
      <c r="C879" s="657" t="s">
        <v>286</v>
      </c>
      <c r="D879" s="648">
        <v>4773</v>
      </c>
      <c r="E879" s="648" t="s">
        <v>1198</v>
      </c>
      <c r="F879" s="655">
        <v>3529033</v>
      </c>
      <c r="G879" s="655">
        <v>0</v>
      </c>
      <c r="H879" s="655">
        <v>55968</v>
      </c>
      <c r="I879" s="655">
        <v>351801</v>
      </c>
      <c r="J879" s="655">
        <v>324969</v>
      </c>
      <c r="K879" s="655">
        <v>36629</v>
      </c>
      <c r="L879" s="655">
        <v>39230</v>
      </c>
      <c r="M879" s="655">
        <v>0</v>
      </c>
      <c r="N879" s="655">
        <v>168038</v>
      </c>
      <c r="O879" s="655">
        <v>0</v>
      </c>
      <c r="P879" s="655">
        <v>28701</v>
      </c>
      <c r="Q879" s="655">
        <v>31305</v>
      </c>
      <c r="R879" s="655">
        <v>0</v>
      </c>
      <c r="S879" s="655">
        <v>15090</v>
      </c>
      <c r="T879" s="655">
        <v>1771</v>
      </c>
      <c r="U879" s="655">
        <v>124395</v>
      </c>
      <c r="V879" s="655">
        <v>283545</v>
      </c>
      <c r="W879" s="655">
        <v>91866</v>
      </c>
      <c r="X879" s="655">
        <v>35318</v>
      </c>
      <c r="Y879" s="655">
        <v>0</v>
      </c>
      <c r="Z879" s="655">
        <v>0</v>
      </c>
      <c r="AA879" s="655">
        <v>0</v>
      </c>
      <c r="AB879" s="655">
        <v>0</v>
      </c>
      <c r="AC879" s="655">
        <v>0</v>
      </c>
      <c r="AD879" s="655">
        <v>30807</v>
      </c>
      <c r="AE879" s="655">
        <v>5086852</v>
      </c>
      <c r="AF879" s="655">
        <v>120954</v>
      </c>
      <c r="AG879" s="655">
        <v>275829</v>
      </c>
      <c r="AH879" s="655">
        <v>0</v>
      </c>
      <c r="AI879" s="655">
        <v>3001594</v>
      </c>
      <c r="AJ879" s="655">
        <v>1460473</v>
      </c>
      <c r="AK879" s="655">
        <v>9945702</v>
      </c>
      <c r="AL879" s="655">
        <v>8482646</v>
      </c>
      <c r="AM879" s="655">
        <v>1463056</v>
      </c>
    </row>
    <row r="880" spans="1:39" x14ac:dyDescent="0.2">
      <c r="A880" s="648">
        <v>2015</v>
      </c>
      <c r="B880" s="648">
        <v>1</v>
      </c>
      <c r="C880" s="657" t="s">
        <v>287</v>
      </c>
      <c r="D880" s="648">
        <v>4774</v>
      </c>
      <c r="E880" s="648" t="s">
        <v>1199</v>
      </c>
      <c r="F880" s="655">
        <v>5404504</v>
      </c>
      <c r="G880" s="655">
        <v>0</v>
      </c>
      <c r="H880" s="655">
        <v>117063</v>
      </c>
      <c r="I880" s="655">
        <v>732625</v>
      </c>
      <c r="J880" s="655">
        <v>464164</v>
      </c>
      <c r="K880" s="655">
        <v>50771</v>
      </c>
      <c r="L880" s="655">
        <v>49022</v>
      </c>
      <c r="M880" s="655">
        <v>0</v>
      </c>
      <c r="N880" s="655">
        <v>278176</v>
      </c>
      <c r="O880" s="655">
        <v>6779</v>
      </c>
      <c r="P880" s="655">
        <v>43668</v>
      </c>
      <c r="Q880" s="655">
        <v>48739</v>
      </c>
      <c r="R880" s="655">
        <v>0</v>
      </c>
      <c r="S880" s="655">
        <v>27356</v>
      </c>
      <c r="T880" s="655">
        <v>2923</v>
      </c>
      <c r="U880" s="655">
        <v>259478</v>
      </c>
      <c r="V880" s="655">
        <v>0</v>
      </c>
      <c r="W880" s="655">
        <v>25911</v>
      </c>
      <c r="X880" s="655">
        <v>346005</v>
      </c>
      <c r="Y880" s="655">
        <v>0</v>
      </c>
      <c r="Z880" s="655">
        <v>0</v>
      </c>
      <c r="AA880" s="655">
        <v>0</v>
      </c>
      <c r="AB880" s="655">
        <v>0</v>
      </c>
      <c r="AC880" s="655">
        <v>0</v>
      </c>
      <c r="AD880" s="655">
        <v>52809</v>
      </c>
      <c r="AE880" s="655">
        <v>7804375</v>
      </c>
      <c r="AF880" s="655">
        <v>155967</v>
      </c>
      <c r="AG880" s="655">
        <v>406905</v>
      </c>
      <c r="AH880" s="655">
        <v>0</v>
      </c>
      <c r="AI880" s="655">
        <v>1929223</v>
      </c>
      <c r="AJ880" s="655">
        <v>2454670</v>
      </c>
      <c r="AK880" s="655">
        <v>12751140</v>
      </c>
      <c r="AL880" s="655">
        <v>10189771</v>
      </c>
      <c r="AM880" s="655">
        <v>2561369</v>
      </c>
    </row>
    <row r="881" spans="1:39" x14ac:dyDescent="0.2">
      <c r="A881" s="648">
        <v>2015</v>
      </c>
      <c r="B881" s="648">
        <v>5</v>
      </c>
      <c r="C881" s="657" t="s">
        <v>288</v>
      </c>
      <c r="D881" s="648">
        <v>4775</v>
      </c>
      <c r="E881" s="648" t="s">
        <v>1200</v>
      </c>
      <c r="F881" s="655">
        <v>1385632</v>
      </c>
      <c r="G881" s="655">
        <v>75767</v>
      </c>
      <c r="H881" s="655">
        <v>142295</v>
      </c>
      <c r="I881" s="655">
        <v>182028</v>
      </c>
      <c r="J881" s="655">
        <v>141135</v>
      </c>
      <c r="K881" s="655">
        <v>15060</v>
      </c>
      <c r="L881" s="655">
        <v>13908</v>
      </c>
      <c r="M881" s="655">
        <v>0</v>
      </c>
      <c r="N881" s="655">
        <v>69516</v>
      </c>
      <c r="O881" s="655">
        <v>13242</v>
      </c>
      <c r="P881" s="655">
        <v>11222</v>
      </c>
      <c r="Q881" s="655">
        <v>12607</v>
      </c>
      <c r="R881" s="655">
        <v>212</v>
      </c>
      <c r="S881" s="655">
        <v>7582</v>
      </c>
      <c r="T881" s="655">
        <v>904</v>
      </c>
      <c r="U881" s="655">
        <v>4843</v>
      </c>
      <c r="V881" s="655">
        <v>0</v>
      </c>
      <c r="W881" s="655">
        <v>48968</v>
      </c>
      <c r="X881" s="655">
        <v>0</v>
      </c>
      <c r="Y881" s="655">
        <v>44702</v>
      </c>
      <c r="Z881" s="655">
        <v>0</v>
      </c>
      <c r="AA881" s="655">
        <v>0</v>
      </c>
      <c r="AB881" s="655">
        <v>0</v>
      </c>
      <c r="AC881" s="655">
        <v>0</v>
      </c>
      <c r="AD881" s="655">
        <v>14615</v>
      </c>
      <c r="AE881" s="655">
        <v>2065604</v>
      </c>
      <c r="AF881" s="655">
        <v>47745</v>
      </c>
      <c r="AG881" s="655">
        <v>133718</v>
      </c>
      <c r="AH881" s="655">
        <v>0</v>
      </c>
      <c r="AI881" s="655">
        <v>330418</v>
      </c>
      <c r="AJ881" s="655">
        <v>235240</v>
      </c>
      <c r="AK881" s="655">
        <v>2812725</v>
      </c>
      <c r="AL881" s="655">
        <v>2518206</v>
      </c>
      <c r="AM881" s="655">
        <v>294519</v>
      </c>
    </row>
    <row r="882" spans="1:39" x14ac:dyDescent="0.2">
      <c r="A882" s="648">
        <v>2015</v>
      </c>
      <c r="B882" s="648">
        <v>15</v>
      </c>
      <c r="C882" s="657" t="s">
        <v>289</v>
      </c>
      <c r="D882" s="648">
        <v>4776</v>
      </c>
      <c r="E882" s="648" t="s">
        <v>1201</v>
      </c>
      <c r="F882" s="655">
        <v>3218156</v>
      </c>
      <c r="G882" s="655">
        <v>182105</v>
      </c>
      <c r="H882" s="655">
        <v>32776</v>
      </c>
      <c r="I882" s="655">
        <v>400408</v>
      </c>
      <c r="J882" s="655">
        <v>298175</v>
      </c>
      <c r="K882" s="655">
        <v>31856</v>
      </c>
      <c r="L882" s="655">
        <v>37558</v>
      </c>
      <c r="M882" s="655">
        <v>0</v>
      </c>
      <c r="N882" s="655">
        <v>153560</v>
      </c>
      <c r="O882" s="655">
        <v>7363</v>
      </c>
      <c r="P882" s="655">
        <v>27644</v>
      </c>
      <c r="Q882" s="655">
        <v>30363</v>
      </c>
      <c r="R882" s="655">
        <v>416</v>
      </c>
      <c r="S882" s="655">
        <v>16093</v>
      </c>
      <c r="T882" s="655">
        <v>1733</v>
      </c>
      <c r="U882" s="655">
        <v>104064</v>
      </c>
      <c r="V882" s="655">
        <v>0</v>
      </c>
      <c r="W882" s="655">
        <v>54477</v>
      </c>
      <c r="X882" s="655">
        <v>130914</v>
      </c>
      <c r="Y882" s="655">
        <v>0</v>
      </c>
      <c r="Z882" s="655">
        <v>0</v>
      </c>
      <c r="AA882" s="655">
        <v>0</v>
      </c>
      <c r="AB882" s="655">
        <v>0</v>
      </c>
      <c r="AC882" s="655">
        <v>-6288</v>
      </c>
      <c r="AD882" s="655">
        <v>25355</v>
      </c>
      <c r="AE882" s="655">
        <v>4696018</v>
      </c>
      <c r="AF882" s="655">
        <v>89124</v>
      </c>
      <c r="AG882" s="655">
        <v>0</v>
      </c>
      <c r="AH882" s="655">
        <v>0</v>
      </c>
      <c r="AI882" s="655">
        <v>876747</v>
      </c>
      <c r="AJ882" s="655">
        <v>848857</v>
      </c>
      <c r="AK882" s="655">
        <v>6510746</v>
      </c>
      <c r="AL882" s="655">
        <v>5567236</v>
      </c>
      <c r="AM882" s="655">
        <v>943510</v>
      </c>
    </row>
    <row r="883" spans="1:39" x14ac:dyDescent="0.2">
      <c r="A883" s="648">
        <v>2015</v>
      </c>
      <c r="B883" s="648">
        <v>10</v>
      </c>
      <c r="C883" s="657" t="s">
        <v>290</v>
      </c>
      <c r="D883" s="648">
        <v>4777</v>
      </c>
      <c r="E883" s="648" t="s">
        <v>1237</v>
      </c>
      <c r="F883" s="655">
        <v>4478953</v>
      </c>
      <c r="G883" s="655">
        <v>0</v>
      </c>
      <c r="H883" s="655">
        <v>96578</v>
      </c>
      <c r="I883" s="655">
        <v>361998</v>
      </c>
      <c r="J883" s="655">
        <v>376728</v>
      </c>
      <c r="K883" s="655">
        <v>39106</v>
      </c>
      <c r="L883" s="655">
        <v>38736</v>
      </c>
      <c r="M883" s="655">
        <v>0</v>
      </c>
      <c r="N883" s="655">
        <v>210481</v>
      </c>
      <c r="O883" s="655">
        <v>5288</v>
      </c>
      <c r="P883" s="655">
        <v>36404</v>
      </c>
      <c r="Q883" s="655">
        <v>39990</v>
      </c>
      <c r="R883" s="655">
        <v>0</v>
      </c>
      <c r="S883" s="655">
        <v>19598</v>
      </c>
      <c r="T883" s="655">
        <v>2279</v>
      </c>
      <c r="U883" s="655">
        <v>18447</v>
      </c>
      <c r="V883" s="655">
        <v>0</v>
      </c>
      <c r="W883" s="655">
        <v>134662</v>
      </c>
      <c r="X883" s="655">
        <v>8837</v>
      </c>
      <c r="Y883" s="655">
        <v>0</v>
      </c>
      <c r="Z883" s="655">
        <v>0</v>
      </c>
      <c r="AA883" s="655">
        <v>0</v>
      </c>
      <c r="AB883" s="655">
        <v>0</v>
      </c>
      <c r="AC883" s="655">
        <v>0</v>
      </c>
      <c r="AD883" s="655">
        <v>34751</v>
      </c>
      <c r="AE883" s="655">
        <v>5833334</v>
      </c>
      <c r="AF883" s="655">
        <v>124137</v>
      </c>
      <c r="AG883" s="655">
        <v>327949</v>
      </c>
      <c r="AH883" s="655">
        <v>0</v>
      </c>
      <c r="AI883" s="655">
        <v>544888</v>
      </c>
      <c r="AJ883" s="655">
        <v>868457</v>
      </c>
      <c r="AK883" s="655">
        <v>7698765</v>
      </c>
      <c r="AL883" s="655">
        <v>6386047</v>
      </c>
      <c r="AM883" s="655">
        <v>1312718</v>
      </c>
    </row>
    <row r="884" spans="1:39" x14ac:dyDescent="0.2">
      <c r="A884" s="648">
        <v>2015</v>
      </c>
      <c r="B884" s="648">
        <v>5</v>
      </c>
      <c r="C884" s="657" t="s">
        <v>291</v>
      </c>
      <c r="D884" s="648">
        <v>4778</v>
      </c>
      <c r="E884" s="648" t="s">
        <v>1238</v>
      </c>
      <c r="F884" s="655">
        <v>1842783</v>
      </c>
      <c r="G884" s="655">
        <v>29311</v>
      </c>
      <c r="H884" s="655">
        <v>103921</v>
      </c>
      <c r="I884" s="655">
        <v>332892</v>
      </c>
      <c r="J884" s="655">
        <v>164199</v>
      </c>
      <c r="K884" s="655">
        <v>18346</v>
      </c>
      <c r="L884" s="655">
        <v>16074</v>
      </c>
      <c r="M884" s="655">
        <v>0</v>
      </c>
      <c r="N884" s="655">
        <v>98481</v>
      </c>
      <c r="O884" s="655">
        <v>10540</v>
      </c>
      <c r="P884" s="655">
        <v>17463</v>
      </c>
      <c r="Q884" s="655">
        <v>19617</v>
      </c>
      <c r="R884" s="655">
        <v>301</v>
      </c>
      <c r="S884" s="655">
        <v>10694</v>
      </c>
      <c r="T884" s="655">
        <v>1275</v>
      </c>
      <c r="U884" s="655">
        <v>92139</v>
      </c>
      <c r="V884" s="655">
        <v>0</v>
      </c>
      <c r="W884" s="655">
        <v>33053</v>
      </c>
      <c r="X884" s="655">
        <v>146099</v>
      </c>
      <c r="Y884" s="655">
        <v>0</v>
      </c>
      <c r="Z884" s="655">
        <v>0</v>
      </c>
      <c r="AA884" s="655">
        <v>0</v>
      </c>
      <c r="AB884" s="655">
        <v>0</v>
      </c>
      <c r="AC884" s="655">
        <v>0</v>
      </c>
      <c r="AD884" s="655">
        <v>21324</v>
      </c>
      <c r="AE884" s="655">
        <v>2915864</v>
      </c>
      <c r="AF884" s="655">
        <v>73209</v>
      </c>
      <c r="AG884" s="655">
        <v>168863</v>
      </c>
      <c r="AH884" s="655">
        <v>0</v>
      </c>
      <c r="AI884" s="655">
        <v>1415551</v>
      </c>
      <c r="AJ884" s="655">
        <v>130404</v>
      </c>
      <c r="AK884" s="655">
        <v>4703891</v>
      </c>
      <c r="AL884" s="655">
        <v>4495235</v>
      </c>
      <c r="AM884" s="655">
        <v>208656</v>
      </c>
    </row>
    <row r="885" spans="1:39" x14ac:dyDescent="0.2">
      <c r="A885" s="648">
        <v>2015</v>
      </c>
      <c r="B885" s="648">
        <v>11</v>
      </c>
      <c r="C885" s="657" t="s">
        <v>292</v>
      </c>
      <c r="D885" s="648">
        <v>4779</v>
      </c>
      <c r="E885" s="648" t="s">
        <v>1239</v>
      </c>
      <c r="F885" s="655">
        <v>9011710</v>
      </c>
      <c r="G885" s="655">
        <v>0</v>
      </c>
      <c r="H885" s="655">
        <v>98202</v>
      </c>
      <c r="I885" s="655">
        <v>576505</v>
      </c>
      <c r="J885" s="655">
        <v>719804</v>
      </c>
      <c r="K885" s="655">
        <v>74418</v>
      </c>
      <c r="L885" s="655">
        <v>72804</v>
      </c>
      <c r="M885" s="655">
        <v>0</v>
      </c>
      <c r="N885" s="655">
        <v>409404</v>
      </c>
      <c r="O885" s="655">
        <v>0</v>
      </c>
      <c r="P885" s="655">
        <v>74511</v>
      </c>
      <c r="Q885" s="655">
        <v>81781</v>
      </c>
      <c r="R885" s="655">
        <v>0</v>
      </c>
      <c r="S885" s="655">
        <v>33437</v>
      </c>
      <c r="T885" s="655">
        <v>4262</v>
      </c>
      <c r="U885" s="655">
        <v>0</v>
      </c>
      <c r="V885" s="655">
        <v>450136</v>
      </c>
      <c r="W885" s="655">
        <v>396220</v>
      </c>
      <c r="X885" s="655">
        <v>441055</v>
      </c>
      <c r="Y885" s="655">
        <v>0</v>
      </c>
      <c r="Z885" s="655">
        <v>0</v>
      </c>
      <c r="AA885" s="655">
        <v>0</v>
      </c>
      <c r="AB885" s="655">
        <v>0</v>
      </c>
      <c r="AC885" s="655">
        <v>0</v>
      </c>
      <c r="AD885" s="655">
        <v>39904</v>
      </c>
      <c r="AE885" s="655">
        <v>12404345</v>
      </c>
      <c r="AF885" s="655">
        <v>299202</v>
      </c>
      <c r="AG885" s="655">
        <v>558366</v>
      </c>
      <c r="AH885" s="655">
        <v>0</v>
      </c>
      <c r="AI885" s="655">
        <v>1544414</v>
      </c>
      <c r="AJ885" s="655">
        <v>2735753</v>
      </c>
      <c r="AK885" s="655">
        <v>17542080</v>
      </c>
      <c r="AL885" s="655">
        <v>13858824</v>
      </c>
      <c r="AM885" s="655">
        <v>3683256</v>
      </c>
    </row>
    <row r="886" spans="1:39" x14ac:dyDescent="0.2">
      <c r="A886" s="648">
        <v>2015</v>
      </c>
      <c r="B886" s="648">
        <v>9</v>
      </c>
      <c r="C886" s="657" t="s">
        <v>293</v>
      </c>
      <c r="D886" s="648">
        <v>4784</v>
      </c>
      <c r="E886" s="648" t="s">
        <v>1243</v>
      </c>
      <c r="F886" s="655">
        <v>18772697</v>
      </c>
      <c r="G886" s="655">
        <v>0</v>
      </c>
      <c r="H886" s="655">
        <v>257836</v>
      </c>
      <c r="I886" s="655">
        <v>1860591</v>
      </c>
      <c r="J886" s="655">
        <v>1590371</v>
      </c>
      <c r="K886" s="655">
        <v>178202</v>
      </c>
      <c r="L886" s="655">
        <v>170476</v>
      </c>
      <c r="M886" s="655">
        <v>0</v>
      </c>
      <c r="N886" s="655">
        <v>910250</v>
      </c>
      <c r="O886" s="655">
        <v>0</v>
      </c>
      <c r="P886" s="655">
        <v>154351</v>
      </c>
      <c r="Q886" s="655">
        <v>168358</v>
      </c>
      <c r="R886" s="655">
        <v>0</v>
      </c>
      <c r="S886" s="655">
        <v>81742</v>
      </c>
      <c r="T886" s="655">
        <v>9594</v>
      </c>
      <c r="U886" s="655">
        <v>875281</v>
      </c>
      <c r="V886" s="655">
        <v>0</v>
      </c>
      <c r="W886" s="655">
        <v>620048</v>
      </c>
      <c r="X886" s="655">
        <v>357174</v>
      </c>
      <c r="Y886" s="655">
        <v>0</v>
      </c>
      <c r="Z886" s="655">
        <v>0</v>
      </c>
      <c r="AA886" s="655">
        <v>0</v>
      </c>
      <c r="AB886" s="655">
        <v>0</v>
      </c>
      <c r="AC886" s="655">
        <v>1200</v>
      </c>
      <c r="AD886" s="655">
        <v>130713</v>
      </c>
      <c r="AE886" s="655">
        <v>25877458</v>
      </c>
      <c r="AF886" s="655">
        <v>534744</v>
      </c>
      <c r="AG886" s="655">
        <v>1404573</v>
      </c>
      <c r="AH886" s="655">
        <v>0</v>
      </c>
      <c r="AI886" s="655">
        <v>2380332</v>
      </c>
      <c r="AJ886" s="655">
        <v>4472834</v>
      </c>
      <c r="AK886" s="655">
        <v>34669941</v>
      </c>
      <c r="AL886" s="655">
        <v>30154437</v>
      </c>
      <c r="AM886" s="655">
        <v>4515504</v>
      </c>
    </row>
    <row r="887" spans="1:39" x14ac:dyDescent="0.2">
      <c r="A887" s="648">
        <v>2015</v>
      </c>
      <c r="B887" s="648">
        <v>7</v>
      </c>
      <c r="C887" s="657" t="s">
        <v>294</v>
      </c>
      <c r="D887" s="648">
        <v>4785</v>
      </c>
      <c r="E887" s="648" t="s">
        <v>1244</v>
      </c>
      <c r="F887" s="655">
        <v>3131435</v>
      </c>
      <c r="G887" s="655">
        <v>103715</v>
      </c>
      <c r="H887" s="655">
        <v>19913</v>
      </c>
      <c r="I887" s="655">
        <v>369992</v>
      </c>
      <c r="J887" s="655">
        <v>308747</v>
      </c>
      <c r="K887" s="655">
        <v>32837</v>
      </c>
      <c r="L887" s="655">
        <v>30613</v>
      </c>
      <c r="M887" s="655">
        <v>0</v>
      </c>
      <c r="N887" s="655">
        <v>155766</v>
      </c>
      <c r="O887" s="655">
        <v>3913</v>
      </c>
      <c r="P887" s="655">
        <v>25776</v>
      </c>
      <c r="Q887" s="655">
        <v>28797</v>
      </c>
      <c r="R887" s="655">
        <v>0</v>
      </c>
      <c r="S887" s="655">
        <v>20139</v>
      </c>
      <c r="T887" s="655">
        <v>2310</v>
      </c>
      <c r="U887" s="655">
        <v>138547</v>
      </c>
      <c r="V887" s="655">
        <v>0</v>
      </c>
      <c r="W887" s="655">
        <v>6121</v>
      </c>
      <c r="X887" s="655">
        <v>69407</v>
      </c>
      <c r="Y887" s="655">
        <v>0</v>
      </c>
      <c r="Z887" s="655">
        <v>0</v>
      </c>
      <c r="AA887" s="655">
        <v>0</v>
      </c>
      <c r="AB887" s="655">
        <v>0</v>
      </c>
      <c r="AC887" s="655">
        <v>6121</v>
      </c>
      <c r="AD887" s="655">
        <v>23815</v>
      </c>
      <c r="AE887" s="655">
        <v>4430334</v>
      </c>
      <c r="AF887" s="655">
        <v>0</v>
      </c>
      <c r="AG887" s="655">
        <v>259459</v>
      </c>
      <c r="AH887" s="655">
        <v>0</v>
      </c>
      <c r="AI887" s="655">
        <v>555758</v>
      </c>
      <c r="AJ887" s="655">
        <v>1373119</v>
      </c>
      <c r="AK887" s="655">
        <v>6618670</v>
      </c>
      <c r="AL887" s="655">
        <v>5320479</v>
      </c>
      <c r="AM887" s="655">
        <v>1298191</v>
      </c>
    </row>
    <row r="888" spans="1:39" x14ac:dyDescent="0.2">
      <c r="A888" s="648">
        <v>2015</v>
      </c>
      <c r="B888" s="648">
        <v>1</v>
      </c>
      <c r="C888" s="657" t="s">
        <v>295</v>
      </c>
      <c r="D888" s="648">
        <v>4787</v>
      </c>
      <c r="E888" s="648" t="s">
        <v>1245</v>
      </c>
      <c r="F888" s="655">
        <v>1894000</v>
      </c>
      <c r="G888" s="655">
        <v>0</v>
      </c>
      <c r="H888" s="655">
        <v>39434</v>
      </c>
      <c r="I888" s="655">
        <v>258208</v>
      </c>
      <c r="J888" s="655">
        <v>150373</v>
      </c>
      <c r="K888" s="655">
        <v>13565</v>
      </c>
      <c r="L888" s="655">
        <v>19487</v>
      </c>
      <c r="M888" s="655">
        <v>0</v>
      </c>
      <c r="N888" s="655">
        <v>97779</v>
      </c>
      <c r="O888" s="655">
        <v>0</v>
      </c>
      <c r="P888" s="655">
        <v>15656</v>
      </c>
      <c r="Q888" s="655">
        <v>17474</v>
      </c>
      <c r="R888" s="655">
        <v>0</v>
      </c>
      <c r="S888" s="655">
        <v>9616</v>
      </c>
      <c r="T888" s="655">
        <v>1027</v>
      </c>
      <c r="U888" s="655">
        <v>38176</v>
      </c>
      <c r="V888" s="655">
        <v>0</v>
      </c>
      <c r="W888" s="655">
        <v>108342</v>
      </c>
      <c r="X888" s="655">
        <v>175818</v>
      </c>
      <c r="Y888" s="655">
        <v>0</v>
      </c>
      <c r="Z888" s="655">
        <v>0</v>
      </c>
      <c r="AA888" s="655">
        <v>0</v>
      </c>
      <c r="AB888" s="655">
        <v>0</v>
      </c>
      <c r="AC888" s="655">
        <v>6228</v>
      </c>
      <c r="AD888" s="655">
        <v>17982</v>
      </c>
      <c r="AE888" s="655">
        <v>2827201</v>
      </c>
      <c r="AF888" s="655">
        <v>28647</v>
      </c>
      <c r="AG888" s="655">
        <v>157770</v>
      </c>
      <c r="AH888" s="655">
        <v>0</v>
      </c>
      <c r="AI888" s="655">
        <v>345674</v>
      </c>
      <c r="AJ888" s="655">
        <v>252900</v>
      </c>
      <c r="AK888" s="655">
        <v>3612192</v>
      </c>
      <c r="AL888" s="655">
        <v>3471813</v>
      </c>
      <c r="AM888" s="655">
        <v>140379</v>
      </c>
    </row>
    <row r="889" spans="1:39" x14ac:dyDescent="0.2">
      <c r="A889" s="648">
        <v>2015</v>
      </c>
      <c r="B889" s="648">
        <v>7</v>
      </c>
      <c r="C889" s="657" t="s">
        <v>296</v>
      </c>
      <c r="D889" s="648">
        <v>4788</v>
      </c>
      <c r="E889" s="648" t="s">
        <v>1246</v>
      </c>
      <c r="F889" s="655">
        <v>3371296</v>
      </c>
      <c r="G889" s="655">
        <v>0</v>
      </c>
      <c r="H889" s="655">
        <v>22151</v>
      </c>
      <c r="I889" s="655">
        <v>382638</v>
      </c>
      <c r="J889" s="655">
        <v>282224</v>
      </c>
      <c r="K889" s="655">
        <v>32352</v>
      </c>
      <c r="L889" s="655">
        <v>27466</v>
      </c>
      <c r="M889" s="655">
        <v>0</v>
      </c>
      <c r="N889" s="655">
        <v>163758</v>
      </c>
      <c r="O889" s="655">
        <v>0</v>
      </c>
      <c r="P889" s="655">
        <v>27190</v>
      </c>
      <c r="Q889" s="655">
        <v>30377</v>
      </c>
      <c r="R889" s="655">
        <v>0</v>
      </c>
      <c r="S889" s="655">
        <v>20903</v>
      </c>
      <c r="T889" s="655">
        <v>2400</v>
      </c>
      <c r="U889" s="655">
        <v>82567</v>
      </c>
      <c r="V889" s="655">
        <v>0</v>
      </c>
      <c r="W889" s="655">
        <v>48968</v>
      </c>
      <c r="X889" s="655">
        <v>95965</v>
      </c>
      <c r="Y889" s="655">
        <v>0</v>
      </c>
      <c r="Z889" s="655">
        <v>0</v>
      </c>
      <c r="AA889" s="655">
        <v>0</v>
      </c>
      <c r="AB889" s="655">
        <v>0</v>
      </c>
      <c r="AC889" s="655">
        <v>0</v>
      </c>
      <c r="AD889" s="655">
        <v>25116</v>
      </c>
      <c r="AE889" s="655">
        <v>4565139</v>
      </c>
      <c r="AF889" s="655">
        <v>127320</v>
      </c>
      <c r="AG889" s="655">
        <v>276042</v>
      </c>
      <c r="AH889" s="655">
        <v>0</v>
      </c>
      <c r="AI889" s="655">
        <v>908752</v>
      </c>
      <c r="AJ889" s="655">
        <v>1749947</v>
      </c>
      <c r="AK889" s="655">
        <v>7627200</v>
      </c>
      <c r="AL889" s="655">
        <v>5680756</v>
      </c>
      <c r="AM889" s="655">
        <v>1946444</v>
      </c>
    </row>
    <row r="890" spans="1:39" x14ac:dyDescent="0.2">
      <c r="A890" s="648">
        <v>2015</v>
      </c>
      <c r="B890" s="648">
        <v>11</v>
      </c>
      <c r="C890" s="657" t="s">
        <v>297</v>
      </c>
      <c r="D890" s="648">
        <v>4797</v>
      </c>
      <c r="E890" s="648" t="s">
        <v>1247</v>
      </c>
      <c r="F890" s="655">
        <v>16020676</v>
      </c>
      <c r="G890" s="655">
        <v>0</v>
      </c>
      <c r="H890" s="655">
        <v>149588</v>
      </c>
      <c r="I890" s="655">
        <v>1895667</v>
      </c>
      <c r="J890" s="655">
        <v>1394775</v>
      </c>
      <c r="K890" s="655">
        <v>145384</v>
      </c>
      <c r="L890" s="655">
        <v>144201</v>
      </c>
      <c r="M890" s="655">
        <v>0</v>
      </c>
      <c r="N890" s="655">
        <v>765005</v>
      </c>
      <c r="O890" s="655">
        <v>0</v>
      </c>
      <c r="P890" s="655">
        <v>134161</v>
      </c>
      <c r="Q890" s="655">
        <v>147251</v>
      </c>
      <c r="R890" s="655">
        <v>0</v>
      </c>
      <c r="S890" s="655">
        <v>62479</v>
      </c>
      <c r="T890" s="655">
        <v>7965</v>
      </c>
      <c r="U890" s="655">
        <v>560724</v>
      </c>
      <c r="V890" s="655">
        <v>19264</v>
      </c>
      <c r="W890" s="655">
        <v>277685</v>
      </c>
      <c r="X890" s="655">
        <v>281059</v>
      </c>
      <c r="Y890" s="655">
        <v>0</v>
      </c>
      <c r="Z890" s="655">
        <v>0</v>
      </c>
      <c r="AA890" s="655">
        <v>0</v>
      </c>
      <c r="AB890" s="655">
        <v>0</v>
      </c>
      <c r="AC890" s="655">
        <v>0</v>
      </c>
      <c r="AD890" s="655">
        <v>95234</v>
      </c>
      <c r="AE890" s="655">
        <v>21910650</v>
      </c>
      <c r="AF890" s="655">
        <v>407424</v>
      </c>
      <c r="AG890" s="655">
        <v>891230</v>
      </c>
      <c r="AH890" s="655">
        <v>0</v>
      </c>
      <c r="AI890" s="655">
        <v>3073830</v>
      </c>
      <c r="AJ890" s="655">
        <v>13209106</v>
      </c>
      <c r="AK890" s="655">
        <v>39492240</v>
      </c>
      <c r="AL890" s="655">
        <v>25162769</v>
      </c>
      <c r="AM890" s="655">
        <v>14329471</v>
      </c>
    </row>
    <row r="891" spans="1:39" x14ac:dyDescent="0.2">
      <c r="A891" s="648">
        <v>2015</v>
      </c>
      <c r="B891" s="648">
        <v>13</v>
      </c>
      <c r="C891" s="657" t="s">
        <v>298</v>
      </c>
      <c r="D891" s="648">
        <v>5510</v>
      </c>
      <c r="E891" s="648" t="s">
        <v>1248</v>
      </c>
      <c r="F891" s="655">
        <v>4538958</v>
      </c>
      <c r="G891" s="655">
        <v>0</v>
      </c>
      <c r="H891" s="655">
        <v>174887</v>
      </c>
      <c r="I891" s="655">
        <v>417164</v>
      </c>
      <c r="J891" s="655">
        <v>392678</v>
      </c>
      <c r="K891" s="655">
        <v>42409</v>
      </c>
      <c r="L891" s="655">
        <v>39479</v>
      </c>
      <c r="M891" s="655">
        <v>0</v>
      </c>
      <c r="N891" s="655">
        <v>217895</v>
      </c>
      <c r="O891" s="655">
        <v>0</v>
      </c>
      <c r="P891" s="655">
        <v>37140</v>
      </c>
      <c r="Q891" s="655">
        <v>41076</v>
      </c>
      <c r="R891" s="655">
        <v>0</v>
      </c>
      <c r="S891" s="655">
        <v>22375</v>
      </c>
      <c r="T891" s="655">
        <v>2375</v>
      </c>
      <c r="U891" s="655">
        <v>147548</v>
      </c>
      <c r="V891" s="655">
        <v>0</v>
      </c>
      <c r="W891" s="655">
        <v>79666</v>
      </c>
      <c r="X891" s="655">
        <v>318313</v>
      </c>
      <c r="Y891" s="655">
        <v>0</v>
      </c>
      <c r="Z891" s="655">
        <v>0</v>
      </c>
      <c r="AA891" s="655">
        <v>0</v>
      </c>
      <c r="AB891" s="655">
        <v>0</v>
      </c>
      <c r="AC891" s="655">
        <v>-12242</v>
      </c>
      <c r="AD891" s="655">
        <v>33188</v>
      </c>
      <c r="AE891" s="655">
        <v>6426533</v>
      </c>
      <c r="AF891" s="655">
        <v>136869</v>
      </c>
      <c r="AG891" s="655">
        <v>381318</v>
      </c>
      <c r="AH891" s="655">
        <v>0</v>
      </c>
      <c r="AI891" s="655">
        <v>948952</v>
      </c>
      <c r="AJ891" s="655">
        <v>869727</v>
      </c>
      <c r="AK891" s="655">
        <v>8763399</v>
      </c>
      <c r="AL891" s="655">
        <v>7436095</v>
      </c>
      <c r="AM891" s="655">
        <v>1327304</v>
      </c>
    </row>
    <row r="892" spans="1:39" x14ac:dyDescent="0.2">
      <c r="A892" s="648">
        <v>2015</v>
      </c>
      <c r="B892" s="648">
        <v>5</v>
      </c>
      <c r="C892" s="657" t="s">
        <v>299</v>
      </c>
      <c r="D892" s="648">
        <v>4860</v>
      </c>
      <c r="E892" s="648" t="s">
        <v>1249</v>
      </c>
      <c r="F892" s="655">
        <v>2122424</v>
      </c>
      <c r="G892" s="655">
        <v>0</v>
      </c>
      <c r="H892" s="655">
        <v>150403</v>
      </c>
      <c r="I892" s="655">
        <v>118089</v>
      </c>
      <c r="J892" s="655">
        <v>194402</v>
      </c>
      <c r="K892" s="655">
        <v>23695</v>
      </c>
      <c r="L892" s="655">
        <v>17764</v>
      </c>
      <c r="M892" s="655">
        <v>0</v>
      </c>
      <c r="N892" s="655">
        <v>102006</v>
      </c>
      <c r="O892" s="655">
        <v>283</v>
      </c>
      <c r="P892" s="655">
        <v>17463</v>
      </c>
      <c r="Q892" s="655">
        <v>19617</v>
      </c>
      <c r="R892" s="655">
        <v>310</v>
      </c>
      <c r="S892" s="655">
        <v>10868</v>
      </c>
      <c r="T892" s="655">
        <v>1295</v>
      </c>
      <c r="U892" s="655">
        <v>75878</v>
      </c>
      <c r="V892" s="655">
        <v>0</v>
      </c>
      <c r="W892" s="655">
        <v>24484</v>
      </c>
      <c r="X892" s="655">
        <v>17502</v>
      </c>
      <c r="Y892" s="655">
        <v>0</v>
      </c>
      <c r="Z892" s="655">
        <v>0</v>
      </c>
      <c r="AA892" s="655">
        <v>0</v>
      </c>
      <c r="AB892" s="655">
        <v>0</v>
      </c>
      <c r="AC892" s="655">
        <v>-24484</v>
      </c>
      <c r="AD892" s="655">
        <v>20134</v>
      </c>
      <c r="AE892" s="655">
        <v>2851865</v>
      </c>
      <c r="AF892" s="655">
        <v>66843</v>
      </c>
      <c r="AG892" s="655">
        <v>175588</v>
      </c>
      <c r="AH892" s="655">
        <v>0</v>
      </c>
      <c r="AI892" s="655">
        <v>1445925</v>
      </c>
      <c r="AJ892" s="655">
        <v>1128464</v>
      </c>
      <c r="AK892" s="655">
        <v>5668685</v>
      </c>
      <c r="AL892" s="655">
        <v>4474128</v>
      </c>
      <c r="AM892" s="655">
        <v>1194557</v>
      </c>
    </row>
    <row r="893" spans="1:39" x14ac:dyDescent="0.2">
      <c r="A893" s="648">
        <v>2015</v>
      </c>
      <c r="B893" s="648">
        <v>1</v>
      </c>
      <c r="C893" s="657" t="s">
        <v>300</v>
      </c>
      <c r="D893" s="648">
        <v>4869</v>
      </c>
      <c r="E893" s="648" t="s">
        <v>1250</v>
      </c>
      <c r="F893" s="655">
        <v>8154830</v>
      </c>
      <c r="G893" s="655">
        <v>0</v>
      </c>
      <c r="H893" s="655">
        <v>214948</v>
      </c>
      <c r="I893" s="655">
        <v>1525058</v>
      </c>
      <c r="J893" s="655">
        <v>709013</v>
      </c>
      <c r="K893" s="655">
        <v>81485</v>
      </c>
      <c r="L893" s="655">
        <v>82465</v>
      </c>
      <c r="M893" s="655">
        <v>0</v>
      </c>
      <c r="N893" s="655">
        <v>444305</v>
      </c>
      <c r="O893" s="655">
        <v>1609</v>
      </c>
      <c r="P893" s="655">
        <v>71053</v>
      </c>
      <c r="Q893" s="655">
        <v>79303</v>
      </c>
      <c r="R893" s="655">
        <v>0</v>
      </c>
      <c r="S893" s="655">
        <v>43693</v>
      </c>
      <c r="T893" s="655">
        <v>4668</v>
      </c>
      <c r="U893" s="655">
        <v>289884</v>
      </c>
      <c r="V893" s="655">
        <v>0</v>
      </c>
      <c r="W893" s="655">
        <v>209509</v>
      </c>
      <c r="X893" s="655">
        <v>180383</v>
      </c>
      <c r="Y893" s="655">
        <v>0</v>
      </c>
      <c r="Z893" s="655">
        <v>0</v>
      </c>
      <c r="AA893" s="655">
        <v>0</v>
      </c>
      <c r="AB893" s="655">
        <v>0</v>
      </c>
      <c r="AC893" s="655">
        <v>34014</v>
      </c>
      <c r="AD893" s="655">
        <v>78419</v>
      </c>
      <c r="AE893" s="655">
        <v>12047801</v>
      </c>
      <c r="AF893" s="655">
        <v>171882</v>
      </c>
      <c r="AG893" s="655">
        <v>377952</v>
      </c>
      <c r="AH893" s="655">
        <v>0</v>
      </c>
      <c r="AI893" s="655">
        <v>2261956</v>
      </c>
      <c r="AJ893" s="655">
        <v>4745051</v>
      </c>
      <c r="AK893" s="655">
        <v>19604642</v>
      </c>
      <c r="AL893" s="655">
        <v>14540903</v>
      </c>
      <c r="AM893" s="655">
        <v>5063739</v>
      </c>
    </row>
    <row r="894" spans="1:39" x14ac:dyDescent="0.2">
      <c r="A894" s="648">
        <v>2015</v>
      </c>
      <c r="B894" s="648">
        <v>11</v>
      </c>
      <c r="C894" s="657" t="s">
        <v>301</v>
      </c>
      <c r="D894" s="648">
        <v>4878</v>
      </c>
      <c r="E894" s="648" t="s">
        <v>1251</v>
      </c>
      <c r="F894" s="655">
        <v>3934825</v>
      </c>
      <c r="G894" s="655">
        <v>0</v>
      </c>
      <c r="H894" s="655">
        <v>57854</v>
      </c>
      <c r="I894" s="655">
        <v>438172</v>
      </c>
      <c r="J894" s="655">
        <v>353386</v>
      </c>
      <c r="K894" s="655">
        <v>38316</v>
      </c>
      <c r="L894" s="655">
        <v>37494</v>
      </c>
      <c r="M894" s="655">
        <v>0</v>
      </c>
      <c r="N894" s="655">
        <v>186721</v>
      </c>
      <c r="O894" s="655">
        <v>8445</v>
      </c>
      <c r="P894" s="655">
        <v>32267</v>
      </c>
      <c r="Q894" s="655">
        <v>35416</v>
      </c>
      <c r="R894" s="655">
        <v>0</v>
      </c>
      <c r="S894" s="655">
        <v>15250</v>
      </c>
      <c r="T894" s="655">
        <v>1944</v>
      </c>
      <c r="U894" s="655">
        <v>111241</v>
      </c>
      <c r="V894" s="655">
        <v>0</v>
      </c>
      <c r="W894" s="655">
        <v>68776</v>
      </c>
      <c r="X894" s="655">
        <v>200570</v>
      </c>
      <c r="Y894" s="655">
        <v>0</v>
      </c>
      <c r="Z894" s="655">
        <v>0</v>
      </c>
      <c r="AA894" s="655">
        <v>0</v>
      </c>
      <c r="AB894" s="655">
        <v>0</v>
      </c>
      <c r="AC894" s="655">
        <v>0</v>
      </c>
      <c r="AD894" s="655">
        <v>31557</v>
      </c>
      <c r="AE894" s="655">
        <v>5489120</v>
      </c>
      <c r="AF894" s="655">
        <v>92307</v>
      </c>
      <c r="AG894" s="655">
        <v>312976</v>
      </c>
      <c r="AH894" s="655">
        <v>0</v>
      </c>
      <c r="AI894" s="655">
        <v>1280787</v>
      </c>
      <c r="AJ894" s="655">
        <v>239125</v>
      </c>
      <c r="AK894" s="655">
        <v>7414315</v>
      </c>
      <c r="AL894" s="655">
        <v>6988293</v>
      </c>
      <c r="AM894" s="655">
        <v>426022</v>
      </c>
    </row>
    <row r="895" spans="1:39" x14ac:dyDescent="0.2">
      <c r="A895" s="648">
        <v>2015</v>
      </c>
      <c r="B895" s="648">
        <v>5</v>
      </c>
      <c r="C895" s="657" t="s">
        <v>302</v>
      </c>
      <c r="D895" s="648">
        <v>4890</v>
      </c>
      <c r="E895" s="648" t="s">
        <v>1252</v>
      </c>
      <c r="F895" s="655">
        <v>5867048</v>
      </c>
      <c r="G895" s="655">
        <v>0</v>
      </c>
      <c r="H895" s="655">
        <v>70352</v>
      </c>
      <c r="I895" s="655">
        <v>746077</v>
      </c>
      <c r="J895" s="655">
        <v>514599</v>
      </c>
      <c r="K895" s="655">
        <v>58606</v>
      </c>
      <c r="L895" s="655">
        <v>56583</v>
      </c>
      <c r="M895" s="655">
        <v>0</v>
      </c>
      <c r="N895" s="655">
        <v>300420</v>
      </c>
      <c r="O895" s="655">
        <v>0</v>
      </c>
      <c r="P895" s="655">
        <v>48612</v>
      </c>
      <c r="Q895" s="655">
        <v>54610</v>
      </c>
      <c r="R895" s="655">
        <v>916</v>
      </c>
      <c r="S895" s="655">
        <v>32008</v>
      </c>
      <c r="T895" s="655">
        <v>3814</v>
      </c>
      <c r="U895" s="655">
        <v>215618</v>
      </c>
      <c r="V895" s="655">
        <v>0</v>
      </c>
      <c r="W895" s="655">
        <v>97321</v>
      </c>
      <c r="X895" s="655">
        <v>475459</v>
      </c>
      <c r="Y895" s="655">
        <v>0</v>
      </c>
      <c r="Z895" s="655">
        <v>0</v>
      </c>
      <c r="AA895" s="655">
        <v>0</v>
      </c>
      <c r="AB895" s="655">
        <v>0</v>
      </c>
      <c r="AC895" s="655">
        <v>0</v>
      </c>
      <c r="AD895" s="655">
        <v>46312</v>
      </c>
      <c r="AE895" s="655">
        <v>8495731</v>
      </c>
      <c r="AF895" s="655">
        <v>194163</v>
      </c>
      <c r="AG895" s="655">
        <v>549508</v>
      </c>
      <c r="AH895" s="655">
        <v>0</v>
      </c>
      <c r="AI895" s="655">
        <v>1316465</v>
      </c>
      <c r="AJ895" s="655">
        <v>1394736</v>
      </c>
      <c r="AK895" s="655">
        <v>11950603</v>
      </c>
      <c r="AL895" s="655">
        <v>10650857</v>
      </c>
      <c r="AM895" s="655">
        <v>1299746</v>
      </c>
    </row>
    <row r="896" spans="1:39" x14ac:dyDescent="0.2">
      <c r="A896" s="648">
        <v>2015</v>
      </c>
      <c r="B896" s="648">
        <v>10</v>
      </c>
      <c r="C896" s="657" t="s">
        <v>303</v>
      </c>
      <c r="D896" s="648">
        <v>4905</v>
      </c>
      <c r="E896" s="648" t="s">
        <v>1253</v>
      </c>
      <c r="F896" s="655">
        <v>1501381</v>
      </c>
      <c r="G896" s="655">
        <v>0</v>
      </c>
      <c r="H896" s="655">
        <v>77608</v>
      </c>
      <c r="I896" s="655">
        <v>242619</v>
      </c>
      <c r="J896" s="655">
        <v>160931</v>
      </c>
      <c r="K896" s="655">
        <v>16483</v>
      </c>
      <c r="L896" s="655">
        <v>15970</v>
      </c>
      <c r="M896" s="655">
        <v>0</v>
      </c>
      <c r="N896" s="655">
        <v>76268</v>
      </c>
      <c r="O896" s="655">
        <v>2053</v>
      </c>
      <c r="P896" s="655">
        <v>12239</v>
      </c>
      <c r="Q896" s="655">
        <v>13444</v>
      </c>
      <c r="R896" s="655">
        <v>0</v>
      </c>
      <c r="S896" s="655">
        <v>7101</v>
      </c>
      <c r="T896" s="655">
        <v>826</v>
      </c>
      <c r="U896" s="655">
        <v>39504</v>
      </c>
      <c r="V896" s="655">
        <v>0</v>
      </c>
      <c r="W896" s="655">
        <v>74018</v>
      </c>
      <c r="X896" s="655">
        <v>270353</v>
      </c>
      <c r="Y896" s="655">
        <v>0</v>
      </c>
      <c r="Z896" s="655">
        <v>0</v>
      </c>
      <c r="AA896" s="655">
        <v>0</v>
      </c>
      <c r="AB896" s="655">
        <v>0</v>
      </c>
      <c r="AC896" s="655">
        <v>0</v>
      </c>
      <c r="AD896" s="655">
        <v>14596</v>
      </c>
      <c r="AE896" s="655">
        <v>2496202</v>
      </c>
      <c r="AF896" s="655">
        <v>31830</v>
      </c>
      <c r="AG896" s="655">
        <v>118669</v>
      </c>
      <c r="AH896" s="655">
        <v>0</v>
      </c>
      <c r="AI896" s="655">
        <v>150691</v>
      </c>
      <c r="AJ896" s="655">
        <v>15049</v>
      </c>
      <c r="AK896" s="655">
        <v>2812441</v>
      </c>
      <c r="AL896" s="655">
        <v>2809584</v>
      </c>
      <c r="AM896" s="655">
        <v>2857</v>
      </c>
    </row>
    <row r="897" spans="1:39" x14ac:dyDescent="0.2">
      <c r="A897" s="648">
        <v>2015</v>
      </c>
      <c r="B897" s="648">
        <v>13</v>
      </c>
      <c r="C897" s="657" t="s">
        <v>304</v>
      </c>
      <c r="D897" s="648">
        <v>4978</v>
      </c>
      <c r="E897" s="648" t="s">
        <v>1254</v>
      </c>
      <c r="F897" s="655">
        <v>1267471</v>
      </c>
      <c r="G897" s="655">
        <v>0</v>
      </c>
      <c r="H897" s="655">
        <v>57638</v>
      </c>
      <c r="I897" s="655">
        <v>211860</v>
      </c>
      <c r="J897" s="655">
        <v>138675</v>
      </c>
      <c r="K897" s="655">
        <v>15410</v>
      </c>
      <c r="L897" s="655">
        <v>10254</v>
      </c>
      <c r="M897" s="655">
        <v>0</v>
      </c>
      <c r="N897" s="655">
        <v>65039</v>
      </c>
      <c r="O897" s="655">
        <v>7727</v>
      </c>
      <c r="P897" s="655">
        <v>10678</v>
      </c>
      <c r="Q897" s="655">
        <v>11810</v>
      </c>
      <c r="R897" s="655">
        <v>0</v>
      </c>
      <c r="S897" s="655">
        <v>6679</v>
      </c>
      <c r="T897" s="655">
        <v>709</v>
      </c>
      <c r="U897" s="655">
        <v>36087</v>
      </c>
      <c r="V897" s="655">
        <v>114435</v>
      </c>
      <c r="W897" s="655">
        <v>24949</v>
      </c>
      <c r="X897" s="655">
        <v>0</v>
      </c>
      <c r="Y897" s="655">
        <v>0</v>
      </c>
      <c r="Z897" s="655">
        <v>0</v>
      </c>
      <c r="AA897" s="655">
        <v>0</v>
      </c>
      <c r="AB897" s="655">
        <v>0</v>
      </c>
      <c r="AC897" s="655">
        <v>0</v>
      </c>
      <c r="AD897" s="655">
        <v>14187</v>
      </c>
      <c r="AE897" s="655">
        <v>1965234</v>
      </c>
      <c r="AF897" s="655">
        <v>0</v>
      </c>
      <c r="AG897" s="655">
        <v>111588</v>
      </c>
      <c r="AH897" s="655">
        <v>0</v>
      </c>
      <c r="AI897" s="655">
        <v>408905</v>
      </c>
      <c r="AJ897" s="655">
        <v>-23384</v>
      </c>
      <c r="AK897" s="655">
        <v>2462343</v>
      </c>
      <c r="AL897" s="655">
        <v>2645400</v>
      </c>
      <c r="AM897" s="655">
        <v>-183057</v>
      </c>
    </row>
    <row r="898" spans="1:39" x14ac:dyDescent="0.2">
      <c r="A898" s="648">
        <v>2015</v>
      </c>
      <c r="B898" s="648">
        <v>7</v>
      </c>
      <c r="C898" s="657" t="s">
        <v>305</v>
      </c>
      <c r="D898" s="648">
        <v>4995</v>
      </c>
      <c r="E898" s="648" t="s">
        <v>1255</v>
      </c>
      <c r="F898" s="655">
        <v>6025416</v>
      </c>
      <c r="G898" s="655">
        <v>0</v>
      </c>
      <c r="H898" s="655">
        <v>42244</v>
      </c>
      <c r="I898" s="655">
        <v>651613</v>
      </c>
      <c r="J898" s="655">
        <v>514998</v>
      </c>
      <c r="K898" s="655">
        <v>58547</v>
      </c>
      <c r="L898" s="655">
        <v>54438</v>
      </c>
      <c r="M898" s="655">
        <v>0</v>
      </c>
      <c r="N898" s="655">
        <v>294401</v>
      </c>
      <c r="O898" s="655">
        <v>0</v>
      </c>
      <c r="P898" s="655">
        <v>49247</v>
      </c>
      <c r="Q898" s="655">
        <v>55018</v>
      </c>
      <c r="R898" s="655">
        <v>0</v>
      </c>
      <c r="S898" s="655">
        <v>37580</v>
      </c>
      <c r="T898" s="655">
        <v>4314</v>
      </c>
      <c r="U898" s="655">
        <v>147475</v>
      </c>
      <c r="V898" s="655">
        <v>0</v>
      </c>
      <c r="W898" s="655">
        <v>44683</v>
      </c>
      <c r="X898" s="655">
        <v>97327</v>
      </c>
      <c r="Y898" s="655">
        <v>0</v>
      </c>
      <c r="Z898" s="655">
        <v>0</v>
      </c>
      <c r="AA898" s="655">
        <v>0</v>
      </c>
      <c r="AB898" s="655">
        <v>0</v>
      </c>
      <c r="AC898" s="655">
        <v>0</v>
      </c>
      <c r="AD898" s="655">
        <v>47573</v>
      </c>
      <c r="AE898" s="655">
        <v>8029728</v>
      </c>
      <c r="AF898" s="655">
        <v>127320</v>
      </c>
      <c r="AG898" s="655">
        <v>463415</v>
      </c>
      <c r="AH898" s="655">
        <v>0</v>
      </c>
      <c r="AI898" s="655">
        <v>778836</v>
      </c>
      <c r="AJ898" s="655">
        <v>1835267</v>
      </c>
      <c r="AK898" s="655">
        <v>11234566</v>
      </c>
      <c r="AL898" s="655">
        <v>9608715</v>
      </c>
      <c r="AM898" s="655">
        <v>1625851</v>
      </c>
    </row>
    <row r="899" spans="1:39" x14ac:dyDescent="0.2">
      <c r="A899" s="648">
        <v>2015</v>
      </c>
      <c r="B899" s="648">
        <v>15</v>
      </c>
      <c r="C899" s="657" t="s">
        <v>306</v>
      </c>
      <c r="D899" s="648">
        <v>5013</v>
      </c>
      <c r="E899" s="648" t="s">
        <v>1256</v>
      </c>
      <c r="F899" s="655">
        <v>15425455</v>
      </c>
      <c r="G899" s="655">
        <v>0</v>
      </c>
      <c r="H899" s="655">
        <v>297464</v>
      </c>
      <c r="I899" s="655">
        <v>1865684</v>
      </c>
      <c r="J899" s="655">
        <v>1298152</v>
      </c>
      <c r="K899" s="655">
        <v>152728</v>
      </c>
      <c r="L899" s="655">
        <v>170174</v>
      </c>
      <c r="M899" s="655">
        <v>0</v>
      </c>
      <c r="N899" s="655">
        <v>753031</v>
      </c>
      <c r="O899" s="655">
        <v>0</v>
      </c>
      <c r="P899" s="655">
        <v>134159</v>
      </c>
      <c r="Q899" s="655">
        <v>147353</v>
      </c>
      <c r="R899" s="655">
        <v>2035</v>
      </c>
      <c r="S899" s="655">
        <v>75374</v>
      </c>
      <c r="T899" s="655">
        <v>8149</v>
      </c>
      <c r="U899" s="655">
        <v>450114</v>
      </c>
      <c r="V899" s="655">
        <v>47053</v>
      </c>
      <c r="W899" s="655">
        <v>242927</v>
      </c>
      <c r="X899" s="655">
        <v>602693</v>
      </c>
      <c r="Y899" s="655">
        <v>0</v>
      </c>
      <c r="Z899" s="655">
        <v>0</v>
      </c>
      <c r="AA899" s="655">
        <v>0</v>
      </c>
      <c r="AB899" s="655">
        <v>0</v>
      </c>
      <c r="AC899" s="655">
        <v>-5509</v>
      </c>
      <c r="AD899" s="655">
        <v>115216</v>
      </c>
      <c r="AE899" s="655">
        <v>21551820</v>
      </c>
      <c r="AF899" s="655">
        <v>439254</v>
      </c>
      <c r="AG899" s="655">
        <v>962780</v>
      </c>
      <c r="AH899" s="655">
        <v>0</v>
      </c>
      <c r="AI899" s="655">
        <v>2384834</v>
      </c>
      <c r="AJ899" s="655">
        <v>3098542</v>
      </c>
      <c r="AK899" s="655">
        <v>28437230</v>
      </c>
      <c r="AL899" s="655">
        <v>25110791</v>
      </c>
      <c r="AM899" s="655">
        <v>3326439</v>
      </c>
    </row>
    <row r="900" spans="1:39" x14ac:dyDescent="0.2">
      <c r="A900" s="648">
        <v>2015</v>
      </c>
      <c r="B900" s="648">
        <v>15</v>
      </c>
      <c r="C900" s="657" t="s">
        <v>307</v>
      </c>
      <c r="D900" s="648">
        <v>5049</v>
      </c>
      <c r="E900" s="648" t="s">
        <v>1257</v>
      </c>
      <c r="F900" s="655">
        <v>29139728</v>
      </c>
      <c r="G900" s="655">
        <v>0</v>
      </c>
      <c r="H900" s="655">
        <v>670022</v>
      </c>
      <c r="I900" s="655">
        <v>3188029</v>
      </c>
      <c r="J900" s="655">
        <v>2419110</v>
      </c>
      <c r="K900" s="655">
        <v>274278</v>
      </c>
      <c r="L900" s="655">
        <v>351315</v>
      </c>
      <c r="M900" s="655">
        <v>0</v>
      </c>
      <c r="N900" s="655">
        <v>1407877</v>
      </c>
      <c r="O900" s="655">
        <v>0</v>
      </c>
      <c r="P900" s="655">
        <v>241558</v>
      </c>
      <c r="Q900" s="655">
        <v>265315</v>
      </c>
      <c r="R900" s="655">
        <v>3804</v>
      </c>
      <c r="S900" s="655">
        <v>140920</v>
      </c>
      <c r="T900" s="655">
        <v>15235</v>
      </c>
      <c r="U900" s="655">
        <v>0</v>
      </c>
      <c r="V900" s="655">
        <v>0</v>
      </c>
      <c r="W900" s="655">
        <v>560238</v>
      </c>
      <c r="X900" s="655">
        <v>497932</v>
      </c>
      <c r="Y900" s="655">
        <v>0</v>
      </c>
      <c r="Z900" s="655">
        <v>0</v>
      </c>
      <c r="AA900" s="655">
        <v>0</v>
      </c>
      <c r="AB900" s="655">
        <v>0</v>
      </c>
      <c r="AC900" s="655">
        <v>0</v>
      </c>
      <c r="AD900" s="655">
        <v>217386</v>
      </c>
      <c r="AE900" s="655">
        <v>38957975</v>
      </c>
      <c r="AF900" s="655">
        <v>712870</v>
      </c>
      <c r="AG900" s="655">
        <v>1644064</v>
      </c>
      <c r="AH900" s="655">
        <v>0</v>
      </c>
      <c r="AI900" s="655">
        <v>6012607</v>
      </c>
      <c r="AJ900" s="655">
        <v>17957131</v>
      </c>
      <c r="AK900" s="655">
        <v>65284647</v>
      </c>
      <c r="AL900" s="655">
        <v>45870442</v>
      </c>
      <c r="AM900" s="655">
        <v>19414205</v>
      </c>
    </row>
    <row r="901" spans="1:39" x14ac:dyDescent="0.2">
      <c r="A901" s="648">
        <v>2015</v>
      </c>
      <c r="B901" s="648">
        <v>11</v>
      </c>
      <c r="C901" s="657" t="s">
        <v>308</v>
      </c>
      <c r="D901" s="648">
        <v>5121</v>
      </c>
      <c r="E901" s="648" t="s">
        <v>1258</v>
      </c>
      <c r="F901" s="655">
        <v>4628719</v>
      </c>
      <c r="G901" s="655">
        <v>2993</v>
      </c>
      <c r="H901" s="655">
        <v>48827</v>
      </c>
      <c r="I901" s="655">
        <v>435052</v>
      </c>
      <c r="J901" s="655">
        <v>389282</v>
      </c>
      <c r="K901" s="655">
        <v>38151</v>
      </c>
      <c r="L901" s="655">
        <v>40267</v>
      </c>
      <c r="M901" s="655">
        <v>0</v>
      </c>
      <c r="N901" s="655">
        <v>216217</v>
      </c>
      <c r="O901" s="655">
        <v>2690</v>
      </c>
      <c r="P901" s="655">
        <v>37931</v>
      </c>
      <c r="Q901" s="655">
        <v>41632</v>
      </c>
      <c r="R901" s="655">
        <v>0</v>
      </c>
      <c r="S901" s="655">
        <v>17659</v>
      </c>
      <c r="T901" s="655">
        <v>2251</v>
      </c>
      <c r="U901" s="655">
        <v>199870</v>
      </c>
      <c r="V901" s="655">
        <v>0</v>
      </c>
      <c r="W901" s="655">
        <v>89367</v>
      </c>
      <c r="X901" s="655">
        <v>224225</v>
      </c>
      <c r="Y901" s="655">
        <v>0</v>
      </c>
      <c r="Z901" s="655">
        <v>0</v>
      </c>
      <c r="AA901" s="655">
        <v>0</v>
      </c>
      <c r="AB901" s="655">
        <v>0</v>
      </c>
      <c r="AC901" s="655">
        <v>0</v>
      </c>
      <c r="AD901" s="655">
        <v>32669</v>
      </c>
      <c r="AE901" s="655">
        <v>6382464</v>
      </c>
      <c r="AF901" s="655">
        <v>111405</v>
      </c>
      <c r="AG901" s="655">
        <v>387396</v>
      </c>
      <c r="AH901" s="655">
        <v>0</v>
      </c>
      <c r="AI901" s="655">
        <v>1008230</v>
      </c>
      <c r="AJ901" s="655">
        <v>1764697</v>
      </c>
      <c r="AK901" s="655">
        <v>9654192</v>
      </c>
      <c r="AL901" s="655">
        <v>7892216</v>
      </c>
      <c r="AM901" s="655">
        <v>1761976</v>
      </c>
    </row>
    <row r="902" spans="1:39" x14ac:dyDescent="0.2">
      <c r="A902" s="648">
        <v>2015</v>
      </c>
      <c r="B902" s="648">
        <v>5</v>
      </c>
      <c r="C902" s="657" t="s">
        <v>309</v>
      </c>
      <c r="D902" s="648">
        <v>5139</v>
      </c>
      <c r="E902" s="648" t="s">
        <v>1259</v>
      </c>
      <c r="F902" s="655">
        <v>1254336</v>
      </c>
      <c r="G902" s="655">
        <v>0</v>
      </c>
      <c r="H902" s="655">
        <v>200713</v>
      </c>
      <c r="I902" s="655">
        <v>111257</v>
      </c>
      <c r="J902" s="655">
        <v>108829</v>
      </c>
      <c r="K902" s="655">
        <v>9531</v>
      </c>
      <c r="L902" s="655">
        <v>13058</v>
      </c>
      <c r="M902" s="655">
        <v>0</v>
      </c>
      <c r="N902" s="655">
        <v>60583</v>
      </c>
      <c r="O902" s="655">
        <v>0</v>
      </c>
      <c r="P902" s="655">
        <v>10068</v>
      </c>
      <c r="Q902" s="655">
        <v>11311</v>
      </c>
      <c r="R902" s="655">
        <v>185</v>
      </c>
      <c r="S902" s="655">
        <v>6455</v>
      </c>
      <c r="T902" s="655">
        <v>769</v>
      </c>
      <c r="U902" s="655">
        <v>45274</v>
      </c>
      <c r="V902" s="655">
        <v>0</v>
      </c>
      <c r="W902" s="655">
        <v>79703</v>
      </c>
      <c r="X902" s="655">
        <v>81182</v>
      </c>
      <c r="Y902" s="655">
        <v>0</v>
      </c>
      <c r="Z902" s="655">
        <v>0</v>
      </c>
      <c r="AA902" s="655">
        <v>0</v>
      </c>
      <c r="AB902" s="655">
        <v>0</v>
      </c>
      <c r="AC902" s="655">
        <v>0</v>
      </c>
      <c r="AD902" s="655">
        <v>10377</v>
      </c>
      <c r="AE902" s="655">
        <v>1982877</v>
      </c>
      <c r="AF902" s="655">
        <v>54111</v>
      </c>
      <c r="AG902" s="655">
        <v>108638</v>
      </c>
      <c r="AH902" s="655">
        <v>0</v>
      </c>
      <c r="AI902" s="655">
        <v>627473</v>
      </c>
      <c r="AJ902" s="655">
        <v>442574</v>
      </c>
      <c r="AK902" s="655">
        <v>3215673</v>
      </c>
      <c r="AL902" s="655">
        <v>2487444</v>
      </c>
      <c r="AM902" s="655">
        <v>728229</v>
      </c>
    </row>
    <row r="903" spans="1:39" x14ac:dyDescent="0.2">
      <c r="A903" s="648">
        <v>2015</v>
      </c>
      <c r="B903" s="648">
        <v>12</v>
      </c>
      <c r="C903" s="657" t="s">
        <v>310</v>
      </c>
      <c r="D903" s="648">
        <v>6099</v>
      </c>
      <c r="E903" s="648" t="s">
        <v>646</v>
      </c>
      <c r="F903" s="655">
        <v>4307149</v>
      </c>
      <c r="G903" s="655">
        <v>0</v>
      </c>
      <c r="H903" s="655">
        <v>44497</v>
      </c>
      <c r="I903" s="655">
        <v>680542</v>
      </c>
      <c r="J903" s="655">
        <v>379719</v>
      </c>
      <c r="K903" s="655">
        <v>44762</v>
      </c>
      <c r="L903" s="655">
        <v>37589</v>
      </c>
      <c r="M903" s="655">
        <v>0</v>
      </c>
      <c r="N903" s="655">
        <v>222585</v>
      </c>
      <c r="O903" s="655">
        <v>0</v>
      </c>
      <c r="P903" s="655">
        <v>39801</v>
      </c>
      <c r="Q903" s="655">
        <v>44696</v>
      </c>
      <c r="R903" s="655">
        <v>0</v>
      </c>
      <c r="S903" s="655">
        <v>22347</v>
      </c>
      <c r="T903" s="655">
        <v>2673</v>
      </c>
      <c r="U903" s="655">
        <v>215357</v>
      </c>
      <c r="V903" s="655">
        <v>0</v>
      </c>
      <c r="W903" s="655">
        <v>47084</v>
      </c>
      <c r="X903" s="655">
        <v>180796</v>
      </c>
      <c r="Y903" s="655">
        <v>0</v>
      </c>
      <c r="Z903" s="655">
        <v>0</v>
      </c>
      <c r="AA903" s="655">
        <v>0</v>
      </c>
      <c r="AB903" s="655">
        <v>0</v>
      </c>
      <c r="AC903" s="655">
        <v>0</v>
      </c>
      <c r="AD903" s="655">
        <v>39658</v>
      </c>
      <c r="AE903" s="655">
        <v>6229939</v>
      </c>
      <c r="AF903" s="655">
        <v>101856</v>
      </c>
      <c r="AG903" s="655">
        <v>362188</v>
      </c>
      <c r="AH903" s="655">
        <v>0</v>
      </c>
      <c r="AI903" s="655">
        <v>477738</v>
      </c>
      <c r="AJ903" s="655">
        <v>1142494</v>
      </c>
      <c r="AK903" s="655">
        <v>8314215</v>
      </c>
      <c r="AL903" s="655">
        <v>7274953</v>
      </c>
      <c r="AM903" s="655">
        <v>1039262</v>
      </c>
    </row>
    <row r="904" spans="1:39" x14ac:dyDescent="0.2">
      <c r="A904" s="648">
        <v>2015</v>
      </c>
      <c r="B904" s="648">
        <v>15</v>
      </c>
      <c r="C904" s="657" t="s">
        <v>311</v>
      </c>
      <c r="D904" s="648">
        <v>5163</v>
      </c>
      <c r="E904" s="648" t="s">
        <v>1260</v>
      </c>
      <c r="F904" s="655">
        <v>3972384</v>
      </c>
      <c r="G904" s="655">
        <v>0</v>
      </c>
      <c r="H904" s="655">
        <v>68587</v>
      </c>
      <c r="I904" s="655">
        <v>415572</v>
      </c>
      <c r="J904" s="655">
        <v>340997</v>
      </c>
      <c r="K904" s="655">
        <v>38307</v>
      </c>
      <c r="L904" s="655">
        <v>39374</v>
      </c>
      <c r="M904" s="655">
        <v>0</v>
      </c>
      <c r="N904" s="655">
        <v>191096</v>
      </c>
      <c r="O904" s="655">
        <v>9465</v>
      </c>
      <c r="P904" s="655">
        <v>32485</v>
      </c>
      <c r="Q904" s="655">
        <v>35680</v>
      </c>
      <c r="R904" s="655">
        <v>516</v>
      </c>
      <c r="S904" s="655">
        <v>19128</v>
      </c>
      <c r="T904" s="655">
        <v>2068</v>
      </c>
      <c r="U904" s="655">
        <v>0</v>
      </c>
      <c r="V904" s="655">
        <v>0</v>
      </c>
      <c r="W904" s="655">
        <v>82121</v>
      </c>
      <c r="X904" s="655">
        <v>77331</v>
      </c>
      <c r="Y904" s="655">
        <v>0</v>
      </c>
      <c r="Z904" s="655">
        <v>0</v>
      </c>
      <c r="AA904" s="655">
        <v>0</v>
      </c>
      <c r="AB904" s="655">
        <v>0</v>
      </c>
      <c r="AC904" s="655">
        <v>-428</v>
      </c>
      <c r="AD904" s="655">
        <v>33180</v>
      </c>
      <c r="AE904" s="655">
        <v>5291503</v>
      </c>
      <c r="AF904" s="655">
        <v>127320</v>
      </c>
      <c r="AG904" s="655">
        <v>316241</v>
      </c>
      <c r="AH904" s="655">
        <v>0</v>
      </c>
      <c r="AI904" s="655">
        <v>784067</v>
      </c>
      <c r="AJ904" s="655">
        <v>755308</v>
      </c>
      <c r="AK904" s="655">
        <v>7274439</v>
      </c>
      <c r="AL904" s="655">
        <v>6772274</v>
      </c>
      <c r="AM904" s="655">
        <v>502165</v>
      </c>
    </row>
    <row r="905" spans="1:39" x14ac:dyDescent="0.2">
      <c r="A905" s="648">
        <v>2015</v>
      </c>
      <c r="B905" s="648">
        <v>11</v>
      </c>
      <c r="C905" s="657" t="s">
        <v>312</v>
      </c>
      <c r="D905" s="648">
        <v>5166</v>
      </c>
      <c r="E905" s="648" t="s">
        <v>1261</v>
      </c>
      <c r="F905" s="655">
        <v>13571675</v>
      </c>
      <c r="G905" s="655">
        <v>0</v>
      </c>
      <c r="H905" s="655">
        <v>285623</v>
      </c>
      <c r="I905" s="655">
        <v>1226919</v>
      </c>
      <c r="J905" s="655">
        <v>1108780</v>
      </c>
      <c r="K905" s="655">
        <v>118768</v>
      </c>
      <c r="L905" s="655">
        <v>127743</v>
      </c>
      <c r="M905" s="655">
        <v>0</v>
      </c>
      <c r="N905" s="655">
        <v>631881</v>
      </c>
      <c r="O905" s="655">
        <v>0</v>
      </c>
      <c r="P905" s="655">
        <v>139149</v>
      </c>
      <c r="Q905" s="655">
        <v>152726</v>
      </c>
      <c r="R905" s="655">
        <v>0</v>
      </c>
      <c r="S905" s="655">
        <v>51607</v>
      </c>
      <c r="T905" s="655">
        <v>6579</v>
      </c>
      <c r="U905" s="655">
        <v>339578</v>
      </c>
      <c r="V905" s="655">
        <v>0</v>
      </c>
      <c r="W905" s="655">
        <v>53885</v>
      </c>
      <c r="X905" s="655">
        <v>609642</v>
      </c>
      <c r="Y905" s="655">
        <v>0</v>
      </c>
      <c r="Z905" s="655">
        <v>0</v>
      </c>
      <c r="AA905" s="655">
        <v>0</v>
      </c>
      <c r="AB905" s="655">
        <v>0</v>
      </c>
      <c r="AC905" s="655">
        <v>-15058</v>
      </c>
      <c r="AD905" s="655">
        <v>94924</v>
      </c>
      <c r="AE905" s="655">
        <v>18314573</v>
      </c>
      <c r="AF905" s="655">
        <v>372411</v>
      </c>
      <c r="AG905" s="655">
        <v>851541</v>
      </c>
      <c r="AH905" s="655">
        <v>0</v>
      </c>
      <c r="AI905" s="655">
        <v>2940124</v>
      </c>
      <c r="AJ905" s="655">
        <v>5684518</v>
      </c>
      <c r="AK905" s="655">
        <v>28163167</v>
      </c>
      <c r="AL905" s="655">
        <v>22701558</v>
      </c>
      <c r="AM905" s="655">
        <v>5461609</v>
      </c>
    </row>
    <row r="906" spans="1:39" x14ac:dyDescent="0.2">
      <c r="A906" s="648">
        <v>2015</v>
      </c>
      <c r="B906" s="648">
        <v>11</v>
      </c>
      <c r="C906" s="657" t="s">
        <v>313</v>
      </c>
      <c r="D906" s="648">
        <v>5184</v>
      </c>
      <c r="E906" s="648" t="s">
        <v>1262</v>
      </c>
      <c r="F906" s="655">
        <v>11691722</v>
      </c>
      <c r="G906" s="655">
        <v>0</v>
      </c>
      <c r="H906" s="655">
        <v>603101</v>
      </c>
      <c r="I906" s="655">
        <v>1332358</v>
      </c>
      <c r="J906" s="655">
        <v>1029338</v>
      </c>
      <c r="K906" s="655">
        <v>111720</v>
      </c>
      <c r="L906" s="655">
        <v>153974</v>
      </c>
      <c r="M906" s="655">
        <v>0</v>
      </c>
      <c r="N906" s="655">
        <v>556024</v>
      </c>
      <c r="O906" s="655">
        <v>0</v>
      </c>
      <c r="P906" s="655">
        <v>101426</v>
      </c>
      <c r="Q906" s="655">
        <v>111323</v>
      </c>
      <c r="R906" s="655">
        <v>0</v>
      </c>
      <c r="S906" s="655">
        <v>45411</v>
      </c>
      <c r="T906" s="655">
        <v>5789</v>
      </c>
      <c r="U906" s="655">
        <v>338621</v>
      </c>
      <c r="V906" s="655">
        <v>0</v>
      </c>
      <c r="W906" s="655">
        <v>265708</v>
      </c>
      <c r="X906" s="655">
        <v>1392428</v>
      </c>
      <c r="Y906" s="655">
        <v>0</v>
      </c>
      <c r="Z906" s="655">
        <v>0</v>
      </c>
      <c r="AA906" s="655">
        <v>0</v>
      </c>
      <c r="AB906" s="655">
        <v>0</v>
      </c>
      <c r="AC906" s="655">
        <v>-6122</v>
      </c>
      <c r="AD906" s="655">
        <v>80425</v>
      </c>
      <c r="AE906" s="655">
        <v>17652396</v>
      </c>
      <c r="AF906" s="655">
        <v>318300</v>
      </c>
      <c r="AG906" s="655">
        <v>643629</v>
      </c>
      <c r="AH906" s="655">
        <v>0</v>
      </c>
      <c r="AI906" s="655">
        <v>1859902</v>
      </c>
      <c r="AJ906" s="655">
        <v>7447583</v>
      </c>
      <c r="AK906" s="655">
        <v>27921810</v>
      </c>
      <c r="AL906" s="655">
        <v>20378562</v>
      </c>
      <c r="AM906" s="655">
        <v>7543248</v>
      </c>
    </row>
    <row r="907" spans="1:39" x14ac:dyDescent="0.2">
      <c r="A907" s="648">
        <v>2015</v>
      </c>
      <c r="B907" s="648">
        <v>9</v>
      </c>
      <c r="C907" s="657" t="s">
        <v>314</v>
      </c>
      <c r="D907" s="648">
        <v>5250</v>
      </c>
      <c r="E907" s="648" t="s">
        <v>1263</v>
      </c>
      <c r="F907" s="655">
        <v>27871611</v>
      </c>
      <c r="G907" s="655">
        <v>0</v>
      </c>
      <c r="H907" s="655">
        <v>141659</v>
      </c>
      <c r="I907" s="655">
        <v>1702543</v>
      </c>
      <c r="J907" s="655">
        <v>2183283</v>
      </c>
      <c r="K907" s="655">
        <v>252213</v>
      </c>
      <c r="L907" s="655">
        <v>226824</v>
      </c>
      <c r="M907" s="655">
        <v>0</v>
      </c>
      <c r="N907" s="655">
        <v>1277982</v>
      </c>
      <c r="O907" s="655">
        <v>0</v>
      </c>
      <c r="P907" s="655">
        <v>226959</v>
      </c>
      <c r="Q907" s="655">
        <v>247556</v>
      </c>
      <c r="R907" s="655">
        <v>0</v>
      </c>
      <c r="S907" s="655">
        <v>114765</v>
      </c>
      <c r="T907" s="655">
        <v>13470</v>
      </c>
      <c r="U907" s="655">
        <v>724662</v>
      </c>
      <c r="V907" s="655">
        <v>112614</v>
      </c>
      <c r="W907" s="655">
        <v>639372</v>
      </c>
      <c r="X907" s="655">
        <v>565235</v>
      </c>
      <c r="Y907" s="655">
        <v>0</v>
      </c>
      <c r="Z907" s="655">
        <v>0</v>
      </c>
      <c r="AA907" s="655">
        <v>0</v>
      </c>
      <c r="AB907" s="655">
        <v>0</v>
      </c>
      <c r="AC907" s="655">
        <v>-6134</v>
      </c>
      <c r="AD907" s="655">
        <v>135851</v>
      </c>
      <c r="AE907" s="655">
        <v>36158763</v>
      </c>
      <c r="AF907" s="655">
        <v>391509</v>
      </c>
      <c r="AG907" s="655">
        <v>1674304</v>
      </c>
      <c r="AH907" s="655">
        <v>0</v>
      </c>
      <c r="AI907" s="655">
        <v>3626852</v>
      </c>
      <c r="AJ907" s="655">
        <v>8395741</v>
      </c>
      <c r="AK907" s="655">
        <v>50247169</v>
      </c>
      <c r="AL907" s="655">
        <v>41559210</v>
      </c>
      <c r="AM907" s="655">
        <v>8687959</v>
      </c>
    </row>
    <row r="908" spans="1:39" x14ac:dyDescent="0.2">
      <c r="A908" s="648">
        <v>2015</v>
      </c>
      <c r="B908" s="648">
        <v>11</v>
      </c>
      <c r="C908" s="657" t="s">
        <v>315</v>
      </c>
      <c r="D908" s="648">
        <v>5256</v>
      </c>
      <c r="E908" s="648" t="s">
        <v>1264</v>
      </c>
      <c r="F908" s="655">
        <v>4082516</v>
      </c>
      <c r="G908" s="655">
        <v>0</v>
      </c>
      <c r="H908" s="655">
        <v>37827</v>
      </c>
      <c r="I908" s="655">
        <v>495784</v>
      </c>
      <c r="J908" s="655">
        <v>351355</v>
      </c>
      <c r="K908" s="655">
        <v>36791</v>
      </c>
      <c r="L908" s="655">
        <v>46584</v>
      </c>
      <c r="M908" s="655">
        <v>0</v>
      </c>
      <c r="N908" s="655">
        <v>195488</v>
      </c>
      <c r="O908" s="655">
        <v>0</v>
      </c>
      <c r="P908" s="655">
        <v>33410</v>
      </c>
      <c r="Q908" s="655">
        <v>36670</v>
      </c>
      <c r="R908" s="655">
        <v>0</v>
      </c>
      <c r="S908" s="655">
        <v>15966</v>
      </c>
      <c r="T908" s="655">
        <v>2035</v>
      </c>
      <c r="U908" s="655">
        <v>78691</v>
      </c>
      <c r="V908" s="655">
        <v>0</v>
      </c>
      <c r="W908" s="655">
        <v>185251</v>
      </c>
      <c r="X908" s="655">
        <v>313979</v>
      </c>
      <c r="Y908" s="655">
        <v>0</v>
      </c>
      <c r="Z908" s="655">
        <v>0</v>
      </c>
      <c r="AA908" s="655">
        <v>0</v>
      </c>
      <c r="AB908" s="655">
        <v>0</v>
      </c>
      <c r="AC908" s="655">
        <v>-6121</v>
      </c>
      <c r="AD908" s="655">
        <v>30464</v>
      </c>
      <c r="AE908" s="655">
        <v>5875762</v>
      </c>
      <c r="AF908" s="655">
        <v>133686</v>
      </c>
      <c r="AG908" s="655">
        <v>280265</v>
      </c>
      <c r="AH908" s="655">
        <v>0</v>
      </c>
      <c r="AI908" s="655">
        <v>929353</v>
      </c>
      <c r="AJ908" s="655">
        <v>1044223</v>
      </c>
      <c r="AK908" s="655">
        <v>8263289</v>
      </c>
      <c r="AL908" s="655">
        <v>7355824</v>
      </c>
      <c r="AM908" s="655">
        <v>907465</v>
      </c>
    </row>
    <row r="909" spans="1:39" x14ac:dyDescent="0.2">
      <c r="A909" s="648">
        <v>2015</v>
      </c>
      <c r="B909" s="648">
        <v>5</v>
      </c>
      <c r="C909" s="657" t="s">
        <v>316</v>
      </c>
      <c r="D909" s="648">
        <v>5283</v>
      </c>
      <c r="E909" s="648" t="s">
        <v>647</v>
      </c>
      <c r="F909" s="655">
        <v>4578004</v>
      </c>
      <c r="G909" s="655">
        <v>0</v>
      </c>
      <c r="H909" s="655">
        <v>160809</v>
      </c>
      <c r="I909" s="655">
        <v>504348</v>
      </c>
      <c r="J909" s="655">
        <v>458357</v>
      </c>
      <c r="K909" s="655">
        <v>57646</v>
      </c>
      <c r="L909" s="655">
        <v>41428</v>
      </c>
      <c r="M909" s="655">
        <v>0</v>
      </c>
      <c r="N909" s="655">
        <v>226583</v>
      </c>
      <c r="O909" s="655">
        <v>39464</v>
      </c>
      <c r="P909" s="655">
        <v>40693</v>
      </c>
      <c r="Q909" s="655">
        <v>45714</v>
      </c>
      <c r="R909" s="655">
        <v>693</v>
      </c>
      <c r="S909" s="655">
        <v>24141</v>
      </c>
      <c r="T909" s="655">
        <v>2877</v>
      </c>
      <c r="U909" s="655">
        <v>173964</v>
      </c>
      <c r="V909" s="655">
        <v>0</v>
      </c>
      <c r="W909" s="655">
        <v>73452</v>
      </c>
      <c r="X909" s="655">
        <v>145260</v>
      </c>
      <c r="Y909" s="655">
        <v>0</v>
      </c>
      <c r="Z909" s="655">
        <v>0</v>
      </c>
      <c r="AA909" s="655">
        <v>0</v>
      </c>
      <c r="AB909" s="655">
        <v>0</v>
      </c>
      <c r="AC909" s="655">
        <v>0</v>
      </c>
      <c r="AD909" s="655">
        <v>52222</v>
      </c>
      <c r="AE909" s="655">
        <v>6521211</v>
      </c>
      <c r="AF909" s="655">
        <v>127320</v>
      </c>
      <c r="AG909" s="655">
        <v>407488</v>
      </c>
      <c r="AH909" s="655">
        <v>0</v>
      </c>
      <c r="AI909" s="655">
        <v>1029867</v>
      </c>
      <c r="AJ909" s="655">
        <v>2935954</v>
      </c>
      <c r="AK909" s="655">
        <v>11021840</v>
      </c>
      <c r="AL909" s="655">
        <v>8166397</v>
      </c>
      <c r="AM909" s="655">
        <v>2855443</v>
      </c>
    </row>
    <row r="910" spans="1:39" x14ac:dyDescent="0.2">
      <c r="A910" s="648">
        <v>2015</v>
      </c>
      <c r="B910" s="648">
        <v>1</v>
      </c>
      <c r="C910" s="657" t="s">
        <v>317</v>
      </c>
      <c r="D910" s="648">
        <v>5310</v>
      </c>
      <c r="E910" s="648" t="s">
        <v>1265</v>
      </c>
      <c r="F910" s="655">
        <v>4205675</v>
      </c>
      <c r="G910" s="655">
        <v>0</v>
      </c>
      <c r="H910" s="655">
        <v>316124</v>
      </c>
      <c r="I910" s="655">
        <v>486845</v>
      </c>
      <c r="J910" s="655">
        <v>374212</v>
      </c>
      <c r="K910" s="655">
        <v>36545</v>
      </c>
      <c r="L910" s="655">
        <v>57985</v>
      </c>
      <c r="M910" s="655">
        <v>0</v>
      </c>
      <c r="N910" s="655">
        <v>216331</v>
      </c>
      <c r="O910" s="655">
        <v>0</v>
      </c>
      <c r="P910" s="655">
        <v>35081</v>
      </c>
      <c r="Q910" s="655">
        <v>39155</v>
      </c>
      <c r="R910" s="655">
        <v>0</v>
      </c>
      <c r="S910" s="655">
        <v>21274</v>
      </c>
      <c r="T910" s="655">
        <v>2273</v>
      </c>
      <c r="U910" s="655">
        <v>0</v>
      </c>
      <c r="V910" s="655">
        <v>0</v>
      </c>
      <c r="W910" s="655">
        <v>54343</v>
      </c>
      <c r="X910" s="655">
        <v>0</v>
      </c>
      <c r="Y910" s="655">
        <v>0</v>
      </c>
      <c r="Z910" s="655">
        <v>0</v>
      </c>
      <c r="AA910" s="655">
        <v>0</v>
      </c>
      <c r="AB910" s="655">
        <v>0</v>
      </c>
      <c r="AC910" s="655">
        <v>0</v>
      </c>
      <c r="AD910" s="655">
        <v>30686</v>
      </c>
      <c r="AE910" s="655">
        <v>5815157</v>
      </c>
      <c r="AF910" s="655">
        <v>63660</v>
      </c>
      <c r="AG910" s="655">
        <v>290655</v>
      </c>
      <c r="AH910" s="655">
        <v>0</v>
      </c>
      <c r="AI910" s="655">
        <v>1238570</v>
      </c>
      <c r="AJ910" s="655">
        <v>2833271</v>
      </c>
      <c r="AK910" s="655">
        <v>10241313</v>
      </c>
      <c r="AL910" s="655">
        <v>6975828</v>
      </c>
      <c r="AM910" s="655">
        <v>3265485</v>
      </c>
    </row>
    <row r="911" spans="1:39" x14ac:dyDescent="0.2">
      <c r="A911" s="648">
        <v>2015</v>
      </c>
      <c r="B911" s="648">
        <v>11</v>
      </c>
      <c r="C911" s="657" t="s">
        <v>318</v>
      </c>
      <c r="D911" s="648">
        <v>5160</v>
      </c>
      <c r="E911" s="648" t="s">
        <v>648</v>
      </c>
      <c r="F911" s="655">
        <v>6806527</v>
      </c>
      <c r="G911" s="655">
        <v>0</v>
      </c>
      <c r="H911" s="655">
        <v>58173</v>
      </c>
      <c r="I911" s="655">
        <v>733872</v>
      </c>
      <c r="J911" s="655">
        <v>571188</v>
      </c>
      <c r="K911" s="655">
        <v>61254</v>
      </c>
      <c r="L911" s="655">
        <v>62527</v>
      </c>
      <c r="M911" s="655">
        <v>0</v>
      </c>
      <c r="N911" s="655">
        <v>321965</v>
      </c>
      <c r="O911" s="655">
        <v>0</v>
      </c>
      <c r="P911" s="655">
        <v>56948</v>
      </c>
      <c r="Q911" s="655">
        <v>62505</v>
      </c>
      <c r="R911" s="655">
        <v>0</v>
      </c>
      <c r="S911" s="655">
        <v>26295</v>
      </c>
      <c r="T911" s="655">
        <v>3352</v>
      </c>
      <c r="U911" s="655">
        <v>88925</v>
      </c>
      <c r="V911" s="655">
        <v>0</v>
      </c>
      <c r="W911" s="655">
        <v>30605</v>
      </c>
      <c r="X911" s="655">
        <v>181590</v>
      </c>
      <c r="Y911" s="655">
        <v>0</v>
      </c>
      <c r="Z911" s="655">
        <v>0</v>
      </c>
      <c r="AA911" s="655">
        <v>0</v>
      </c>
      <c r="AB911" s="655">
        <v>0</v>
      </c>
      <c r="AC911" s="655">
        <v>11630</v>
      </c>
      <c r="AD911" s="655">
        <v>44572</v>
      </c>
      <c r="AE911" s="655">
        <v>9032784</v>
      </c>
      <c r="AF911" s="655">
        <v>219749</v>
      </c>
      <c r="AG911" s="655">
        <v>461415</v>
      </c>
      <c r="AH911" s="655">
        <v>0</v>
      </c>
      <c r="AI911" s="655">
        <v>1194863</v>
      </c>
      <c r="AJ911" s="655">
        <v>3028700</v>
      </c>
      <c r="AK911" s="655">
        <v>13937511</v>
      </c>
      <c r="AL911" s="655">
        <v>11032877</v>
      </c>
      <c r="AM911" s="655">
        <v>2904634</v>
      </c>
    </row>
    <row r="912" spans="1:39" x14ac:dyDescent="0.2">
      <c r="A912" s="648">
        <v>2015</v>
      </c>
      <c r="B912" s="648">
        <v>5</v>
      </c>
      <c r="C912" s="657" t="s">
        <v>319</v>
      </c>
      <c r="D912" s="648">
        <v>5325</v>
      </c>
      <c r="E912" s="648" t="s">
        <v>649</v>
      </c>
      <c r="F912" s="655">
        <v>3770960</v>
      </c>
      <c r="G912" s="655">
        <v>48906</v>
      </c>
      <c r="H912" s="655">
        <v>121003</v>
      </c>
      <c r="I912" s="655">
        <v>413937</v>
      </c>
      <c r="J912" s="655">
        <v>356764</v>
      </c>
      <c r="K912" s="655">
        <v>43068</v>
      </c>
      <c r="L912" s="655">
        <v>37146</v>
      </c>
      <c r="M912" s="655">
        <v>0</v>
      </c>
      <c r="N912" s="655">
        <v>187004</v>
      </c>
      <c r="O912" s="655">
        <v>15426</v>
      </c>
      <c r="P912" s="655">
        <v>31936</v>
      </c>
      <c r="Q912" s="655">
        <v>35876</v>
      </c>
      <c r="R912" s="655">
        <v>571</v>
      </c>
      <c r="S912" s="655">
        <v>20070</v>
      </c>
      <c r="T912" s="655">
        <v>2392</v>
      </c>
      <c r="U912" s="655">
        <v>93339</v>
      </c>
      <c r="V912" s="655">
        <v>0</v>
      </c>
      <c r="W912" s="655">
        <v>74182</v>
      </c>
      <c r="X912" s="655">
        <v>0</v>
      </c>
      <c r="Y912" s="655">
        <v>0</v>
      </c>
      <c r="Z912" s="655">
        <v>0</v>
      </c>
      <c r="AA912" s="655">
        <v>0</v>
      </c>
      <c r="AB912" s="655">
        <v>0</v>
      </c>
      <c r="AC912" s="655">
        <v>0</v>
      </c>
      <c r="AD912" s="655">
        <v>38887</v>
      </c>
      <c r="AE912" s="655">
        <v>5213693</v>
      </c>
      <c r="AF912" s="655">
        <v>114588</v>
      </c>
      <c r="AG912" s="655">
        <v>329005</v>
      </c>
      <c r="AH912" s="655">
        <v>0</v>
      </c>
      <c r="AI912" s="655">
        <v>1452117</v>
      </c>
      <c r="AJ912" s="655">
        <v>847074</v>
      </c>
      <c r="AK912" s="655">
        <v>7956477</v>
      </c>
      <c r="AL912" s="655">
        <v>7093020</v>
      </c>
      <c r="AM912" s="655">
        <v>863457</v>
      </c>
    </row>
    <row r="913" spans="1:39" x14ac:dyDescent="0.2">
      <c r="A913" s="648">
        <v>2015</v>
      </c>
      <c r="B913" s="648">
        <v>13</v>
      </c>
      <c r="C913" s="657" t="s">
        <v>320</v>
      </c>
      <c r="D913" s="648">
        <v>5463</v>
      </c>
      <c r="E913" s="648" t="s">
        <v>1266</v>
      </c>
      <c r="F913" s="655">
        <v>7425939</v>
      </c>
      <c r="G913" s="655">
        <v>34752</v>
      </c>
      <c r="H913" s="655">
        <v>208232</v>
      </c>
      <c r="I913" s="655">
        <v>814211</v>
      </c>
      <c r="J913" s="655">
        <v>655935</v>
      </c>
      <c r="K913" s="655">
        <v>72498</v>
      </c>
      <c r="L913" s="655">
        <v>88304</v>
      </c>
      <c r="M913" s="655">
        <v>0</v>
      </c>
      <c r="N913" s="655">
        <v>362277</v>
      </c>
      <c r="O913" s="655">
        <v>17600</v>
      </c>
      <c r="P913" s="655">
        <v>60789</v>
      </c>
      <c r="Q913" s="655">
        <v>67231</v>
      </c>
      <c r="R913" s="655">
        <v>0</v>
      </c>
      <c r="S913" s="655">
        <v>37230</v>
      </c>
      <c r="T913" s="655">
        <v>3948</v>
      </c>
      <c r="U913" s="655">
        <v>371297</v>
      </c>
      <c r="V913" s="655">
        <v>54691</v>
      </c>
      <c r="W913" s="655">
        <v>81336</v>
      </c>
      <c r="X913" s="655">
        <v>457450</v>
      </c>
      <c r="Y913" s="655">
        <v>0</v>
      </c>
      <c r="Z913" s="655">
        <v>0</v>
      </c>
      <c r="AA913" s="655">
        <v>0</v>
      </c>
      <c r="AB913" s="655">
        <v>0</v>
      </c>
      <c r="AC913" s="655">
        <v>-6121</v>
      </c>
      <c r="AD913" s="655">
        <v>62151</v>
      </c>
      <c r="AE913" s="655">
        <v>10745448</v>
      </c>
      <c r="AF913" s="655">
        <v>238725</v>
      </c>
      <c r="AG913" s="655">
        <v>559403</v>
      </c>
      <c r="AH913" s="655">
        <v>0</v>
      </c>
      <c r="AI913" s="655">
        <v>1359611</v>
      </c>
      <c r="AJ913" s="655">
        <v>1476567</v>
      </c>
      <c r="AK913" s="655">
        <v>14379754</v>
      </c>
      <c r="AL913" s="655">
        <v>12678368</v>
      </c>
      <c r="AM913" s="655">
        <v>1701386</v>
      </c>
    </row>
    <row r="914" spans="1:39" x14ac:dyDescent="0.2">
      <c r="A914" s="648">
        <v>2015</v>
      </c>
      <c r="B914" s="648">
        <v>12</v>
      </c>
      <c r="C914" s="657" t="s">
        <v>321</v>
      </c>
      <c r="D914" s="648">
        <v>5486</v>
      </c>
      <c r="E914" s="648" t="s">
        <v>1267</v>
      </c>
      <c r="F914" s="655">
        <v>2482627</v>
      </c>
      <c r="G914" s="655">
        <v>0</v>
      </c>
      <c r="H914" s="655">
        <v>18739</v>
      </c>
      <c r="I914" s="655">
        <v>460439</v>
      </c>
      <c r="J914" s="655">
        <v>226810</v>
      </c>
      <c r="K914" s="655">
        <v>22871</v>
      </c>
      <c r="L914" s="655">
        <v>21114</v>
      </c>
      <c r="M914" s="655">
        <v>0</v>
      </c>
      <c r="N914" s="655">
        <v>131998</v>
      </c>
      <c r="O914" s="655">
        <v>0</v>
      </c>
      <c r="P914" s="655">
        <v>31003</v>
      </c>
      <c r="Q914" s="655">
        <v>34816</v>
      </c>
      <c r="R914" s="655">
        <v>0</v>
      </c>
      <c r="S914" s="655">
        <v>13252</v>
      </c>
      <c r="T914" s="655">
        <v>1585</v>
      </c>
      <c r="U914" s="655">
        <v>0</v>
      </c>
      <c r="V914" s="655">
        <v>0</v>
      </c>
      <c r="W914" s="655">
        <v>61822</v>
      </c>
      <c r="X914" s="655">
        <v>0</v>
      </c>
      <c r="Y914" s="655">
        <v>97781</v>
      </c>
      <c r="Z914" s="655">
        <v>0</v>
      </c>
      <c r="AA914" s="655">
        <v>0</v>
      </c>
      <c r="AB914" s="655">
        <v>0</v>
      </c>
      <c r="AC914" s="655">
        <v>36483</v>
      </c>
      <c r="AD914" s="655">
        <v>24390</v>
      </c>
      <c r="AE914" s="655">
        <v>3421388</v>
      </c>
      <c r="AF914" s="655">
        <v>66843</v>
      </c>
      <c r="AG914" s="655">
        <v>216461</v>
      </c>
      <c r="AH914" s="655">
        <v>0</v>
      </c>
      <c r="AI914" s="655">
        <v>662620</v>
      </c>
      <c r="AJ914" s="655">
        <v>989395</v>
      </c>
      <c r="AK914" s="655">
        <v>5356707</v>
      </c>
      <c r="AL914" s="655">
        <v>4444295</v>
      </c>
      <c r="AM914" s="655">
        <v>912412</v>
      </c>
    </row>
    <row r="915" spans="1:39" x14ac:dyDescent="0.2">
      <c r="A915" s="648">
        <v>2015</v>
      </c>
      <c r="B915" s="648">
        <v>1</v>
      </c>
      <c r="C915" s="657" t="s">
        <v>322</v>
      </c>
      <c r="D915" s="648">
        <v>5508</v>
      </c>
      <c r="E915" s="648" t="s">
        <v>1268</v>
      </c>
      <c r="F915" s="655">
        <v>1920622</v>
      </c>
      <c r="G915" s="655">
        <v>0</v>
      </c>
      <c r="H915" s="655">
        <v>14324</v>
      </c>
      <c r="I915" s="655">
        <v>234141</v>
      </c>
      <c r="J915" s="655">
        <v>215094</v>
      </c>
      <c r="K915" s="655">
        <v>26341</v>
      </c>
      <c r="L915" s="655">
        <v>18398</v>
      </c>
      <c r="M915" s="655">
        <v>0</v>
      </c>
      <c r="N915" s="655">
        <v>99540</v>
      </c>
      <c r="O915" s="655">
        <v>11494</v>
      </c>
      <c r="P915" s="655">
        <v>15813</v>
      </c>
      <c r="Q915" s="655">
        <v>17649</v>
      </c>
      <c r="R915" s="655">
        <v>0</v>
      </c>
      <c r="S915" s="655">
        <v>9789</v>
      </c>
      <c r="T915" s="655">
        <v>1046</v>
      </c>
      <c r="U915" s="655">
        <v>0</v>
      </c>
      <c r="V915" s="655">
        <v>0</v>
      </c>
      <c r="W915" s="655">
        <v>37804</v>
      </c>
      <c r="X915" s="655">
        <v>15057</v>
      </c>
      <c r="Y915" s="655">
        <v>0</v>
      </c>
      <c r="Z915" s="655">
        <v>0</v>
      </c>
      <c r="AA915" s="655">
        <v>0</v>
      </c>
      <c r="AB915" s="655">
        <v>0</v>
      </c>
      <c r="AC915" s="655">
        <v>0</v>
      </c>
      <c r="AD915" s="655">
        <v>21332</v>
      </c>
      <c r="AE915" s="655">
        <v>2615780</v>
      </c>
      <c r="AF915" s="655">
        <v>0</v>
      </c>
      <c r="AG915" s="655">
        <v>170052</v>
      </c>
      <c r="AH915" s="655">
        <v>0</v>
      </c>
      <c r="AI915" s="655">
        <v>769630</v>
      </c>
      <c r="AJ915" s="655">
        <v>725338</v>
      </c>
      <c r="AK915" s="655">
        <v>4280800</v>
      </c>
      <c r="AL915" s="655">
        <v>3426985</v>
      </c>
      <c r="AM915" s="655">
        <v>853815</v>
      </c>
    </row>
    <row r="916" spans="1:39" x14ac:dyDescent="0.2">
      <c r="A916" s="648">
        <v>2015</v>
      </c>
      <c r="B916" s="648">
        <v>12</v>
      </c>
      <c r="C916" s="657" t="s">
        <v>323</v>
      </c>
      <c r="D916" s="648">
        <v>5607</v>
      </c>
      <c r="E916" s="648" t="s">
        <v>1269</v>
      </c>
      <c r="F916" s="655">
        <v>4326006</v>
      </c>
      <c r="G916" s="655">
        <v>0</v>
      </c>
      <c r="H916" s="655">
        <v>195561</v>
      </c>
      <c r="I916" s="655">
        <v>332651</v>
      </c>
      <c r="J916" s="655">
        <v>379564</v>
      </c>
      <c r="K916" s="655">
        <v>40033</v>
      </c>
      <c r="L916" s="655">
        <v>53246</v>
      </c>
      <c r="M916" s="655">
        <v>0</v>
      </c>
      <c r="N916" s="655">
        <v>208291</v>
      </c>
      <c r="O916" s="655">
        <v>0</v>
      </c>
      <c r="P916" s="655">
        <v>65358</v>
      </c>
      <c r="Q916" s="655">
        <v>73395</v>
      </c>
      <c r="R916" s="655">
        <v>0</v>
      </c>
      <c r="S916" s="655">
        <v>20912</v>
      </c>
      <c r="T916" s="655">
        <v>2501</v>
      </c>
      <c r="U916" s="655">
        <v>70098</v>
      </c>
      <c r="V916" s="655">
        <v>0</v>
      </c>
      <c r="W916" s="655">
        <v>275501</v>
      </c>
      <c r="X916" s="655">
        <v>0</v>
      </c>
      <c r="Y916" s="655">
        <v>10793</v>
      </c>
      <c r="Z916" s="655">
        <v>0</v>
      </c>
      <c r="AA916" s="655">
        <v>0</v>
      </c>
      <c r="AB916" s="655">
        <v>0</v>
      </c>
      <c r="AC916" s="655">
        <v>0</v>
      </c>
      <c r="AD916" s="655">
        <v>28717</v>
      </c>
      <c r="AE916" s="655">
        <v>6003607</v>
      </c>
      <c r="AF916" s="655">
        <v>264189</v>
      </c>
      <c r="AG916" s="655">
        <v>329339</v>
      </c>
      <c r="AH916" s="655">
        <v>0</v>
      </c>
      <c r="AI916" s="655">
        <v>1862056</v>
      </c>
      <c r="AJ916" s="655">
        <v>5550522</v>
      </c>
      <c r="AK916" s="655">
        <v>14009713</v>
      </c>
      <c r="AL916" s="655">
        <v>7818040</v>
      </c>
      <c r="AM916" s="655">
        <v>6191673</v>
      </c>
    </row>
    <row r="917" spans="1:39" x14ac:dyDescent="0.2">
      <c r="A917" s="648">
        <v>2015</v>
      </c>
      <c r="B917" s="648">
        <v>11</v>
      </c>
      <c r="C917" s="657" t="s">
        <v>324</v>
      </c>
      <c r="D917" s="648">
        <v>5643</v>
      </c>
      <c r="E917" s="648" t="s">
        <v>1270</v>
      </c>
      <c r="F917" s="655">
        <v>6220855</v>
      </c>
      <c r="G917" s="655">
        <v>0</v>
      </c>
      <c r="H917" s="655">
        <v>75284</v>
      </c>
      <c r="I917" s="655">
        <v>438426</v>
      </c>
      <c r="J917" s="655">
        <v>522929</v>
      </c>
      <c r="K917" s="655">
        <v>65375</v>
      </c>
      <c r="L917" s="655">
        <v>59482</v>
      </c>
      <c r="M917" s="655">
        <v>0</v>
      </c>
      <c r="N917" s="655">
        <v>284343</v>
      </c>
      <c r="O917" s="655">
        <v>0</v>
      </c>
      <c r="P917" s="655">
        <v>50765</v>
      </c>
      <c r="Q917" s="655">
        <v>55718</v>
      </c>
      <c r="R917" s="655">
        <v>0</v>
      </c>
      <c r="S917" s="655">
        <v>23223</v>
      </c>
      <c r="T917" s="655">
        <v>2960</v>
      </c>
      <c r="U917" s="655">
        <v>180000</v>
      </c>
      <c r="V917" s="655">
        <v>4801</v>
      </c>
      <c r="W917" s="655">
        <v>128084</v>
      </c>
      <c r="X917" s="655">
        <v>216475</v>
      </c>
      <c r="Y917" s="655">
        <v>0</v>
      </c>
      <c r="Z917" s="655">
        <v>0</v>
      </c>
      <c r="AA917" s="655">
        <v>0</v>
      </c>
      <c r="AB917" s="655">
        <v>0</v>
      </c>
      <c r="AC917" s="655">
        <v>0</v>
      </c>
      <c r="AD917" s="655">
        <v>47283</v>
      </c>
      <c r="AE917" s="655">
        <v>8281437</v>
      </c>
      <c r="AF917" s="655">
        <v>82758</v>
      </c>
      <c r="AG917" s="655">
        <v>453501</v>
      </c>
      <c r="AH917" s="655">
        <v>0</v>
      </c>
      <c r="AI917" s="655">
        <v>1588423</v>
      </c>
      <c r="AJ917" s="655">
        <v>2007603</v>
      </c>
      <c r="AK917" s="655">
        <v>12413722</v>
      </c>
      <c r="AL917" s="655">
        <v>10156031</v>
      </c>
      <c r="AM917" s="655">
        <v>2257691</v>
      </c>
    </row>
    <row r="918" spans="1:39" x14ac:dyDescent="0.2">
      <c r="A918" s="648">
        <v>2015</v>
      </c>
      <c r="B918" s="648">
        <v>7</v>
      </c>
      <c r="C918" s="657" t="s">
        <v>325</v>
      </c>
      <c r="D918" s="648">
        <v>5697</v>
      </c>
      <c r="E918" s="648" t="s">
        <v>1271</v>
      </c>
      <c r="F918" s="655">
        <v>2886344</v>
      </c>
      <c r="G918" s="655">
        <v>32277</v>
      </c>
      <c r="H918" s="655">
        <v>57899</v>
      </c>
      <c r="I918" s="655">
        <v>380623</v>
      </c>
      <c r="J918" s="655">
        <v>261270</v>
      </c>
      <c r="K918" s="655">
        <v>29478</v>
      </c>
      <c r="L918" s="655">
        <v>27281</v>
      </c>
      <c r="M918" s="655">
        <v>0</v>
      </c>
      <c r="N918" s="655">
        <v>145335</v>
      </c>
      <c r="O918" s="655">
        <v>12688</v>
      </c>
      <c r="P918" s="655">
        <v>24047</v>
      </c>
      <c r="Q918" s="655">
        <v>26865</v>
      </c>
      <c r="R918" s="655">
        <v>0</v>
      </c>
      <c r="S918" s="655">
        <v>19189</v>
      </c>
      <c r="T918" s="655">
        <v>2201</v>
      </c>
      <c r="U918" s="655">
        <v>98136</v>
      </c>
      <c r="V918" s="655">
        <v>0</v>
      </c>
      <c r="W918" s="655">
        <v>24484</v>
      </c>
      <c r="X918" s="655">
        <v>30101</v>
      </c>
      <c r="Y918" s="655">
        <v>0</v>
      </c>
      <c r="Z918" s="655">
        <v>0</v>
      </c>
      <c r="AA918" s="655">
        <v>0</v>
      </c>
      <c r="AB918" s="655">
        <v>0</v>
      </c>
      <c r="AC918" s="655">
        <v>0</v>
      </c>
      <c r="AD918" s="655">
        <v>29454</v>
      </c>
      <c r="AE918" s="655">
        <v>4028764</v>
      </c>
      <c r="AF918" s="655">
        <v>50928</v>
      </c>
      <c r="AG918" s="655">
        <v>243033</v>
      </c>
      <c r="AH918" s="655">
        <v>0</v>
      </c>
      <c r="AI918" s="655">
        <v>763587</v>
      </c>
      <c r="AJ918" s="655">
        <v>1176905</v>
      </c>
      <c r="AK918" s="655">
        <v>6263217</v>
      </c>
      <c r="AL918" s="655">
        <v>5220161</v>
      </c>
      <c r="AM918" s="655">
        <v>1043056</v>
      </c>
    </row>
    <row r="919" spans="1:39" x14ac:dyDescent="0.2">
      <c r="A919" s="648">
        <v>2015</v>
      </c>
      <c r="B919" s="648">
        <v>5</v>
      </c>
      <c r="C919" s="657" t="s">
        <v>326</v>
      </c>
      <c r="D919" s="648">
        <v>5724</v>
      </c>
      <c r="E919" s="648" t="s">
        <v>1272</v>
      </c>
      <c r="F919" s="655">
        <v>1550340</v>
      </c>
      <c r="G919" s="655">
        <v>0</v>
      </c>
      <c r="H919" s="655">
        <v>138797</v>
      </c>
      <c r="I919" s="655">
        <v>162371</v>
      </c>
      <c r="J919" s="655">
        <v>149012</v>
      </c>
      <c r="K919" s="655">
        <v>16320</v>
      </c>
      <c r="L919" s="655">
        <v>17783</v>
      </c>
      <c r="M919" s="655">
        <v>0</v>
      </c>
      <c r="N919" s="655">
        <v>77805</v>
      </c>
      <c r="O919" s="655">
        <v>1167</v>
      </c>
      <c r="P919" s="655">
        <v>13320</v>
      </c>
      <c r="Q919" s="655">
        <v>14963</v>
      </c>
      <c r="R919" s="655">
        <v>238</v>
      </c>
      <c r="S919" s="655">
        <v>8290</v>
      </c>
      <c r="T919" s="655">
        <v>988</v>
      </c>
      <c r="U919" s="655">
        <v>33798</v>
      </c>
      <c r="V919" s="655">
        <v>0</v>
      </c>
      <c r="W919" s="655">
        <v>159405</v>
      </c>
      <c r="X919" s="655">
        <v>128906</v>
      </c>
      <c r="Y919" s="655">
        <v>0</v>
      </c>
      <c r="Z919" s="655">
        <v>0</v>
      </c>
      <c r="AA919" s="655">
        <v>0</v>
      </c>
      <c r="AB919" s="655">
        <v>0</v>
      </c>
      <c r="AC919" s="655">
        <v>0</v>
      </c>
      <c r="AD919" s="655">
        <v>13144</v>
      </c>
      <c r="AE919" s="655">
        <v>2460359</v>
      </c>
      <c r="AF919" s="655">
        <v>41379</v>
      </c>
      <c r="AG919" s="655">
        <v>129639</v>
      </c>
      <c r="AH919" s="655">
        <v>0</v>
      </c>
      <c r="AI919" s="655">
        <v>446762</v>
      </c>
      <c r="AJ919" s="655">
        <v>237403</v>
      </c>
      <c r="AK919" s="655">
        <v>3315542</v>
      </c>
      <c r="AL919" s="655">
        <v>2927552</v>
      </c>
      <c r="AM919" s="655">
        <v>387990</v>
      </c>
    </row>
    <row r="920" spans="1:39" x14ac:dyDescent="0.2">
      <c r="A920" s="648">
        <v>2015</v>
      </c>
      <c r="B920" s="648">
        <v>7</v>
      </c>
      <c r="C920" s="657" t="s">
        <v>327</v>
      </c>
      <c r="D920" s="648">
        <v>5751</v>
      </c>
      <c r="E920" s="648" t="s">
        <v>1273</v>
      </c>
      <c r="F920" s="655">
        <v>4030156</v>
      </c>
      <c r="G920" s="655">
        <v>0</v>
      </c>
      <c r="H920" s="655">
        <v>35290</v>
      </c>
      <c r="I920" s="655">
        <v>390743</v>
      </c>
      <c r="J920" s="655">
        <v>339045</v>
      </c>
      <c r="K920" s="655">
        <v>39835</v>
      </c>
      <c r="L920" s="655">
        <v>37540</v>
      </c>
      <c r="M920" s="655">
        <v>0</v>
      </c>
      <c r="N920" s="655">
        <v>195870</v>
      </c>
      <c r="O920" s="655">
        <v>0</v>
      </c>
      <c r="P920" s="655">
        <v>33058</v>
      </c>
      <c r="Q920" s="655">
        <v>36932</v>
      </c>
      <c r="R920" s="655">
        <v>0</v>
      </c>
      <c r="S920" s="655">
        <v>25002</v>
      </c>
      <c r="T920" s="655">
        <v>2870</v>
      </c>
      <c r="U920" s="655">
        <v>52504</v>
      </c>
      <c r="V920" s="655">
        <v>0</v>
      </c>
      <c r="W920" s="655">
        <v>38027</v>
      </c>
      <c r="X920" s="655">
        <v>213061</v>
      </c>
      <c r="Y920" s="655">
        <v>0</v>
      </c>
      <c r="Z920" s="655">
        <v>0</v>
      </c>
      <c r="AA920" s="655">
        <v>0</v>
      </c>
      <c r="AB920" s="655">
        <v>0</v>
      </c>
      <c r="AC920" s="655">
        <v>0</v>
      </c>
      <c r="AD920" s="655">
        <v>34964</v>
      </c>
      <c r="AE920" s="655">
        <v>5434969</v>
      </c>
      <c r="AF920" s="655">
        <v>63660</v>
      </c>
      <c r="AG920" s="655">
        <v>337042</v>
      </c>
      <c r="AH920" s="655">
        <v>0</v>
      </c>
      <c r="AI920" s="655">
        <v>714337</v>
      </c>
      <c r="AJ920" s="655">
        <v>2210821</v>
      </c>
      <c r="AK920" s="655">
        <v>8760829</v>
      </c>
      <c r="AL920" s="655">
        <v>6827996</v>
      </c>
      <c r="AM920" s="655">
        <v>1932833</v>
      </c>
    </row>
    <row r="921" spans="1:39" x14ac:dyDescent="0.2">
      <c r="A921" s="648">
        <v>2015</v>
      </c>
      <c r="B921" s="648">
        <v>11</v>
      </c>
      <c r="C921" s="657" t="s">
        <v>328</v>
      </c>
      <c r="D921" s="648">
        <v>5805</v>
      </c>
      <c r="E921" s="648" t="s">
        <v>1274</v>
      </c>
      <c r="F921" s="655">
        <v>7478238</v>
      </c>
      <c r="G921" s="655">
        <v>30331</v>
      </c>
      <c r="H921" s="655">
        <v>97115</v>
      </c>
      <c r="I921" s="655">
        <v>940779</v>
      </c>
      <c r="J921" s="655">
        <v>687454</v>
      </c>
      <c r="K921" s="655">
        <v>73457</v>
      </c>
      <c r="L921" s="655">
        <v>88509</v>
      </c>
      <c r="M921" s="655">
        <v>0</v>
      </c>
      <c r="N921" s="655">
        <v>355682</v>
      </c>
      <c r="O921" s="655">
        <v>9386</v>
      </c>
      <c r="P921" s="655">
        <v>62508</v>
      </c>
      <c r="Q921" s="655">
        <v>68607</v>
      </c>
      <c r="R921" s="655">
        <v>0</v>
      </c>
      <c r="S921" s="655">
        <v>29080</v>
      </c>
      <c r="T921" s="655">
        <v>3721</v>
      </c>
      <c r="U921" s="655">
        <v>354598</v>
      </c>
      <c r="V921" s="655">
        <v>46452</v>
      </c>
      <c r="W921" s="655">
        <v>236615</v>
      </c>
      <c r="X921" s="655">
        <v>282325</v>
      </c>
      <c r="Y921" s="655">
        <v>0</v>
      </c>
      <c r="Z921" s="655">
        <v>0</v>
      </c>
      <c r="AA921" s="655">
        <v>0</v>
      </c>
      <c r="AB921" s="655">
        <v>0</v>
      </c>
      <c r="AC921" s="655">
        <v>6189</v>
      </c>
      <c r="AD921" s="655">
        <v>66136</v>
      </c>
      <c r="AE921" s="655">
        <v>10784910</v>
      </c>
      <c r="AF921" s="655">
        <v>105039</v>
      </c>
      <c r="AG921" s="655">
        <v>647689</v>
      </c>
      <c r="AH921" s="655">
        <v>0</v>
      </c>
      <c r="AI921" s="655">
        <v>3890122</v>
      </c>
      <c r="AJ921" s="655">
        <v>4918148</v>
      </c>
      <c r="AK921" s="655">
        <v>20345908</v>
      </c>
      <c r="AL921" s="655">
        <v>15059086</v>
      </c>
      <c r="AM921" s="655">
        <v>5286822</v>
      </c>
    </row>
    <row r="922" spans="1:39" x14ac:dyDescent="0.2">
      <c r="A922" s="648">
        <v>2015</v>
      </c>
      <c r="B922" s="648">
        <v>5</v>
      </c>
      <c r="C922" s="657" t="s">
        <v>329</v>
      </c>
      <c r="D922" s="648">
        <v>5823</v>
      </c>
      <c r="E922" s="648" t="s">
        <v>650</v>
      </c>
      <c r="F922" s="655">
        <v>2427814</v>
      </c>
      <c r="G922" s="655">
        <v>0</v>
      </c>
      <c r="H922" s="655">
        <v>183186</v>
      </c>
      <c r="I922" s="655">
        <v>238793</v>
      </c>
      <c r="J922" s="655">
        <v>221915</v>
      </c>
      <c r="K922" s="655">
        <v>24965</v>
      </c>
      <c r="L922" s="655">
        <v>21368</v>
      </c>
      <c r="M922" s="655">
        <v>0</v>
      </c>
      <c r="N922" s="655">
        <v>120140</v>
      </c>
      <c r="O922" s="655">
        <v>627</v>
      </c>
      <c r="P922" s="655">
        <v>19770</v>
      </c>
      <c r="Q922" s="655">
        <v>22209</v>
      </c>
      <c r="R922" s="655">
        <v>368</v>
      </c>
      <c r="S922" s="655">
        <v>12800</v>
      </c>
      <c r="T922" s="655">
        <v>1525</v>
      </c>
      <c r="U922" s="655">
        <v>96304</v>
      </c>
      <c r="V922" s="655">
        <v>55038</v>
      </c>
      <c r="W922" s="655">
        <v>68746</v>
      </c>
      <c r="X922" s="655">
        <v>136318</v>
      </c>
      <c r="Y922" s="655">
        <v>0</v>
      </c>
      <c r="Z922" s="655">
        <v>0</v>
      </c>
      <c r="AA922" s="655">
        <v>0</v>
      </c>
      <c r="AB922" s="655">
        <v>0</v>
      </c>
      <c r="AC922" s="655">
        <v>0</v>
      </c>
      <c r="AD922" s="655">
        <v>23788</v>
      </c>
      <c r="AE922" s="655">
        <v>3628098</v>
      </c>
      <c r="AF922" s="655">
        <v>35013</v>
      </c>
      <c r="AG922" s="655">
        <v>209229</v>
      </c>
      <c r="AH922" s="655">
        <v>0</v>
      </c>
      <c r="AI922" s="655">
        <v>1195261</v>
      </c>
      <c r="AJ922" s="655">
        <v>-55038</v>
      </c>
      <c r="AK922" s="655">
        <v>5012563</v>
      </c>
      <c r="AL922" s="655">
        <v>5000013</v>
      </c>
      <c r="AM922" s="655">
        <v>12550</v>
      </c>
    </row>
    <row r="923" spans="1:39" x14ac:dyDescent="0.2">
      <c r="A923" s="648">
        <v>2015</v>
      </c>
      <c r="B923" s="648">
        <v>12</v>
      </c>
      <c r="C923" s="657" t="s">
        <v>330</v>
      </c>
      <c r="D923" s="648">
        <v>5832</v>
      </c>
      <c r="E923" s="648" t="s">
        <v>1275</v>
      </c>
      <c r="F923" s="655">
        <v>1833408</v>
      </c>
      <c r="G923" s="655">
        <v>23727</v>
      </c>
      <c r="H923" s="655">
        <v>79486</v>
      </c>
      <c r="I923" s="655">
        <v>307032</v>
      </c>
      <c r="J923" s="655">
        <v>138620</v>
      </c>
      <c r="K923" s="655">
        <v>12059</v>
      </c>
      <c r="L923" s="655">
        <v>16528</v>
      </c>
      <c r="M923" s="655">
        <v>0</v>
      </c>
      <c r="N923" s="655">
        <v>96316</v>
      </c>
      <c r="O923" s="655">
        <v>0</v>
      </c>
      <c r="P923" s="655">
        <v>15606</v>
      </c>
      <c r="Q923" s="655">
        <v>17525</v>
      </c>
      <c r="R923" s="655">
        <v>0</v>
      </c>
      <c r="S923" s="655">
        <v>9670</v>
      </c>
      <c r="T923" s="655">
        <v>1157</v>
      </c>
      <c r="U923" s="655">
        <v>0</v>
      </c>
      <c r="V923" s="655">
        <v>0</v>
      </c>
      <c r="W923" s="655">
        <v>183213</v>
      </c>
      <c r="X923" s="655">
        <v>88468</v>
      </c>
      <c r="Y923" s="655">
        <v>0</v>
      </c>
      <c r="Z923" s="655">
        <v>0</v>
      </c>
      <c r="AA923" s="655">
        <v>0</v>
      </c>
      <c r="AB923" s="655">
        <v>0</v>
      </c>
      <c r="AC923" s="655">
        <v>0</v>
      </c>
      <c r="AD923" s="655">
        <v>13977</v>
      </c>
      <c r="AE923" s="655">
        <v>2808838</v>
      </c>
      <c r="AF923" s="655">
        <v>0</v>
      </c>
      <c r="AG923" s="655">
        <v>154143</v>
      </c>
      <c r="AH923" s="655">
        <v>0</v>
      </c>
      <c r="AI923" s="655">
        <v>369814</v>
      </c>
      <c r="AJ923" s="655">
        <v>1793662</v>
      </c>
      <c r="AK923" s="655">
        <v>5126457</v>
      </c>
      <c r="AL923" s="655">
        <v>3443199</v>
      </c>
      <c r="AM923" s="655">
        <v>1683258</v>
      </c>
    </row>
    <row r="924" spans="1:39" x14ac:dyDescent="0.2">
      <c r="A924" s="648">
        <v>2015</v>
      </c>
      <c r="B924" s="648">
        <v>12</v>
      </c>
      <c r="C924" s="657" t="s">
        <v>331</v>
      </c>
      <c r="D924" s="648">
        <v>5877</v>
      </c>
      <c r="E924" s="648" t="s">
        <v>1276</v>
      </c>
      <c r="F924" s="655">
        <v>8632933</v>
      </c>
      <c r="G924" s="655">
        <v>0</v>
      </c>
      <c r="H924" s="655">
        <v>136423</v>
      </c>
      <c r="I924" s="655">
        <v>1047207</v>
      </c>
      <c r="J924" s="655">
        <v>754683</v>
      </c>
      <c r="K924" s="655">
        <v>91672</v>
      </c>
      <c r="L924" s="655">
        <v>88675</v>
      </c>
      <c r="M924" s="655">
        <v>0</v>
      </c>
      <c r="N924" s="655">
        <v>435591</v>
      </c>
      <c r="O924" s="655">
        <v>0</v>
      </c>
      <c r="P924" s="655">
        <v>73580</v>
      </c>
      <c r="Q924" s="655">
        <v>82628</v>
      </c>
      <c r="R924" s="655">
        <v>0</v>
      </c>
      <c r="S924" s="655">
        <v>43732</v>
      </c>
      <c r="T924" s="655">
        <v>5231</v>
      </c>
      <c r="U924" s="655">
        <v>316864</v>
      </c>
      <c r="V924" s="655">
        <v>0</v>
      </c>
      <c r="W924" s="655">
        <v>116244</v>
      </c>
      <c r="X924" s="655">
        <v>395185</v>
      </c>
      <c r="Y924" s="655">
        <v>0</v>
      </c>
      <c r="Z924" s="655">
        <v>0</v>
      </c>
      <c r="AA924" s="655">
        <v>0</v>
      </c>
      <c r="AB924" s="655">
        <v>0</v>
      </c>
      <c r="AC924" s="655">
        <v>-15303</v>
      </c>
      <c r="AD924" s="655">
        <v>56471</v>
      </c>
      <c r="AE924" s="655">
        <v>12148874</v>
      </c>
      <c r="AF924" s="655">
        <v>194163</v>
      </c>
      <c r="AG924" s="655">
        <v>682088</v>
      </c>
      <c r="AH924" s="655">
        <v>0</v>
      </c>
      <c r="AI924" s="655">
        <v>2639770</v>
      </c>
      <c r="AJ924" s="655">
        <v>2716993</v>
      </c>
      <c r="AK924" s="655">
        <v>18381888</v>
      </c>
      <c r="AL924" s="655">
        <v>15818797</v>
      </c>
      <c r="AM924" s="655">
        <v>2563091</v>
      </c>
    </row>
    <row r="925" spans="1:39" x14ac:dyDescent="0.2">
      <c r="A925" s="648">
        <v>2015</v>
      </c>
      <c r="B925" s="648">
        <v>15</v>
      </c>
      <c r="C925" s="657" t="s">
        <v>332</v>
      </c>
      <c r="D925" s="648">
        <v>5895</v>
      </c>
      <c r="E925" s="648" t="s">
        <v>1277</v>
      </c>
      <c r="F925" s="655">
        <v>1679351</v>
      </c>
      <c r="G925" s="655">
        <v>0</v>
      </c>
      <c r="H925" s="655">
        <v>125448</v>
      </c>
      <c r="I925" s="655">
        <v>112296</v>
      </c>
      <c r="J925" s="655">
        <v>180468</v>
      </c>
      <c r="K925" s="655">
        <v>19862</v>
      </c>
      <c r="L925" s="655">
        <v>20247</v>
      </c>
      <c r="M925" s="655">
        <v>0</v>
      </c>
      <c r="N925" s="655">
        <v>78026</v>
      </c>
      <c r="O925" s="655">
        <v>6400</v>
      </c>
      <c r="P925" s="655">
        <v>13744</v>
      </c>
      <c r="Q925" s="655">
        <v>15096</v>
      </c>
      <c r="R925" s="655">
        <v>211</v>
      </c>
      <c r="S925" s="655">
        <v>7810</v>
      </c>
      <c r="T925" s="655">
        <v>844</v>
      </c>
      <c r="U925" s="655">
        <v>40368</v>
      </c>
      <c r="V925" s="655">
        <v>0</v>
      </c>
      <c r="W925" s="655">
        <v>87605</v>
      </c>
      <c r="X925" s="655">
        <v>41545</v>
      </c>
      <c r="Y925" s="655">
        <v>0</v>
      </c>
      <c r="Z925" s="655">
        <v>0</v>
      </c>
      <c r="AA925" s="655">
        <v>0</v>
      </c>
      <c r="AB925" s="655">
        <v>0</v>
      </c>
      <c r="AC925" s="655">
        <v>0</v>
      </c>
      <c r="AD925" s="655">
        <v>16442</v>
      </c>
      <c r="AE925" s="655">
        <v>2412879</v>
      </c>
      <c r="AF925" s="655">
        <v>63660</v>
      </c>
      <c r="AG925" s="655">
        <v>128991</v>
      </c>
      <c r="AH925" s="655">
        <v>0</v>
      </c>
      <c r="AI925" s="655">
        <v>403482</v>
      </c>
      <c r="AJ925" s="655">
        <v>695632</v>
      </c>
      <c r="AK925" s="655">
        <v>3704644</v>
      </c>
      <c r="AL925" s="655">
        <v>2674783</v>
      </c>
      <c r="AM925" s="655">
        <v>1029861</v>
      </c>
    </row>
    <row r="926" spans="1:39" x14ac:dyDescent="0.2">
      <c r="A926" s="648">
        <v>2015</v>
      </c>
      <c r="B926" s="648">
        <v>7</v>
      </c>
      <c r="C926" s="657" t="s">
        <v>333</v>
      </c>
      <c r="D926" s="648">
        <v>5922</v>
      </c>
      <c r="E926" s="648" t="s">
        <v>1483</v>
      </c>
      <c r="F926" s="655">
        <v>4367602</v>
      </c>
      <c r="G926" s="655">
        <v>55686</v>
      </c>
      <c r="H926" s="655">
        <v>228431</v>
      </c>
      <c r="I926" s="655">
        <v>613686</v>
      </c>
      <c r="J926" s="655">
        <v>417190</v>
      </c>
      <c r="K926" s="655">
        <v>47914</v>
      </c>
      <c r="L926" s="655">
        <v>37780</v>
      </c>
      <c r="M926" s="655">
        <v>0</v>
      </c>
      <c r="N926" s="655">
        <v>219667</v>
      </c>
      <c r="O926" s="655">
        <v>22855</v>
      </c>
      <c r="P926" s="655">
        <v>37249</v>
      </c>
      <c r="Q926" s="655">
        <v>41615</v>
      </c>
      <c r="R926" s="655">
        <v>0</v>
      </c>
      <c r="S926" s="655">
        <v>28335</v>
      </c>
      <c r="T926" s="655">
        <v>3250</v>
      </c>
      <c r="U926" s="655">
        <v>130100</v>
      </c>
      <c r="V926" s="655">
        <v>0</v>
      </c>
      <c r="W926" s="655">
        <v>86055</v>
      </c>
      <c r="X926" s="655">
        <v>260853</v>
      </c>
      <c r="Y926" s="655">
        <v>0</v>
      </c>
      <c r="Z926" s="655">
        <v>0</v>
      </c>
      <c r="AA926" s="655">
        <v>0</v>
      </c>
      <c r="AB926" s="655">
        <v>0</v>
      </c>
      <c r="AC926" s="655">
        <v>0</v>
      </c>
      <c r="AD926" s="655">
        <v>44215</v>
      </c>
      <c r="AE926" s="655">
        <v>6554053</v>
      </c>
      <c r="AF926" s="655">
        <v>124137</v>
      </c>
      <c r="AG926" s="655">
        <v>376068</v>
      </c>
      <c r="AH926" s="655">
        <v>0</v>
      </c>
      <c r="AI926" s="655">
        <v>617337</v>
      </c>
      <c r="AJ926" s="655">
        <v>2203058</v>
      </c>
      <c r="AK926" s="655">
        <v>9874653</v>
      </c>
      <c r="AL926" s="655">
        <v>7610850</v>
      </c>
      <c r="AM926" s="655">
        <v>2263803</v>
      </c>
    </row>
    <row r="927" spans="1:39" x14ac:dyDescent="0.2">
      <c r="A927" s="648">
        <v>2015</v>
      </c>
      <c r="B927" s="648">
        <v>12</v>
      </c>
      <c r="C927" s="657" t="s">
        <v>334</v>
      </c>
      <c r="D927" s="648">
        <v>5949</v>
      </c>
      <c r="E927" s="648" t="s">
        <v>1278</v>
      </c>
      <c r="F927" s="655">
        <v>6429023</v>
      </c>
      <c r="G927" s="655">
        <v>0</v>
      </c>
      <c r="H927" s="655">
        <v>166605</v>
      </c>
      <c r="I927" s="655">
        <v>871887</v>
      </c>
      <c r="J927" s="655">
        <v>533510</v>
      </c>
      <c r="K927" s="655">
        <v>56171</v>
      </c>
      <c r="L927" s="655">
        <v>66148</v>
      </c>
      <c r="M927" s="655">
        <v>0</v>
      </c>
      <c r="N927" s="655">
        <v>328530</v>
      </c>
      <c r="O927" s="655">
        <v>0</v>
      </c>
      <c r="P927" s="655">
        <v>66248</v>
      </c>
      <c r="Q927" s="655">
        <v>74395</v>
      </c>
      <c r="R927" s="655">
        <v>0</v>
      </c>
      <c r="S927" s="655">
        <v>32984</v>
      </c>
      <c r="T927" s="655">
        <v>3945</v>
      </c>
      <c r="U927" s="655">
        <v>283507</v>
      </c>
      <c r="V927" s="655">
        <v>0</v>
      </c>
      <c r="W927" s="655">
        <v>68498</v>
      </c>
      <c r="X927" s="655">
        <v>233057</v>
      </c>
      <c r="Y927" s="655">
        <v>0</v>
      </c>
      <c r="Z927" s="655">
        <v>0</v>
      </c>
      <c r="AA927" s="655">
        <v>0</v>
      </c>
      <c r="AB927" s="655">
        <v>0</v>
      </c>
      <c r="AC927" s="655">
        <v>0</v>
      </c>
      <c r="AD927" s="655">
        <v>53257</v>
      </c>
      <c r="AE927" s="655">
        <v>9161251</v>
      </c>
      <c r="AF927" s="655">
        <v>235542</v>
      </c>
      <c r="AG927" s="655">
        <v>489827</v>
      </c>
      <c r="AH927" s="655">
        <v>0</v>
      </c>
      <c r="AI927" s="655">
        <v>810055</v>
      </c>
      <c r="AJ927" s="655">
        <v>1750682</v>
      </c>
      <c r="AK927" s="655">
        <v>12447357</v>
      </c>
      <c r="AL927" s="655">
        <v>10906209</v>
      </c>
      <c r="AM927" s="655">
        <v>1541148</v>
      </c>
    </row>
    <row r="928" spans="1:39" x14ac:dyDescent="0.2">
      <c r="A928" s="648">
        <v>2015</v>
      </c>
      <c r="B928" s="648">
        <v>13</v>
      </c>
      <c r="C928" s="657" t="s">
        <v>335</v>
      </c>
      <c r="D928" s="648">
        <v>5976</v>
      </c>
      <c r="E928" s="648" t="s">
        <v>1279</v>
      </c>
      <c r="F928" s="655">
        <v>6210670</v>
      </c>
      <c r="G928" s="655">
        <v>0</v>
      </c>
      <c r="H928" s="655">
        <v>75819</v>
      </c>
      <c r="I928" s="655">
        <v>731963</v>
      </c>
      <c r="J928" s="655">
        <v>565780</v>
      </c>
      <c r="K928" s="655">
        <v>61053</v>
      </c>
      <c r="L928" s="655">
        <v>71990</v>
      </c>
      <c r="M928" s="655">
        <v>0</v>
      </c>
      <c r="N928" s="655">
        <v>305232</v>
      </c>
      <c r="O928" s="655">
        <v>0</v>
      </c>
      <c r="P928" s="655">
        <v>50996</v>
      </c>
      <c r="Q928" s="655">
        <v>56400</v>
      </c>
      <c r="R928" s="655">
        <v>0</v>
      </c>
      <c r="S928" s="655">
        <v>31343</v>
      </c>
      <c r="T928" s="655">
        <v>3326</v>
      </c>
      <c r="U928" s="655">
        <v>197807</v>
      </c>
      <c r="V928" s="655">
        <v>32503</v>
      </c>
      <c r="W928" s="655">
        <v>68140</v>
      </c>
      <c r="X928" s="655">
        <v>206377</v>
      </c>
      <c r="Y928" s="655">
        <v>0</v>
      </c>
      <c r="Z928" s="655">
        <v>0</v>
      </c>
      <c r="AA928" s="655">
        <v>0</v>
      </c>
      <c r="AB928" s="655">
        <v>0</v>
      </c>
      <c r="AC928" s="655">
        <v>61210</v>
      </c>
      <c r="AD928" s="655">
        <v>47477</v>
      </c>
      <c r="AE928" s="655">
        <v>8683132</v>
      </c>
      <c r="AF928" s="655">
        <v>0</v>
      </c>
      <c r="AG928" s="655">
        <v>445491</v>
      </c>
      <c r="AH928" s="655">
        <v>0</v>
      </c>
      <c r="AI928" s="655">
        <v>1138046</v>
      </c>
      <c r="AJ928" s="655">
        <v>2293732</v>
      </c>
      <c r="AK928" s="655">
        <v>12560401</v>
      </c>
      <c r="AL928" s="655">
        <v>10513336</v>
      </c>
      <c r="AM928" s="655">
        <v>2047065</v>
      </c>
    </row>
    <row r="929" spans="1:39" x14ac:dyDescent="0.2">
      <c r="A929" s="648">
        <v>2015</v>
      </c>
      <c r="B929" s="648">
        <v>12</v>
      </c>
      <c r="C929" s="657" t="s">
        <v>336</v>
      </c>
      <c r="D929" s="648">
        <v>5994</v>
      </c>
      <c r="E929" s="648" t="s">
        <v>1280</v>
      </c>
      <c r="F929" s="655">
        <v>4932595</v>
      </c>
      <c r="G929" s="655">
        <v>0</v>
      </c>
      <c r="H929" s="655">
        <v>104882</v>
      </c>
      <c r="I929" s="655">
        <v>358816</v>
      </c>
      <c r="J929" s="655">
        <v>444435</v>
      </c>
      <c r="K929" s="655">
        <v>44992</v>
      </c>
      <c r="L929" s="655">
        <v>51748</v>
      </c>
      <c r="M929" s="655">
        <v>0</v>
      </c>
      <c r="N929" s="655">
        <v>236988</v>
      </c>
      <c r="O929" s="655">
        <v>7296</v>
      </c>
      <c r="P929" s="655">
        <v>41110</v>
      </c>
      <c r="Q929" s="655">
        <v>46166</v>
      </c>
      <c r="R929" s="655">
        <v>0</v>
      </c>
      <c r="S929" s="655">
        <v>23793</v>
      </c>
      <c r="T929" s="655">
        <v>2846</v>
      </c>
      <c r="U929" s="655">
        <v>72791</v>
      </c>
      <c r="V929" s="655">
        <v>0</v>
      </c>
      <c r="W929" s="655">
        <v>93126</v>
      </c>
      <c r="X929" s="655">
        <v>128984</v>
      </c>
      <c r="Y929" s="655">
        <v>0</v>
      </c>
      <c r="Z929" s="655">
        <v>0</v>
      </c>
      <c r="AA929" s="655">
        <v>0</v>
      </c>
      <c r="AB929" s="655">
        <v>0</v>
      </c>
      <c r="AC929" s="655">
        <v>-4306</v>
      </c>
      <c r="AD929" s="655">
        <v>43971</v>
      </c>
      <c r="AE929" s="655">
        <v>6542291</v>
      </c>
      <c r="AF929" s="655">
        <v>111405</v>
      </c>
      <c r="AG929" s="655">
        <v>270287</v>
      </c>
      <c r="AH929" s="655">
        <v>0</v>
      </c>
      <c r="AI929" s="655">
        <v>682304</v>
      </c>
      <c r="AJ929" s="655">
        <v>507992</v>
      </c>
      <c r="AK929" s="655">
        <v>8114279</v>
      </c>
      <c r="AL929" s="655">
        <v>7262155</v>
      </c>
      <c r="AM929" s="655">
        <v>852124</v>
      </c>
    </row>
    <row r="930" spans="1:39" x14ac:dyDescent="0.2">
      <c r="A930" s="648">
        <v>2015</v>
      </c>
      <c r="B930" s="648">
        <v>13</v>
      </c>
      <c r="C930" s="657" t="s">
        <v>337</v>
      </c>
      <c r="D930" s="648">
        <v>6003</v>
      </c>
      <c r="E930" s="648" t="s">
        <v>1281</v>
      </c>
      <c r="F930" s="655">
        <v>2057543</v>
      </c>
      <c r="G930" s="655">
        <v>0</v>
      </c>
      <c r="H930" s="655">
        <v>87417</v>
      </c>
      <c r="I930" s="655">
        <v>438615</v>
      </c>
      <c r="J930" s="655">
        <v>199941</v>
      </c>
      <c r="K930" s="655">
        <v>21011</v>
      </c>
      <c r="L930" s="655">
        <v>22324</v>
      </c>
      <c r="M930" s="655">
        <v>0</v>
      </c>
      <c r="N930" s="655">
        <v>109537</v>
      </c>
      <c r="O930" s="655">
        <v>4755</v>
      </c>
      <c r="P930" s="655">
        <v>17138</v>
      </c>
      <c r="Q930" s="655">
        <v>18954</v>
      </c>
      <c r="R930" s="655">
        <v>0</v>
      </c>
      <c r="S930" s="655">
        <v>11248</v>
      </c>
      <c r="T930" s="655">
        <v>1194</v>
      </c>
      <c r="U930" s="655">
        <v>77351</v>
      </c>
      <c r="V930" s="655">
        <v>0</v>
      </c>
      <c r="W930" s="655">
        <v>24484</v>
      </c>
      <c r="X930" s="655">
        <v>260601</v>
      </c>
      <c r="Y930" s="655">
        <v>0</v>
      </c>
      <c r="Z930" s="655">
        <v>0</v>
      </c>
      <c r="AA930" s="655">
        <v>0</v>
      </c>
      <c r="AB930" s="655">
        <v>0</v>
      </c>
      <c r="AC930" s="655">
        <v>0</v>
      </c>
      <c r="AD930" s="655">
        <v>18229</v>
      </c>
      <c r="AE930" s="655">
        <v>3333884</v>
      </c>
      <c r="AF930" s="655">
        <v>79575</v>
      </c>
      <c r="AG930" s="655">
        <v>166784</v>
      </c>
      <c r="AH930" s="655">
        <v>0</v>
      </c>
      <c r="AI930" s="655">
        <v>1132943</v>
      </c>
      <c r="AJ930" s="655">
        <v>1226313</v>
      </c>
      <c r="AK930" s="655">
        <v>5939499</v>
      </c>
      <c r="AL930" s="655">
        <v>4709798</v>
      </c>
      <c r="AM930" s="655">
        <v>1229701</v>
      </c>
    </row>
    <row r="931" spans="1:39" x14ac:dyDescent="0.2">
      <c r="A931" s="648">
        <v>2015</v>
      </c>
      <c r="B931" s="648">
        <v>15</v>
      </c>
      <c r="C931" s="657" t="s">
        <v>338</v>
      </c>
      <c r="D931" s="648">
        <v>6012</v>
      </c>
      <c r="E931" s="648" t="s">
        <v>1282</v>
      </c>
      <c r="F931" s="655">
        <v>3396705</v>
      </c>
      <c r="G931" s="655">
        <v>0</v>
      </c>
      <c r="H931" s="655">
        <v>102743</v>
      </c>
      <c r="I931" s="655">
        <v>369819</v>
      </c>
      <c r="J931" s="655">
        <v>315200</v>
      </c>
      <c r="K931" s="655">
        <v>32816</v>
      </c>
      <c r="L931" s="655">
        <v>34015</v>
      </c>
      <c r="M931" s="655">
        <v>0</v>
      </c>
      <c r="N931" s="655">
        <v>163827</v>
      </c>
      <c r="O931" s="655">
        <v>10330</v>
      </c>
      <c r="P931" s="655">
        <v>27748</v>
      </c>
      <c r="Q931" s="655">
        <v>30477</v>
      </c>
      <c r="R931" s="655">
        <v>444</v>
      </c>
      <c r="S931" s="655">
        <v>16398</v>
      </c>
      <c r="T931" s="655">
        <v>1773</v>
      </c>
      <c r="U931" s="655">
        <v>72608</v>
      </c>
      <c r="V931" s="655">
        <v>0</v>
      </c>
      <c r="W931" s="655">
        <v>70751</v>
      </c>
      <c r="X931" s="655">
        <v>50413</v>
      </c>
      <c r="Y931" s="655">
        <v>0</v>
      </c>
      <c r="Z931" s="655">
        <v>0</v>
      </c>
      <c r="AA931" s="655">
        <v>0</v>
      </c>
      <c r="AB931" s="655">
        <v>0</v>
      </c>
      <c r="AC931" s="655">
        <v>-981</v>
      </c>
      <c r="AD931" s="655">
        <v>32703</v>
      </c>
      <c r="AE931" s="655">
        <v>4662383</v>
      </c>
      <c r="AF931" s="655">
        <v>95490</v>
      </c>
      <c r="AG931" s="655">
        <v>255263</v>
      </c>
      <c r="AH931" s="655">
        <v>0</v>
      </c>
      <c r="AI931" s="655">
        <v>714410</v>
      </c>
      <c r="AJ931" s="655">
        <v>1697578</v>
      </c>
      <c r="AK931" s="655">
        <v>7425124</v>
      </c>
      <c r="AL931" s="655">
        <v>5879750</v>
      </c>
      <c r="AM931" s="655">
        <v>1545374</v>
      </c>
    </row>
    <row r="932" spans="1:39" x14ac:dyDescent="0.2">
      <c r="A932" s="648">
        <v>2015</v>
      </c>
      <c r="B932" s="648">
        <v>12</v>
      </c>
      <c r="C932" s="657" t="s">
        <v>339</v>
      </c>
      <c r="D932" s="648">
        <v>6030</v>
      </c>
      <c r="E932" s="648" t="s">
        <v>1283</v>
      </c>
      <c r="F932" s="655">
        <v>7096180</v>
      </c>
      <c r="G932" s="655">
        <v>0</v>
      </c>
      <c r="H932" s="655">
        <v>231684</v>
      </c>
      <c r="I932" s="655">
        <v>842413</v>
      </c>
      <c r="J932" s="655">
        <v>617666</v>
      </c>
      <c r="K932" s="655">
        <v>79980</v>
      </c>
      <c r="L932" s="655">
        <v>83948</v>
      </c>
      <c r="M932" s="655">
        <v>0</v>
      </c>
      <c r="N932" s="655">
        <v>357224</v>
      </c>
      <c r="O932" s="655">
        <v>0</v>
      </c>
      <c r="P932" s="655">
        <v>90024</v>
      </c>
      <c r="Q932" s="655">
        <v>101094</v>
      </c>
      <c r="R932" s="655">
        <v>0</v>
      </c>
      <c r="S932" s="655">
        <v>35865</v>
      </c>
      <c r="T932" s="655">
        <v>4290</v>
      </c>
      <c r="U932" s="655">
        <v>314826</v>
      </c>
      <c r="V932" s="655">
        <v>0</v>
      </c>
      <c r="W932" s="655">
        <v>214407</v>
      </c>
      <c r="X932" s="655">
        <v>112352</v>
      </c>
      <c r="Y932" s="655">
        <v>0</v>
      </c>
      <c r="Z932" s="655">
        <v>0</v>
      </c>
      <c r="AA932" s="655">
        <v>0</v>
      </c>
      <c r="AB932" s="655">
        <v>0</v>
      </c>
      <c r="AC932" s="655">
        <v>-6121</v>
      </c>
      <c r="AD932" s="655">
        <v>48328</v>
      </c>
      <c r="AE932" s="655">
        <v>10127504</v>
      </c>
      <c r="AF932" s="655">
        <v>346947</v>
      </c>
      <c r="AG932" s="655">
        <v>539877</v>
      </c>
      <c r="AH932" s="655">
        <v>0</v>
      </c>
      <c r="AI932" s="655">
        <v>1298211</v>
      </c>
      <c r="AJ932" s="655">
        <v>1119179</v>
      </c>
      <c r="AK932" s="655">
        <v>13431718</v>
      </c>
      <c r="AL932" s="655">
        <v>12298683</v>
      </c>
      <c r="AM932" s="655">
        <v>1133035</v>
      </c>
    </row>
    <row r="933" spans="1:39" x14ac:dyDescent="0.2">
      <c r="A933" s="648">
        <v>2015</v>
      </c>
      <c r="B933" s="648">
        <v>12</v>
      </c>
      <c r="C933" s="657" t="s">
        <v>340</v>
      </c>
      <c r="D933" s="648">
        <v>6039</v>
      </c>
      <c r="E933" s="648" t="s">
        <v>1284</v>
      </c>
      <c r="F933" s="655">
        <v>89965585</v>
      </c>
      <c r="G933" s="655">
        <v>0</v>
      </c>
      <c r="H933" s="655">
        <v>3388501</v>
      </c>
      <c r="I933" s="655">
        <v>14227055</v>
      </c>
      <c r="J933" s="655">
        <v>7518048</v>
      </c>
      <c r="K933" s="655">
        <v>899091</v>
      </c>
      <c r="L933" s="655">
        <v>1134250</v>
      </c>
      <c r="M933" s="655">
        <v>0</v>
      </c>
      <c r="N933" s="655">
        <v>4688505</v>
      </c>
      <c r="O933" s="655">
        <v>0</v>
      </c>
      <c r="P933" s="655">
        <v>805974</v>
      </c>
      <c r="Q933" s="655">
        <v>905086</v>
      </c>
      <c r="R933" s="655">
        <v>0</v>
      </c>
      <c r="S933" s="655">
        <v>470716</v>
      </c>
      <c r="T933" s="655">
        <v>56303</v>
      </c>
      <c r="U933" s="655">
        <v>3243870</v>
      </c>
      <c r="V933" s="655">
        <v>366403</v>
      </c>
      <c r="W933" s="655">
        <v>2290359</v>
      </c>
      <c r="X933" s="655">
        <v>800921</v>
      </c>
      <c r="Y933" s="655">
        <v>0</v>
      </c>
      <c r="Z933" s="655">
        <v>0</v>
      </c>
      <c r="AA933" s="655">
        <v>0</v>
      </c>
      <c r="AB933" s="655">
        <v>0</v>
      </c>
      <c r="AC933" s="655">
        <v>-12242</v>
      </c>
      <c r="AD933" s="655">
        <v>680000</v>
      </c>
      <c r="AE933" s="655">
        <v>130068425</v>
      </c>
      <c r="AF933" s="655">
        <v>2326773</v>
      </c>
      <c r="AG933" s="655">
        <v>3978773</v>
      </c>
      <c r="AH933" s="655">
        <v>0</v>
      </c>
      <c r="AI933" s="655">
        <v>21146666</v>
      </c>
      <c r="AJ933" s="655">
        <v>16366776</v>
      </c>
      <c r="AK933" s="655">
        <v>173887413</v>
      </c>
      <c r="AL933" s="655">
        <v>158498526</v>
      </c>
      <c r="AM933" s="655">
        <v>15388887</v>
      </c>
    </row>
    <row r="934" spans="1:39" x14ac:dyDescent="0.2">
      <c r="A934" s="648">
        <v>2015</v>
      </c>
      <c r="B934" s="648">
        <v>5</v>
      </c>
      <c r="C934" s="657" t="s">
        <v>341</v>
      </c>
      <c r="D934" s="648">
        <v>6035</v>
      </c>
      <c r="E934" s="648" t="s">
        <v>651</v>
      </c>
      <c r="F934" s="655">
        <v>3159871</v>
      </c>
      <c r="G934" s="655">
        <v>0</v>
      </c>
      <c r="H934" s="655">
        <v>81964</v>
      </c>
      <c r="I934" s="655">
        <v>439140</v>
      </c>
      <c r="J934" s="655">
        <v>331294</v>
      </c>
      <c r="K934" s="655">
        <v>37967</v>
      </c>
      <c r="L934" s="655">
        <v>34199</v>
      </c>
      <c r="M934" s="655">
        <v>0</v>
      </c>
      <c r="N934" s="655">
        <v>163470</v>
      </c>
      <c r="O934" s="655">
        <v>0</v>
      </c>
      <c r="P934" s="655">
        <v>25958</v>
      </c>
      <c r="Q934" s="655">
        <v>29160</v>
      </c>
      <c r="R934" s="655">
        <v>499</v>
      </c>
      <c r="S934" s="655">
        <v>17417</v>
      </c>
      <c r="T934" s="655">
        <v>2076</v>
      </c>
      <c r="U934" s="655">
        <v>157993</v>
      </c>
      <c r="V934" s="655">
        <v>0</v>
      </c>
      <c r="W934" s="655">
        <v>15050</v>
      </c>
      <c r="X934" s="655">
        <v>24938</v>
      </c>
      <c r="Y934" s="655">
        <v>0</v>
      </c>
      <c r="Z934" s="655">
        <v>0</v>
      </c>
      <c r="AA934" s="655">
        <v>0</v>
      </c>
      <c r="AB934" s="655">
        <v>0</v>
      </c>
      <c r="AC934" s="655">
        <v>0</v>
      </c>
      <c r="AD934" s="655">
        <v>29208</v>
      </c>
      <c r="AE934" s="655">
        <v>4491788</v>
      </c>
      <c r="AF934" s="655">
        <v>50928</v>
      </c>
      <c r="AG934" s="655">
        <v>0</v>
      </c>
      <c r="AH934" s="655">
        <v>0</v>
      </c>
      <c r="AI934" s="655">
        <v>1762095</v>
      </c>
      <c r="AJ934" s="655">
        <v>2511928</v>
      </c>
      <c r="AK934" s="655">
        <v>8816739</v>
      </c>
      <c r="AL934" s="655">
        <v>6485759</v>
      </c>
      <c r="AM934" s="655">
        <v>2330980</v>
      </c>
    </row>
    <row r="935" spans="1:39" x14ac:dyDescent="0.2">
      <c r="A935" s="648">
        <v>2015</v>
      </c>
      <c r="B935" s="648">
        <v>5</v>
      </c>
      <c r="C935" s="657" t="s">
        <v>1871</v>
      </c>
      <c r="D935" s="648">
        <v>6091</v>
      </c>
      <c r="E935" s="648" t="s">
        <v>1639</v>
      </c>
      <c r="F935" s="655">
        <v>5832049</v>
      </c>
      <c r="G935" s="655">
        <v>19847</v>
      </c>
      <c r="H935" s="655">
        <v>853486</v>
      </c>
      <c r="I935" s="655">
        <v>664344</v>
      </c>
      <c r="J935" s="655">
        <v>558260</v>
      </c>
      <c r="K935" s="655">
        <v>56689</v>
      </c>
      <c r="L935" s="655">
        <v>59751</v>
      </c>
      <c r="M935" s="655">
        <v>0</v>
      </c>
      <c r="N935" s="655">
        <v>294241</v>
      </c>
      <c r="O935" s="655">
        <v>2841</v>
      </c>
      <c r="P935" s="655">
        <v>48559</v>
      </c>
      <c r="Q935" s="655">
        <v>54551</v>
      </c>
      <c r="R935" s="655">
        <v>898</v>
      </c>
      <c r="S935" s="655">
        <v>31350</v>
      </c>
      <c r="T935" s="655">
        <v>3736</v>
      </c>
      <c r="U935" s="655">
        <v>266584</v>
      </c>
      <c r="V935" s="655">
        <v>0</v>
      </c>
      <c r="W935" s="655">
        <v>128541</v>
      </c>
      <c r="X935" s="655">
        <v>0</v>
      </c>
      <c r="Y935" s="655">
        <v>0</v>
      </c>
      <c r="Z935" s="655">
        <v>0</v>
      </c>
      <c r="AA935" s="655">
        <v>0</v>
      </c>
      <c r="AB935" s="655">
        <v>0</v>
      </c>
      <c r="AC935" s="655">
        <v>0</v>
      </c>
      <c r="AD935" s="655">
        <v>55190</v>
      </c>
      <c r="AE935" s="655">
        <v>8820537</v>
      </c>
      <c r="AF935" s="655">
        <v>152784</v>
      </c>
      <c r="AG935" s="655">
        <v>491208</v>
      </c>
      <c r="AH935" s="655">
        <v>0</v>
      </c>
      <c r="AI935" s="655">
        <v>1036951</v>
      </c>
      <c r="AJ935" s="655">
        <v>3855001</v>
      </c>
      <c r="AK935" s="655">
        <v>14356481</v>
      </c>
      <c r="AL935" s="655">
        <v>9065489</v>
      </c>
      <c r="AM935" s="655">
        <v>5290992</v>
      </c>
    </row>
    <row r="936" spans="1:39" x14ac:dyDescent="0.2">
      <c r="A936" s="648">
        <v>2015</v>
      </c>
      <c r="B936" s="648">
        <v>10</v>
      </c>
      <c r="C936" s="657" t="s">
        <v>342</v>
      </c>
      <c r="D936" s="648">
        <v>6093</v>
      </c>
      <c r="E936" s="648" t="s">
        <v>1285</v>
      </c>
      <c r="F936" s="655">
        <v>8012884</v>
      </c>
      <c r="G936" s="655">
        <v>0</v>
      </c>
      <c r="H936" s="655">
        <v>64112</v>
      </c>
      <c r="I936" s="655">
        <v>591974</v>
      </c>
      <c r="J936" s="655">
        <v>658879</v>
      </c>
      <c r="K936" s="655">
        <v>67768</v>
      </c>
      <c r="L936" s="655">
        <v>61060</v>
      </c>
      <c r="M936" s="655">
        <v>0</v>
      </c>
      <c r="N936" s="655">
        <v>377013</v>
      </c>
      <c r="O936" s="655">
        <v>0</v>
      </c>
      <c r="P936" s="655">
        <v>66454</v>
      </c>
      <c r="Q936" s="655">
        <v>73000</v>
      </c>
      <c r="R936" s="655">
        <v>0</v>
      </c>
      <c r="S936" s="655">
        <v>35103</v>
      </c>
      <c r="T936" s="655">
        <v>4082</v>
      </c>
      <c r="U936" s="655">
        <v>185322</v>
      </c>
      <c r="V936" s="655">
        <v>0</v>
      </c>
      <c r="W936" s="655">
        <v>225993</v>
      </c>
      <c r="X936" s="655">
        <v>501212</v>
      </c>
      <c r="Y936" s="655">
        <v>0</v>
      </c>
      <c r="Z936" s="655">
        <v>0</v>
      </c>
      <c r="AA936" s="655">
        <v>0</v>
      </c>
      <c r="AB936" s="655">
        <v>0</v>
      </c>
      <c r="AC936" s="655">
        <v>0</v>
      </c>
      <c r="AD936" s="655">
        <v>48951</v>
      </c>
      <c r="AE936" s="655">
        <v>10875905</v>
      </c>
      <c r="AF936" s="655">
        <v>187797</v>
      </c>
      <c r="AG936" s="655">
        <v>594956</v>
      </c>
      <c r="AH936" s="655">
        <v>0</v>
      </c>
      <c r="AI936" s="655">
        <v>1824137</v>
      </c>
      <c r="AJ936" s="655">
        <v>4239103</v>
      </c>
      <c r="AK936" s="655">
        <v>17721898</v>
      </c>
      <c r="AL936" s="655">
        <v>13370862</v>
      </c>
      <c r="AM936" s="655">
        <v>4351036</v>
      </c>
    </row>
    <row r="937" spans="1:39" x14ac:dyDescent="0.2">
      <c r="A937" s="648">
        <v>2015</v>
      </c>
      <c r="B937" s="648">
        <v>11</v>
      </c>
      <c r="C937" s="657" t="s">
        <v>343</v>
      </c>
      <c r="D937" s="648">
        <v>6094</v>
      </c>
      <c r="E937" s="648" t="s">
        <v>1286</v>
      </c>
      <c r="F937" s="655">
        <v>3577055</v>
      </c>
      <c r="G937" s="655">
        <v>0</v>
      </c>
      <c r="H937" s="655">
        <v>31174</v>
      </c>
      <c r="I937" s="655">
        <v>506033</v>
      </c>
      <c r="J937" s="655">
        <v>314855</v>
      </c>
      <c r="K937" s="655">
        <v>33113</v>
      </c>
      <c r="L937" s="655">
        <v>31635</v>
      </c>
      <c r="M937" s="655">
        <v>0</v>
      </c>
      <c r="N937" s="655">
        <v>174343</v>
      </c>
      <c r="O937" s="655">
        <v>0</v>
      </c>
      <c r="P937" s="655">
        <v>29357</v>
      </c>
      <c r="Q937" s="655">
        <v>32222</v>
      </c>
      <c r="R937" s="655">
        <v>0</v>
      </c>
      <c r="S937" s="655">
        <v>14239</v>
      </c>
      <c r="T937" s="655">
        <v>1815</v>
      </c>
      <c r="U937" s="655">
        <v>148218</v>
      </c>
      <c r="V937" s="655">
        <v>0</v>
      </c>
      <c r="W937" s="655">
        <v>167426</v>
      </c>
      <c r="X937" s="655">
        <v>133948</v>
      </c>
      <c r="Y937" s="655">
        <v>0</v>
      </c>
      <c r="Z937" s="655">
        <v>0</v>
      </c>
      <c r="AA937" s="655">
        <v>0</v>
      </c>
      <c r="AB937" s="655">
        <v>0</v>
      </c>
      <c r="AC937" s="655">
        <v>0</v>
      </c>
      <c r="AD937" s="655">
        <v>26643</v>
      </c>
      <c r="AE937" s="655">
        <v>5168790</v>
      </c>
      <c r="AF937" s="655">
        <v>85941</v>
      </c>
      <c r="AG937" s="655">
        <v>243669</v>
      </c>
      <c r="AH937" s="655">
        <v>0</v>
      </c>
      <c r="AI937" s="655">
        <v>455626</v>
      </c>
      <c r="AJ937" s="655">
        <v>1535919</v>
      </c>
      <c r="AK937" s="655">
        <v>7489945</v>
      </c>
      <c r="AL937" s="655">
        <v>6229071</v>
      </c>
      <c r="AM937" s="655">
        <v>1260874</v>
      </c>
    </row>
    <row r="938" spans="1:39" x14ac:dyDescent="0.2">
      <c r="A938" s="648">
        <v>2015</v>
      </c>
      <c r="B938" s="648">
        <v>5</v>
      </c>
      <c r="C938" s="657" t="s">
        <v>344</v>
      </c>
      <c r="D938" s="648">
        <v>6095</v>
      </c>
      <c r="E938" s="648" t="s">
        <v>1287</v>
      </c>
      <c r="F938" s="655">
        <v>4203269</v>
      </c>
      <c r="G938" s="655">
        <v>0</v>
      </c>
      <c r="H938" s="655">
        <v>83648</v>
      </c>
      <c r="I938" s="655">
        <v>425019</v>
      </c>
      <c r="J938" s="655">
        <v>401325</v>
      </c>
      <c r="K938" s="655">
        <v>47552</v>
      </c>
      <c r="L938" s="655">
        <v>44956</v>
      </c>
      <c r="M938" s="655">
        <v>0</v>
      </c>
      <c r="N938" s="655">
        <v>208683</v>
      </c>
      <c r="O938" s="655">
        <v>3202</v>
      </c>
      <c r="P938" s="655">
        <v>34296</v>
      </c>
      <c r="Q938" s="655">
        <v>38527</v>
      </c>
      <c r="R938" s="655">
        <v>638</v>
      </c>
      <c r="S938" s="655">
        <v>22234</v>
      </c>
      <c r="T938" s="655">
        <v>2650</v>
      </c>
      <c r="U938" s="655">
        <v>78750</v>
      </c>
      <c r="V938" s="655">
        <v>0</v>
      </c>
      <c r="W938" s="655">
        <v>128541</v>
      </c>
      <c r="X938" s="655">
        <v>220539</v>
      </c>
      <c r="Y938" s="655">
        <v>0</v>
      </c>
      <c r="Z938" s="655">
        <v>0</v>
      </c>
      <c r="AA938" s="655">
        <v>0</v>
      </c>
      <c r="AB938" s="655">
        <v>0</v>
      </c>
      <c r="AC938" s="655">
        <v>-4699</v>
      </c>
      <c r="AD938" s="655">
        <v>35146</v>
      </c>
      <c r="AE938" s="655">
        <v>5903984</v>
      </c>
      <c r="AF938" s="655">
        <v>108222</v>
      </c>
      <c r="AG938" s="655">
        <v>337439</v>
      </c>
      <c r="AH938" s="655">
        <v>0</v>
      </c>
      <c r="AI938" s="655">
        <v>1176554</v>
      </c>
      <c r="AJ938" s="655">
        <v>1015067</v>
      </c>
      <c r="AK938" s="655">
        <v>8541266</v>
      </c>
      <c r="AL938" s="655">
        <v>7970489</v>
      </c>
      <c r="AM938" s="655">
        <v>570777</v>
      </c>
    </row>
    <row r="939" spans="1:39" x14ac:dyDescent="0.2">
      <c r="A939" s="648">
        <v>2015</v>
      </c>
      <c r="B939" s="648">
        <v>5</v>
      </c>
      <c r="C939" s="657" t="s">
        <v>1469</v>
      </c>
      <c r="D939" s="648">
        <v>6096</v>
      </c>
      <c r="E939" s="648" t="s">
        <v>980</v>
      </c>
      <c r="F939" s="655">
        <v>3528734</v>
      </c>
      <c r="G939" s="655">
        <v>0</v>
      </c>
      <c r="H939" s="655">
        <v>105258</v>
      </c>
      <c r="I939" s="655">
        <v>484007</v>
      </c>
      <c r="J939" s="655">
        <v>331619</v>
      </c>
      <c r="K939" s="655">
        <v>38612</v>
      </c>
      <c r="L939" s="655">
        <v>40117</v>
      </c>
      <c r="M939" s="655">
        <v>0</v>
      </c>
      <c r="N939" s="655">
        <v>179063</v>
      </c>
      <c r="O939" s="655">
        <v>0</v>
      </c>
      <c r="P939" s="655">
        <v>28894</v>
      </c>
      <c r="Q939" s="655">
        <v>32459</v>
      </c>
      <c r="R939" s="655">
        <v>548</v>
      </c>
      <c r="S939" s="655">
        <v>19078</v>
      </c>
      <c r="T939" s="655">
        <v>2274</v>
      </c>
      <c r="U939" s="655">
        <v>122128</v>
      </c>
      <c r="V939" s="655">
        <v>0</v>
      </c>
      <c r="W939" s="655">
        <v>155473</v>
      </c>
      <c r="X939" s="655">
        <v>0</v>
      </c>
      <c r="Y939" s="655">
        <v>17225</v>
      </c>
      <c r="Z939" s="655">
        <v>0</v>
      </c>
      <c r="AA939" s="655">
        <v>0</v>
      </c>
      <c r="AB939" s="655">
        <v>0</v>
      </c>
      <c r="AC939" s="655">
        <v>0</v>
      </c>
      <c r="AD939" s="655">
        <v>32474</v>
      </c>
      <c r="AE939" s="655">
        <v>5018565</v>
      </c>
      <c r="AF939" s="655">
        <v>105039</v>
      </c>
      <c r="AG939" s="655">
        <v>284769</v>
      </c>
      <c r="AH939" s="655">
        <v>0</v>
      </c>
      <c r="AI939" s="655">
        <v>1405697</v>
      </c>
      <c r="AJ939" s="655">
        <v>784669</v>
      </c>
      <c r="AK939" s="655">
        <v>7598739</v>
      </c>
      <c r="AL939" s="655">
        <v>6951025</v>
      </c>
      <c r="AM939" s="655">
        <v>647714</v>
      </c>
    </row>
    <row r="940" spans="1:39" x14ac:dyDescent="0.2">
      <c r="A940" s="648">
        <v>2015</v>
      </c>
      <c r="B940" s="648">
        <v>13</v>
      </c>
      <c r="C940" s="657" t="s">
        <v>345</v>
      </c>
      <c r="D940" s="648">
        <v>6097</v>
      </c>
      <c r="E940" s="648" t="s">
        <v>1288</v>
      </c>
      <c r="F940" s="655">
        <v>1250919</v>
      </c>
      <c r="G940" s="655">
        <v>81966</v>
      </c>
      <c r="H940" s="655">
        <v>102142</v>
      </c>
      <c r="I940" s="655">
        <v>259287</v>
      </c>
      <c r="J940" s="655">
        <v>134323</v>
      </c>
      <c r="K940" s="655">
        <v>13376</v>
      </c>
      <c r="L940" s="655">
        <v>10681</v>
      </c>
      <c r="M940" s="655">
        <v>0</v>
      </c>
      <c r="N940" s="655">
        <v>66396</v>
      </c>
      <c r="O940" s="655">
        <v>12852</v>
      </c>
      <c r="P940" s="655">
        <v>10366</v>
      </c>
      <c r="Q940" s="655">
        <v>11464</v>
      </c>
      <c r="R940" s="655">
        <v>0</v>
      </c>
      <c r="S940" s="655">
        <v>7260</v>
      </c>
      <c r="T940" s="655">
        <v>767</v>
      </c>
      <c r="U940" s="655">
        <v>30000</v>
      </c>
      <c r="V940" s="655">
        <v>0</v>
      </c>
      <c r="W940" s="655">
        <v>123033</v>
      </c>
      <c r="X940" s="655">
        <v>165171</v>
      </c>
      <c r="Y940" s="655">
        <v>0</v>
      </c>
      <c r="Z940" s="655">
        <v>0</v>
      </c>
      <c r="AA940" s="655">
        <v>0</v>
      </c>
      <c r="AB940" s="655">
        <v>0</v>
      </c>
      <c r="AC940" s="655">
        <v>-2142</v>
      </c>
      <c r="AD940" s="655">
        <v>15658</v>
      </c>
      <c r="AE940" s="655">
        <v>2262203</v>
      </c>
      <c r="AF940" s="655">
        <v>41379</v>
      </c>
      <c r="AG940" s="655">
        <v>112069</v>
      </c>
      <c r="AH940" s="655">
        <v>0</v>
      </c>
      <c r="AI940" s="655">
        <v>395480</v>
      </c>
      <c r="AJ940" s="655">
        <v>430830</v>
      </c>
      <c r="AK940" s="655">
        <v>3241961</v>
      </c>
      <c r="AL940" s="655">
        <v>2690145</v>
      </c>
      <c r="AM940" s="655">
        <v>551816</v>
      </c>
    </row>
    <row r="941" spans="1:39" x14ac:dyDescent="0.2">
      <c r="A941" s="648">
        <v>2015</v>
      </c>
      <c r="B941" s="648">
        <v>7</v>
      </c>
      <c r="C941" s="657" t="s">
        <v>346</v>
      </c>
      <c r="D941" s="648">
        <v>6098</v>
      </c>
      <c r="E941" s="648" t="s">
        <v>1289</v>
      </c>
      <c r="F941" s="655">
        <v>9365069</v>
      </c>
      <c r="G941" s="655">
        <v>0</v>
      </c>
      <c r="H941" s="655">
        <v>272018</v>
      </c>
      <c r="I941" s="655">
        <v>1707297</v>
      </c>
      <c r="J941" s="655">
        <v>832209</v>
      </c>
      <c r="K941" s="655">
        <v>86260</v>
      </c>
      <c r="L941" s="655">
        <v>108917</v>
      </c>
      <c r="M941" s="655">
        <v>0</v>
      </c>
      <c r="N941" s="655">
        <v>491026</v>
      </c>
      <c r="O941" s="655">
        <v>0</v>
      </c>
      <c r="P941" s="655">
        <v>77013</v>
      </c>
      <c r="Q941" s="655">
        <v>86039</v>
      </c>
      <c r="R941" s="655">
        <v>0</v>
      </c>
      <c r="S941" s="655">
        <v>62679</v>
      </c>
      <c r="T941" s="655">
        <v>7195</v>
      </c>
      <c r="U941" s="655">
        <v>175595</v>
      </c>
      <c r="V941" s="655">
        <v>0</v>
      </c>
      <c r="W941" s="655">
        <v>429650</v>
      </c>
      <c r="X941" s="655">
        <v>29983</v>
      </c>
      <c r="Y941" s="655">
        <v>0</v>
      </c>
      <c r="Z941" s="655">
        <v>0</v>
      </c>
      <c r="AA941" s="655">
        <v>0</v>
      </c>
      <c r="AB941" s="655">
        <v>0</v>
      </c>
      <c r="AC941" s="655">
        <v>-184</v>
      </c>
      <c r="AD941" s="655">
        <v>75549</v>
      </c>
      <c r="AE941" s="655">
        <v>13655217</v>
      </c>
      <c r="AF941" s="655">
        <v>267372</v>
      </c>
      <c r="AG941" s="655">
        <v>626055</v>
      </c>
      <c r="AH941" s="655">
        <v>0</v>
      </c>
      <c r="AI941" s="655">
        <v>1349825</v>
      </c>
      <c r="AJ941" s="655">
        <v>2937068</v>
      </c>
      <c r="AK941" s="655">
        <v>18835537</v>
      </c>
      <c r="AL941" s="655">
        <v>16226501</v>
      </c>
      <c r="AM941" s="655">
        <v>2609036</v>
      </c>
    </row>
    <row r="942" spans="1:39" x14ac:dyDescent="0.2">
      <c r="A942" s="648">
        <v>2015</v>
      </c>
      <c r="B942" s="648">
        <v>1</v>
      </c>
      <c r="C942" s="657" t="s">
        <v>347</v>
      </c>
      <c r="D942" s="648">
        <v>6100</v>
      </c>
      <c r="E942" s="648" t="s">
        <v>1290</v>
      </c>
      <c r="F942" s="655">
        <v>3592970</v>
      </c>
      <c r="G942" s="655">
        <v>0</v>
      </c>
      <c r="H942" s="655">
        <v>122533</v>
      </c>
      <c r="I942" s="655">
        <v>579306</v>
      </c>
      <c r="J942" s="655">
        <v>320929</v>
      </c>
      <c r="K942" s="655">
        <v>36974</v>
      </c>
      <c r="L942" s="655">
        <v>27396</v>
      </c>
      <c r="M942" s="655">
        <v>0</v>
      </c>
      <c r="N942" s="655">
        <v>192740</v>
      </c>
      <c r="O942" s="655">
        <v>795</v>
      </c>
      <c r="P942" s="655">
        <v>38328</v>
      </c>
      <c r="Q942" s="655">
        <v>42778</v>
      </c>
      <c r="R942" s="655">
        <v>0</v>
      </c>
      <c r="S942" s="655">
        <v>18954</v>
      </c>
      <c r="T942" s="655">
        <v>2025</v>
      </c>
      <c r="U942" s="655">
        <v>129502</v>
      </c>
      <c r="V942" s="655">
        <v>0</v>
      </c>
      <c r="W942" s="655">
        <v>114815</v>
      </c>
      <c r="X942" s="655">
        <v>201912</v>
      </c>
      <c r="Y942" s="655">
        <v>0</v>
      </c>
      <c r="Z942" s="655">
        <v>0</v>
      </c>
      <c r="AA942" s="655">
        <v>0</v>
      </c>
      <c r="AB942" s="655">
        <v>0</v>
      </c>
      <c r="AC942" s="655">
        <v>0</v>
      </c>
      <c r="AD942" s="655">
        <v>37693</v>
      </c>
      <c r="AE942" s="655">
        <v>5384264</v>
      </c>
      <c r="AF942" s="655">
        <v>165516</v>
      </c>
      <c r="AG942" s="655">
        <v>293653</v>
      </c>
      <c r="AH942" s="655">
        <v>0</v>
      </c>
      <c r="AI942" s="655">
        <v>844936</v>
      </c>
      <c r="AJ942" s="655">
        <v>1385466</v>
      </c>
      <c r="AK942" s="655">
        <v>8073835</v>
      </c>
      <c r="AL942" s="655">
        <v>6967696</v>
      </c>
      <c r="AM942" s="655">
        <v>1106139</v>
      </c>
    </row>
    <row r="943" spans="1:39" x14ac:dyDescent="0.2">
      <c r="A943" s="648">
        <v>2015</v>
      </c>
      <c r="B943" s="648">
        <v>11</v>
      </c>
      <c r="C943" s="657" t="s">
        <v>348</v>
      </c>
      <c r="D943" s="648">
        <v>6101</v>
      </c>
      <c r="E943" s="648" t="s">
        <v>1291</v>
      </c>
      <c r="F943" s="655">
        <v>42123185</v>
      </c>
      <c r="G943" s="655">
        <v>0</v>
      </c>
      <c r="H943" s="655">
        <v>657086</v>
      </c>
      <c r="I943" s="655">
        <v>4325824</v>
      </c>
      <c r="J943" s="655">
        <v>3406049</v>
      </c>
      <c r="K943" s="655">
        <v>390199</v>
      </c>
      <c r="L943" s="655">
        <v>384839</v>
      </c>
      <c r="M943" s="655">
        <v>0</v>
      </c>
      <c r="N943" s="655">
        <v>1983313</v>
      </c>
      <c r="O943" s="655">
        <v>0</v>
      </c>
      <c r="P943" s="655">
        <v>355510</v>
      </c>
      <c r="Q943" s="655">
        <v>390199</v>
      </c>
      <c r="R943" s="655">
        <v>0</v>
      </c>
      <c r="S943" s="655">
        <v>161981</v>
      </c>
      <c r="T943" s="655">
        <v>20649</v>
      </c>
      <c r="U943" s="655">
        <v>1509229</v>
      </c>
      <c r="V943" s="655">
        <v>258221</v>
      </c>
      <c r="W943" s="655">
        <v>663217</v>
      </c>
      <c r="X943" s="655">
        <v>1539046</v>
      </c>
      <c r="Y943" s="655">
        <v>0</v>
      </c>
      <c r="Z943" s="655">
        <v>0</v>
      </c>
      <c r="AA943" s="655">
        <v>0</v>
      </c>
      <c r="AB943" s="655">
        <v>0</v>
      </c>
      <c r="AC943" s="655">
        <v>-18363</v>
      </c>
      <c r="AD943" s="655">
        <v>198481</v>
      </c>
      <c r="AE943" s="655">
        <v>57951703</v>
      </c>
      <c r="AF943" s="655">
        <v>748005</v>
      </c>
      <c r="AG943" s="655">
        <v>2617114</v>
      </c>
      <c r="AH943" s="655">
        <v>0</v>
      </c>
      <c r="AI943" s="655">
        <v>9156151</v>
      </c>
      <c r="AJ943" s="655">
        <v>2282436</v>
      </c>
      <c r="AK943" s="655">
        <v>72755409</v>
      </c>
      <c r="AL943" s="655">
        <v>69338997</v>
      </c>
      <c r="AM943" s="655">
        <v>3416412</v>
      </c>
    </row>
    <row r="944" spans="1:39" x14ac:dyDescent="0.2">
      <c r="A944" s="648">
        <v>2015</v>
      </c>
      <c r="B944" s="648">
        <v>5</v>
      </c>
      <c r="C944" s="657" t="s">
        <v>349</v>
      </c>
      <c r="D944" s="648">
        <v>6102</v>
      </c>
      <c r="E944" s="648" t="s">
        <v>1292</v>
      </c>
      <c r="F944" s="655">
        <v>12307388</v>
      </c>
      <c r="G944" s="655">
        <v>0</v>
      </c>
      <c r="H944" s="655">
        <v>271593</v>
      </c>
      <c r="I944" s="655">
        <v>1984282</v>
      </c>
      <c r="J944" s="655">
        <v>1076384</v>
      </c>
      <c r="K944" s="655">
        <v>130517</v>
      </c>
      <c r="L944" s="655">
        <v>127230</v>
      </c>
      <c r="M944" s="655">
        <v>0</v>
      </c>
      <c r="N944" s="655">
        <v>650668</v>
      </c>
      <c r="O944" s="655">
        <v>0</v>
      </c>
      <c r="P944" s="655">
        <v>110596</v>
      </c>
      <c r="Q944" s="655">
        <v>124241</v>
      </c>
      <c r="R944" s="655">
        <v>1985</v>
      </c>
      <c r="S944" s="655">
        <v>69326</v>
      </c>
      <c r="T944" s="655">
        <v>8262</v>
      </c>
      <c r="U944" s="655">
        <v>593303</v>
      </c>
      <c r="V944" s="655">
        <v>49714</v>
      </c>
      <c r="W944" s="655">
        <v>73452</v>
      </c>
      <c r="X944" s="655">
        <v>1120753</v>
      </c>
      <c r="Y944" s="655">
        <v>0</v>
      </c>
      <c r="Z944" s="655">
        <v>0</v>
      </c>
      <c r="AA944" s="655">
        <v>0</v>
      </c>
      <c r="AB944" s="655">
        <v>0</v>
      </c>
      <c r="AC944" s="655">
        <v>612</v>
      </c>
      <c r="AD944" s="655">
        <v>101066</v>
      </c>
      <c r="AE944" s="655">
        <v>18599240</v>
      </c>
      <c r="AF944" s="655">
        <v>385143</v>
      </c>
      <c r="AG944" s="655">
        <v>645276</v>
      </c>
      <c r="AH944" s="655">
        <v>0</v>
      </c>
      <c r="AI944" s="655">
        <v>2324677</v>
      </c>
      <c r="AJ944" s="655">
        <v>6781695</v>
      </c>
      <c r="AK944" s="655">
        <v>28736031</v>
      </c>
      <c r="AL944" s="655">
        <v>21940267</v>
      </c>
      <c r="AM944" s="655">
        <v>6795764</v>
      </c>
    </row>
    <row r="945" spans="1:39" x14ac:dyDescent="0.2">
      <c r="A945" s="648">
        <v>2015</v>
      </c>
      <c r="B945" s="648">
        <v>5</v>
      </c>
      <c r="C945" s="657" t="s">
        <v>350</v>
      </c>
      <c r="D945" s="648">
        <v>6120</v>
      </c>
      <c r="E945" s="648" t="s">
        <v>1293</v>
      </c>
      <c r="F945" s="655">
        <v>7372465</v>
      </c>
      <c r="G945" s="655">
        <v>0</v>
      </c>
      <c r="H945" s="655">
        <v>136684</v>
      </c>
      <c r="I945" s="655">
        <v>713756</v>
      </c>
      <c r="J945" s="655">
        <v>638738</v>
      </c>
      <c r="K945" s="655">
        <v>75983</v>
      </c>
      <c r="L945" s="655">
        <v>71987</v>
      </c>
      <c r="M945" s="655">
        <v>0</v>
      </c>
      <c r="N945" s="655">
        <v>368148</v>
      </c>
      <c r="O945" s="655">
        <v>0</v>
      </c>
      <c r="P945" s="655">
        <v>60935</v>
      </c>
      <c r="Q945" s="655">
        <v>68453</v>
      </c>
      <c r="R945" s="655">
        <v>1125</v>
      </c>
      <c r="S945" s="655">
        <v>39224</v>
      </c>
      <c r="T945" s="655">
        <v>4674</v>
      </c>
      <c r="U945" s="655">
        <v>352537</v>
      </c>
      <c r="V945" s="655">
        <v>0</v>
      </c>
      <c r="W945" s="655">
        <v>125410</v>
      </c>
      <c r="X945" s="655">
        <v>366712</v>
      </c>
      <c r="Y945" s="655">
        <v>0</v>
      </c>
      <c r="Z945" s="655">
        <v>0</v>
      </c>
      <c r="AA945" s="655">
        <v>0</v>
      </c>
      <c r="AB945" s="655">
        <v>0</v>
      </c>
      <c r="AC945" s="655">
        <v>0</v>
      </c>
      <c r="AD945" s="655">
        <v>56032</v>
      </c>
      <c r="AE945" s="655">
        <v>10340799</v>
      </c>
      <c r="AF945" s="655">
        <v>168699</v>
      </c>
      <c r="AG945" s="655">
        <v>668536</v>
      </c>
      <c r="AH945" s="655">
        <v>0</v>
      </c>
      <c r="AI945" s="655">
        <v>1521235</v>
      </c>
      <c r="AJ945" s="655">
        <v>1843139</v>
      </c>
      <c r="AK945" s="655">
        <v>14542408</v>
      </c>
      <c r="AL945" s="655">
        <v>12548050</v>
      </c>
      <c r="AM945" s="655">
        <v>1994358</v>
      </c>
    </row>
    <row r="946" spans="1:39" x14ac:dyDescent="0.2">
      <c r="A946" s="648">
        <v>2015</v>
      </c>
      <c r="B946" s="648">
        <v>10</v>
      </c>
      <c r="C946" s="657" t="s">
        <v>351</v>
      </c>
      <c r="D946" s="648">
        <v>6138</v>
      </c>
      <c r="E946" s="648" t="s">
        <v>1294</v>
      </c>
      <c r="F946" s="655">
        <v>2390825</v>
      </c>
      <c r="G946" s="655">
        <v>0</v>
      </c>
      <c r="H946" s="655">
        <v>41421</v>
      </c>
      <c r="I946" s="655">
        <v>278107</v>
      </c>
      <c r="J946" s="655">
        <v>222282</v>
      </c>
      <c r="K946" s="655">
        <v>21065</v>
      </c>
      <c r="L946" s="655">
        <v>19200</v>
      </c>
      <c r="M946" s="655">
        <v>0</v>
      </c>
      <c r="N946" s="655">
        <v>116170</v>
      </c>
      <c r="O946" s="655">
        <v>12815</v>
      </c>
      <c r="P946" s="655">
        <v>19895</v>
      </c>
      <c r="Q946" s="655">
        <v>21854</v>
      </c>
      <c r="R946" s="655">
        <v>0</v>
      </c>
      <c r="S946" s="655">
        <v>10817</v>
      </c>
      <c r="T946" s="655">
        <v>1258</v>
      </c>
      <c r="U946" s="655">
        <v>15353</v>
      </c>
      <c r="V946" s="655">
        <v>0</v>
      </c>
      <c r="W946" s="655">
        <v>88755</v>
      </c>
      <c r="X946" s="655">
        <v>0</v>
      </c>
      <c r="Y946" s="655">
        <v>22156</v>
      </c>
      <c r="Z946" s="655">
        <v>0</v>
      </c>
      <c r="AA946" s="655">
        <v>0</v>
      </c>
      <c r="AB946" s="655">
        <v>0</v>
      </c>
      <c r="AC946" s="655">
        <v>-2095</v>
      </c>
      <c r="AD946" s="655">
        <v>21853</v>
      </c>
      <c r="AE946" s="655">
        <v>3213713</v>
      </c>
      <c r="AF946" s="655">
        <v>63660</v>
      </c>
      <c r="AG946" s="655">
        <v>184572</v>
      </c>
      <c r="AH946" s="655">
        <v>0</v>
      </c>
      <c r="AI946" s="655">
        <v>596698</v>
      </c>
      <c r="AJ946" s="655">
        <v>1449862</v>
      </c>
      <c r="AK946" s="655">
        <v>5508505</v>
      </c>
      <c r="AL946" s="655">
        <v>4054925</v>
      </c>
      <c r="AM946" s="655">
        <v>1453580</v>
      </c>
    </row>
    <row r="947" spans="1:39" x14ac:dyDescent="0.2">
      <c r="A947" s="648">
        <v>2015</v>
      </c>
      <c r="B947" s="648">
        <v>13</v>
      </c>
      <c r="C947" s="657" t="s">
        <v>352</v>
      </c>
      <c r="D947" s="648">
        <v>6165</v>
      </c>
      <c r="E947" s="648" t="s">
        <v>1295</v>
      </c>
      <c r="F947" s="655">
        <v>1145880</v>
      </c>
      <c r="G947" s="655">
        <v>0</v>
      </c>
      <c r="H947" s="655">
        <v>180864</v>
      </c>
      <c r="I947" s="655">
        <v>160169</v>
      </c>
      <c r="J947" s="655">
        <v>115205</v>
      </c>
      <c r="K947" s="655">
        <v>14319</v>
      </c>
      <c r="L947" s="655">
        <v>11374</v>
      </c>
      <c r="M947" s="655">
        <v>0</v>
      </c>
      <c r="N947" s="655">
        <v>57420</v>
      </c>
      <c r="O947" s="655">
        <v>4527</v>
      </c>
      <c r="P947" s="655">
        <v>9376</v>
      </c>
      <c r="Q947" s="655">
        <v>10370</v>
      </c>
      <c r="R947" s="655">
        <v>0</v>
      </c>
      <c r="S947" s="655">
        <v>5896</v>
      </c>
      <c r="T947" s="655">
        <v>626</v>
      </c>
      <c r="U947" s="655">
        <v>0</v>
      </c>
      <c r="V947" s="655">
        <v>0</v>
      </c>
      <c r="W947" s="655">
        <v>6121</v>
      </c>
      <c r="X947" s="655">
        <v>312</v>
      </c>
      <c r="Y947" s="655">
        <v>0</v>
      </c>
      <c r="Z947" s="655">
        <v>0</v>
      </c>
      <c r="AA947" s="655">
        <v>0</v>
      </c>
      <c r="AB947" s="655">
        <v>0</v>
      </c>
      <c r="AC947" s="655">
        <v>0</v>
      </c>
      <c r="AD947" s="655">
        <v>12066</v>
      </c>
      <c r="AE947" s="655">
        <v>1710393</v>
      </c>
      <c r="AF947" s="655">
        <v>44562</v>
      </c>
      <c r="AG947" s="655">
        <v>91980</v>
      </c>
      <c r="AH947" s="655">
        <v>0</v>
      </c>
      <c r="AI947" s="655">
        <v>527499</v>
      </c>
      <c r="AJ947" s="655">
        <v>327839</v>
      </c>
      <c r="AK947" s="655">
        <v>2702273</v>
      </c>
      <c r="AL947" s="655">
        <v>2422295</v>
      </c>
      <c r="AM947" s="655">
        <v>279978</v>
      </c>
    </row>
    <row r="948" spans="1:39" x14ac:dyDescent="0.2">
      <c r="A948" s="648">
        <v>2015</v>
      </c>
      <c r="B948" s="648">
        <v>1</v>
      </c>
      <c r="C948" s="657" t="s">
        <v>353</v>
      </c>
      <c r="D948" s="648">
        <v>6175</v>
      </c>
      <c r="E948" s="648" t="s">
        <v>1296</v>
      </c>
      <c r="F948" s="655">
        <v>3935822</v>
      </c>
      <c r="G948" s="655">
        <v>0</v>
      </c>
      <c r="H948" s="655">
        <v>69708</v>
      </c>
      <c r="I948" s="655">
        <v>561887</v>
      </c>
      <c r="J948" s="655">
        <v>372861</v>
      </c>
      <c r="K948" s="655">
        <v>41308</v>
      </c>
      <c r="L948" s="655">
        <v>45780</v>
      </c>
      <c r="M948" s="655">
        <v>0</v>
      </c>
      <c r="N948" s="655">
        <v>207318</v>
      </c>
      <c r="O948" s="655">
        <v>9915</v>
      </c>
      <c r="P948" s="655">
        <v>32306</v>
      </c>
      <c r="Q948" s="655">
        <v>36057</v>
      </c>
      <c r="R948" s="655">
        <v>0</v>
      </c>
      <c r="S948" s="655">
        <v>20388</v>
      </c>
      <c r="T948" s="655">
        <v>2178</v>
      </c>
      <c r="U948" s="655">
        <v>73411</v>
      </c>
      <c r="V948" s="655">
        <v>386</v>
      </c>
      <c r="W948" s="655">
        <v>51933</v>
      </c>
      <c r="X948" s="655">
        <v>142335</v>
      </c>
      <c r="Y948" s="655">
        <v>0</v>
      </c>
      <c r="Z948" s="655">
        <v>0</v>
      </c>
      <c r="AA948" s="655">
        <v>0</v>
      </c>
      <c r="AB948" s="655">
        <v>0</v>
      </c>
      <c r="AC948" s="655">
        <v>0</v>
      </c>
      <c r="AD948" s="655">
        <v>41746</v>
      </c>
      <c r="AE948" s="655">
        <v>5561847</v>
      </c>
      <c r="AF948" s="655">
        <v>108222</v>
      </c>
      <c r="AG948" s="655">
        <v>307545</v>
      </c>
      <c r="AH948" s="655">
        <v>0</v>
      </c>
      <c r="AI948" s="655">
        <v>1110591</v>
      </c>
      <c r="AJ948" s="655">
        <v>9662</v>
      </c>
      <c r="AK948" s="655">
        <v>7097867</v>
      </c>
      <c r="AL948" s="655">
        <v>7229161</v>
      </c>
      <c r="AM948" s="655">
        <v>-131294</v>
      </c>
    </row>
    <row r="949" spans="1:39" x14ac:dyDescent="0.2">
      <c r="A949" s="648">
        <v>2015</v>
      </c>
      <c r="B949" s="648">
        <v>5</v>
      </c>
      <c r="C949" s="657" t="s">
        <v>354</v>
      </c>
      <c r="D949" s="648">
        <v>6219</v>
      </c>
      <c r="E949" s="648" t="s">
        <v>1297</v>
      </c>
      <c r="F949" s="655">
        <v>14366789</v>
      </c>
      <c r="G949" s="655">
        <v>0</v>
      </c>
      <c r="H949" s="655">
        <v>1467643</v>
      </c>
      <c r="I949" s="655">
        <v>1385878</v>
      </c>
      <c r="J949" s="655">
        <v>1207478</v>
      </c>
      <c r="K949" s="655">
        <v>139357</v>
      </c>
      <c r="L949" s="655">
        <v>180138</v>
      </c>
      <c r="M949" s="655">
        <v>0</v>
      </c>
      <c r="N949" s="655">
        <v>717184</v>
      </c>
      <c r="O949" s="655">
        <v>0</v>
      </c>
      <c r="P949" s="655">
        <v>130576</v>
      </c>
      <c r="Q949" s="655">
        <v>146686</v>
      </c>
      <c r="R949" s="655">
        <v>2188</v>
      </c>
      <c r="S949" s="655">
        <v>76413</v>
      </c>
      <c r="T949" s="655">
        <v>9106</v>
      </c>
      <c r="U949" s="655">
        <v>82140</v>
      </c>
      <c r="V949" s="655">
        <v>0</v>
      </c>
      <c r="W949" s="655">
        <v>364828</v>
      </c>
      <c r="X949" s="655">
        <v>554774</v>
      </c>
      <c r="Y949" s="655">
        <v>0</v>
      </c>
      <c r="Z949" s="655">
        <v>0</v>
      </c>
      <c r="AA949" s="655">
        <v>0</v>
      </c>
      <c r="AB949" s="655">
        <v>0</v>
      </c>
      <c r="AC949" s="655">
        <v>-2265</v>
      </c>
      <c r="AD949" s="655">
        <v>89007</v>
      </c>
      <c r="AE949" s="655">
        <v>20739906</v>
      </c>
      <c r="AF949" s="655">
        <v>311934</v>
      </c>
      <c r="AG949" s="655">
        <v>866748</v>
      </c>
      <c r="AH949" s="655">
        <v>0</v>
      </c>
      <c r="AI949" s="655">
        <v>3863929</v>
      </c>
      <c r="AJ949" s="655">
        <v>11057404</v>
      </c>
      <c r="AK949" s="655">
        <v>36839921</v>
      </c>
      <c r="AL949" s="655">
        <v>25266608</v>
      </c>
      <c r="AM949" s="655">
        <v>11573313</v>
      </c>
    </row>
    <row r="950" spans="1:39" x14ac:dyDescent="0.2">
      <c r="A950" s="648">
        <v>2015</v>
      </c>
      <c r="B950" s="648">
        <v>5</v>
      </c>
      <c r="C950" s="657" t="s">
        <v>355</v>
      </c>
      <c r="D950" s="648">
        <v>6246</v>
      </c>
      <c r="E950" s="648" t="s">
        <v>1298</v>
      </c>
      <c r="F950" s="655">
        <v>1060950</v>
      </c>
      <c r="G950" s="655">
        <v>0</v>
      </c>
      <c r="H950" s="655">
        <v>80271</v>
      </c>
      <c r="I950" s="655">
        <v>111262</v>
      </c>
      <c r="J950" s="655">
        <v>85549</v>
      </c>
      <c r="K950" s="655">
        <v>8262</v>
      </c>
      <c r="L950" s="655">
        <v>9448</v>
      </c>
      <c r="M950" s="655">
        <v>0</v>
      </c>
      <c r="N950" s="655">
        <v>51940</v>
      </c>
      <c r="O950" s="655">
        <v>11571</v>
      </c>
      <c r="P950" s="655">
        <v>8495</v>
      </c>
      <c r="Q950" s="655">
        <v>9543</v>
      </c>
      <c r="R950" s="655">
        <v>159</v>
      </c>
      <c r="S950" s="655">
        <v>5534</v>
      </c>
      <c r="T950" s="655">
        <v>659</v>
      </c>
      <c r="U950" s="655">
        <v>39402</v>
      </c>
      <c r="V950" s="655">
        <v>0</v>
      </c>
      <c r="W950" s="655">
        <v>95499</v>
      </c>
      <c r="X950" s="655">
        <v>102696</v>
      </c>
      <c r="Y950" s="655">
        <v>0</v>
      </c>
      <c r="Z950" s="655">
        <v>0</v>
      </c>
      <c r="AA950" s="655">
        <v>0</v>
      </c>
      <c r="AB950" s="655">
        <v>0</v>
      </c>
      <c r="AC950" s="655">
        <v>0</v>
      </c>
      <c r="AD950" s="655">
        <v>10017</v>
      </c>
      <c r="AE950" s="655">
        <v>1671223</v>
      </c>
      <c r="AF950" s="655">
        <v>35013</v>
      </c>
      <c r="AG950" s="655">
        <v>88027</v>
      </c>
      <c r="AH950" s="655">
        <v>0</v>
      </c>
      <c r="AI950" s="655">
        <v>203989</v>
      </c>
      <c r="AJ950" s="655">
        <v>2145761</v>
      </c>
      <c r="AK950" s="655">
        <v>4144013</v>
      </c>
      <c r="AL950" s="655">
        <v>1865829</v>
      </c>
      <c r="AM950" s="655">
        <v>2278184</v>
      </c>
    </row>
    <row r="951" spans="1:39" x14ac:dyDescent="0.2">
      <c r="A951" s="648">
        <v>2015</v>
      </c>
      <c r="B951" s="648">
        <v>11</v>
      </c>
      <c r="C951" s="657" t="s">
        <v>356</v>
      </c>
      <c r="D951" s="648">
        <v>6264</v>
      </c>
      <c r="E951" s="648" t="s">
        <v>1299</v>
      </c>
      <c r="F951" s="655">
        <v>5993981</v>
      </c>
      <c r="G951" s="655">
        <v>0</v>
      </c>
      <c r="H951" s="655">
        <v>67099</v>
      </c>
      <c r="I951" s="655">
        <v>771454</v>
      </c>
      <c r="J951" s="655">
        <v>525005</v>
      </c>
      <c r="K951" s="655">
        <v>50919</v>
      </c>
      <c r="L951" s="655">
        <v>56324</v>
      </c>
      <c r="M951" s="655">
        <v>0</v>
      </c>
      <c r="N951" s="655">
        <v>285911</v>
      </c>
      <c r="O951" s="655">
        <v>0</v>
      </c>
      <c r="P951" s="655">
        <v>48479</v>
      </c>
      <c r="Q951" s="655">
        <v>53209</v>
      </c>
      <c r="R951" s="655">
        <v>0</v>
      </c>
      <c r="S951" s="655">
        <v>23351</v>
      </c>
      <c r="T951" s="655">
        <v>2977</v>
      </c>
      <c r="U951" s="655">
        <v>123416</v>
      </c>
      <c r="V951" s="655">
        <v>0</v>
      </c>
      <c r="W951" s="655">
        <v>181593</v>
      </c>
      <c r="X951" s="655">
        <v>213971</v>
      </c>
      <c r="Y951" s="655">
        <v>0</v>
      </c>
      <c r="Z951" s="655">
        <v>0</v>
      </c>
      <c r="AA951" s="655">
        <v>0</v>
      </c>
      <c r="AB951" s="655">
        <v>0</v>
      </c>
      <c r="AC951" s="655">
        <v>0</v>
      </c>
      <c r="AD951" s="655">
        <v>43965</v>
      </c>
      <c r="AE951" s="655">
        <v>8353724</v>
      </c>
      <c r="AF951" s="655">
        <v>171882</v>
      </c>
      <c r="AG951" s="655">
        <v>488809</v>
      </c>
      <c r="AH951" s="655">
        <v>0</v>
      </c>
      <c r="AI951" s="655">
        <v>643898</v>
      </c>
      <c r="AJ951" s="655">
        <v>3726333</v>
      </c>
      <c r="AK951" s="655">
        <v>13384646</v>
      </c>
      <c r="AL951" s="655">
        <v>9689925</v>
      </c>
      <c r="AM951" s="655">
        <v>3694721</v>
      </c>
    </row>
    <row r="952" spans="1:39" x14ac:dyDescent="0.2">
      <c r="A952" s="648">
        <v>2015</v>
      </c>
      <c r="B952" s="648">
        <v>7</v>
      </c>
      <c r="C952" s="657" t="s">
        <v>357</v>
      </c>
      <c r="D952" s="648">
        <v>6273</v>
      </c>
      <c r="E952" s="648" t="s">
        <v>1640</v>
      </c>
      <c r="F952" s="655">
        <v>5463938</v>
      </c>
      <c r="G952" s="655">
        <v>0</v>
      </c>
      <c r="H952" s="655">
        <v>414070</v>
      </c>
      <c r="I952" s="655">
        <v>614255</v>
      </c>
      <c r="J952" s="655">
        <v>485892</v>
      </c>
      <c r="K952" s="655">
        <v>53352</v>
      </c>
      <c r="L952" s="655">
        <v>48751</v>
      </c>
      <c r="M952" s="655">
        <v>0</v>
      </c>
      <c r="N952" s="655">
        <v>270397</v>
      </c>
      <c r="O952" s="655">
        <v>0</v>
      </c>
      <c r="P952" s="655">
        <v>45160</v>
      </c>
      <c r="Q952" s="655">
        <v>50453</v>
      </c>
      <c r="R952" s="655">
        <v>0</v>
      </c>
      <c r="S952" s="655">
        <v>34516</v>
      </c>
      <c r="T952" s="655">
        <v>3962</v>
      </c>
      <c r="U952" s="655">
        <v>79374</v>
      </c>
      <c r="V952" s="655">
        <v>5790</v>
      </c>
      <c r="W952" s="655">
        <v>74853</v>
      </c>
      <c r="X952" s="655">
        <v>0</v>
      </c>
      <c r="Y952" s="655">
        <v>0</v>
      </c>
      <c r="Z952" s="655">
        <v>0</v>
      </c>
      <c r="AA952" s="655">
        <v>0</v>
      </c>
      <c r="AB952" s="655">
        <v>0</v>
      </c>
      <c r="AC952" s="655">
        <v>0</v>
      </c>
      <c r="AD952" s="655">
        <v>48164</v>
      </c>
      <c r="AE952" s="655">
        <v>7596599</v>
      </c>
      <c r="AF952" s="655">
        <v>140052</v>
      </c>
      <c r="AG952" s="655">
        <v>430012</v>
      </c>
      <c r="AH952" s="655">
        <v>0</v>
      </c>
      <c r="AI952" s="655">
        <v>640931</v>
      </c>
      <c r="AJ952" s="655">
        <v>1213553</v>
      </c>
      <c r="AK952" s="655">
        <v>10021147</v>
      </c>
      <c r="AL952" s="655">
        <v>8836904</v>
      </c>
      <c r="AM952" s="655">
        <v>1184243</v>
      </c>
    </row>
    <row r="953" spans="1:39" x14ac:dyDescent="0.2">
      <c r="A953" s="648">
        <v>2015</v>
      </c>
      <c r="B953" s="648">
        <v>10</v>
      </c>
      <c r="C953" s="657" t="s">
        <v>358</v>
      </c>
      <c r="D953" s="648">
        <v>6408</v>
      </c>
      <c r="E953" s="648" t="s">
        <v>1300</v>
      </c>
      <c r="F953" s="655">
        <v>5691237</v>
      </c>
      <c r="G953" s="655">
        <v>0</v>
      </c>
      <c r="H953" s="655">
        <v>93727</v>
      </c>
      <c r="I953" s="655">
        <v>770361</v>
      </c>
      <c r="J953" s="655">
        <v>477401</v>
      </c>
      <c r="K953" s="655">
        <v>50589</v>
      </c>
      <c r="L953" s="655">
        <v>55768</v>
      </c>
      <c r="M953" s="655">
        <v>0</v>
      </c>
      <c r="N953" s="655">
        <v>280858</v>
      </c>
      <c r="O953" s="655">
        <v>0</v>
      </c>
      <c r="P953" s="655">
        <v>46299</v>
      </c>
      <c r="Q953" s="655">
        <v>50860</v>
      </c>
      <c r="R953" s="655">
        <v>0</v>
      </c>
      <c r="S953" s="655">
        <v>26150</v>
      </c>
      <c r="T953" s="655">
        <v>3041</v>
      </c>
      <c r="U953" s="655">
        <v>19500</v>
      </c>
      <c r="V953" s="655">
        <v>0</v>
      </c>
      <c r="W953" s="655">
        <v>99011</v>
      </c>
      <c r="X953" s="655">
        <v>0</v>
      </c>
      <c r="Y953" s="655">
        <v>0</v>
      </c>
      <c r="Z953" s="655">
        <v>0</v>
      </c>
      <c r="AA953" s="655">
        <v>0</v>
      </c>
      <c r="AB953" s="655">
        <v>0</v>
      </c>
      <c r="AC953" s="655">
        <v>-6172</v>
      </c>
      <c r="AD953" s="655">
        <v>38524</v>
      </c>
      <c r="AE953" s="655">
        <v>7620106</v>
      </c>
      <c r="AF953" s="655">
        <v>95490</v>
      </c>
      <c r="AG953" s="655">
        <v>295006</v>
      </c>
      <c r="AH953" s="655">
        <v>0</v>
      </c>
      <c r="AI953" s="655">
        <v>993279</v>
      </c>
      <c r="AJ953" s="655">
        <v>2775662</v>
      </c>
      <c r="AK953" s="655">
        <v>11779543</v>
      </c>
      <c r="AL953" s="655">
        <v>8824083</v>
      </c>
      <c r="AM953" s="655">
        <v>2955460</v>
      </c>
    </row>
    <row r="954" spans="1:39" x14ac:dyDescent="0.2">
      <c r="A954" s="648">
        <v>2015</v>
      </c>
      <c r="B954" s="648">
        <v>13</v>
      </c>
      <c r="C954" s="657" t="s">
        <v>359</v>
      </c>
      <c r="D954" s="648">
        <v>6453</v>
      </c>
      <c r="E954" s="648" t="s">
        <v>1301</v>
      </c>
      <c r="F954" s="655">
        <v>3693553</v>
      </c>
      <c r="G954" s="655">
        <v>0</v>
      </c>
      <c r="H954" s="655">
        <v>48152</v>
      </c>
      <c r="I954" s="655">
        <v>230195</v>
      </c>
      <c r="J954" s="655">
        <v>322469</v>
      </c>
      <c r="K954" s="655">
        <v>33710</v>
      </c>
      <c r="L954" s="655">
        <v>35172</v>
      </c>
      <c r="M954" s="655">
        <v>0</v>
      </c>
      <c r="N954" s="655">
        <v>172507</v>
      </c>
      <c r="O954" s="655">
        <v>0</v>
      </c>
      <c r="P954" s="655">
        <v>32244</v>
      </c>
      <c r="Q954" s="655">
        <v>35661</v>
      </c>
      <c r="R954" s="655">
        <v>0</v>
      </c>
      <c r="S954" s="655">
        <v>17714</v>
      </c>
      <c r="T954" s="655">
        <v>1880</v>
      </c>
      <c r="U954" s="655">
        <v>23129</v>
      </c>
      <c r="V954" s="655">
        <v>0</v>
      </c>
      <c r="W954" s="655">
        <v>73452</v>
      </c>
      <c r="X954" s="655">
        <v>326020</v>
      </c>
      <c r="Y954" s="655">
        <v>0</v>
      </c>
      <c r="Z954" s="655">
        <v>0</v>
      </c>
      <c r="AA954" s="655">
        <v>0</v>
      </c>
      <c r="AB954" s="655">
        <v>0</v>
      </c>
      <c r="AC954" s="655">
        <v>0</v>
      </c>
      <c r="AD954" s="655">
        <v>22629</v>
      </c>
      <c r="AE954" s="655">
        <v>5023229</v>
      </c>
      <c r="AF954" s="655">
        <v>0</v>
      </c>
      <c r="AG954" s="655">
        <v>294967</v>
      </c>
      <c r="AH954" s="655">
        <v>0</v>
      </c>
      <c r="AI954" s="655">
        <v>1944098</v>
      </c>
      <c r="AJ954" s="655">
        <v>1648313</v>
      </c>
      <c r="AK954" s="655">
        <v>8910607</v>
      </c>
      <c r="AL954" s="655">
        <v>7084942</v>
      </c>
      <c r="AM954" s="655">
        <v>1825665</v>
      </c>
    </row>
    <row r="955" spans="1:39" x14ac:dyDescent="0.2">
      <c r="A955" s="648">
        <v>2015</v>
      </c>
      <c r="B955" s="648">
        <v>13</v>
      </c>
      <c r="C955" s="657" t="s">
        <v>360</v>
      </c>
      <c r="D955" s="648">
        <v>6460</v>
      </c>
      <c r="E955" s="648" t="s">
        <v>1302</v>
      </c>
      <c r="F955" s="655">
        <v>4376232</v>
      </c>
      <c r="G955" s="655">
        <v>0</v>
      </c>
      <c r="H955" s="655">
        <v>24248</v>
      </c>
      <c r="I955" s="655">
        <v>464495</v>
      </c>
      <c r="J955" s="655">
        <v>378225</v>
      </c>
      <c r="K955" s="655">
        <v>42326</v>
      </c>
      <c r="L955" s="655">
        <v>41033</v>
      </c>
      <c r="M955" s="655">
        <v>0</v>
      </c>
      <c r="N955" s="655">
        <v>211757</v>
      </c>
      <c r="O955" s="655">
        <v>0</v>
      </c>
      <c r="P955" s="655">
        <v>36098</v>
      </c>
      <c r="Q955" s="655">
        <v>39924</v>
      </c>
      <c r="R955" s="655">
        <v>0</v>
      </c>
      <c r="S955" s="655">
        <v>21745</v>
      </c>
      <c r="T955" s="655">
        <v>2308</v>
      </c>
      <c r="U955" s="655">
        <v>172687</v>
      </c>
      <c r="V955" s="655">
        <v>480244</v>
      </c>
      <c r="W955" s="655">
        <v>67331</v>
      </c>
      <c r="X955" s="655">
        <v>0</v>
      </c>
      <c r="Y955" s="655">
        <v>0</v>
      </c>
      <c r="Z955" s="655">
        <v>0</v>
      </c>
      <c r="AA955" s="655">
        <v>0</v>
      </c>
      <c r="AB955" s="655">
        <v>0</v>
      </c>
      <c r="AC955" s="655">
        <v>0</v>
      </c>
      <c r="AD955" s="655">
        <v>33287</v>
      </c>
      <c r="AE955" s="655">
        <v>6325366</v>
      </c>
      <c r="AF955" s="655">
        <v>117771</v>
      </c>
      <c r="AG955" s="655">
        <v>337364</v>
      </c>
      <c r="AH955" s="655">
        <v>0</v>
      </c>
      <c r="AI955" s="655">
        <v>1077388</v>
      </c>
      <c r="AJ955" s="655">
        <v>-480244</v>
      </c>
      <c r="AK955" s="655">
        <v>7377645</v>
      </c>
      <c r="AL955" s="655">
        <v>7476877</v>
      </c>
      <c r="AM955" s="655">
        <v>-99232</v>
      </c>
    </row>
    <row r="956" spans="1:39" x14ac:dyDescent="0.2">
      <c r="A956" s="648">
        <v>2015</v>
      </c>
      <c r="B956" s="648">
        <v>15</v>
      </c>
      <c r="C956" s="657" t="s">
        <v>361</v>
      </c>
      <c r="D956" s="648">
        <v>6462</v>
      </c>
      <c r="E956" s="648" t="s">
        <v>1303</v>
      </c>
      <c r="F956" s="655">
        <v>1655160</v>
      </c>
      <c r="G956" s="655">
        <v>20219</v>
      </c>
      <c r="H956" s="655">
        <v>108980</v>
      </c>
      <c r="I956" s="655">
        <v>262725</v>
      </c>
      <c r="J956" s="655">
        <v>167716</v>
      </c>
      <c r="K956" s="655">
        <v>15049</v>
      </c>
      <c r="L956" s="655">
        <v>19577</v>
      </c>
      <c r="M956" s="655">
        <v>0</v>
      </c>
      <c r="N956" s="655">
        <v>83524</v>
      </c>
      <c r="O956" s="655">
        <v>10533</v>
      </c>
      <c r="P956" s="655">
        <v>13640</v>
      </c>
      <c r="Q956" s="655">
        <v>14981</v>
      </c>
      <c r="R956" s="655">
        <v>227</v>
      </c>
      <c r="S956" s="655">
        <v>8360</v>
      </c>
      <c r="T956" s="655">
        <v>904</v>
      </c>
      <c r="U956" s="655">
        <v>59680</v>
      </c>
      <c r="V956" s="655">
        <v>0</v>
      </c>
      <c r="W956" s="655">
        <v>61210</v>
      </c>
      <c r="X956" s="655">
        <v>0</v>
      </c>
      <c r="Y956" s="655">
        <v>77647</v>
      </c>
      <c r="Z956" s="655">
        <v>0</v>
      </c>
      <c r="AA956" s="655">
        <v>0</v>
      </c>
      <c r="AB956" s="655">
        <v>0</v>
      </c>
      <c r="AC956" s="655">
        <v>0</v>
      </c>
      <c r="AD956" s="655">
        <v>17232</v>
      </c>
      <c r="AE956" s="655">
        <v>2407606</v>
      </c>
      <c r="AF956" s="655">
        <v>44562</v>
      </c>
      <c r="AG956" s="655">
        <v>135806</v>
      </c>
      <c r="AH956" s="655">
        <v>0</v>
      </c>
      <c r="AI956" s="655">
        <v>256511</v>
      </c>
      <c r="AJ956" s="655">
        <v>1175930</v>
      </c>
      <c r="AK956" s="655">
        <v>4020415</v>
      </c>
      <c r="AL956" s="655">
        <v>3068570</v>
      </c>
      <c r="AM956" s="655">
        <v>951845</v>
      </c>
    </row>
    <row r="957" spans="1:39" x14ac:dyDescent="0.2">
      <c r="A957" s="648">
        <v>2015</v>
      </c>
      <c r="B957" s="648">
        <v>7</v>
      </c>
      <c r="C957" s="657" t="s">
        <v>362</v>
      </c>
      <c r="D957" s="648">
        <v>6471</v>
      </c>
      <c r="E957" s="648" t="s">
        <v>1304</v>
      </c>
      <c r="F957" s="655">
        <v>2786175</v>
      </c>
      <c r="G957" s="655">
        <v>0</v>
      </c>
      <c r="H957" s="655">
        <v>29565</v>
      </c>
      <c r="I957" s="655">
        <v>337544</v>
      </c>
      <c r="J957" s="655">
        <v>261566</v>
      </c>
      <c r="K957" s="655">
        <v>26831</v>
      </c>
      <c r="L957" s="655">
        <v>27570</v>
      </c>
      <c r="M957" s="655">
        <v>0</v>
      </c>
      <c r="N957" s="655">
        <v>138117</v>
      </c>
      <c r="O957" s="655">
        <v>4521</v>
      </c>
      <c r="P957" s="655">
        <v>22947</v>
      </c>
      <c r="Q957" s="655">
        <v>25636</v>
      </c>
      <c r="R957" s="655">
        <v>0</v>
      </c>
      <c r="S957" s="655">
        <v>17630</v>
      </c>
      <c r="T957" s="655">
        <v>2024</v>
      </c>
      <c r="U957" s="655">
        <v>70201</v>
      </c>
      <c r="V957" s="655">
        <v>0</v>
      </c>
      <c r="W957" s="655">
        <v>73452</v>
      </c>
      <c r="X957" s="655">
        <v>0</v>
      </c>
      <c r="Y957" s="655">
        <v>0</v>
      </c>
      <c r="Z957" s="655">
        <v>0</v>
      </c>
      <c r="AA957" s="655">
        <v>0</v>
      </c>
      <c r="AB957" s="655">
        <v>0</v>
      </c>
      <c r="AC957" s="655">
        <v>0</v>
      </c>
      <c r="AD957" s="655">
        <v>22675</v>
      </c>
      <c r="AE957" s="655">
        <v>3801104</v>
      </c>
      <c r="AF957" s="655">
        <v>54111</v>
      </c>
      <c r="AG957" s="655">
        <v>207793</v>
      </c>
      <c r="AH957" s="655">
        <v>0</v>
      </c>
      <c r="AI957" s="655">
        <v>376536</v>
      </c>
      <c r="AJ957" s="655">
        <v>917636</v>
      </c>
      <c r="AK957" s="655">
        <v>5357180</v>
      </c>
      <c r="AL957" s="655">
        <v>4761915</v>
      </c>
      <c r="AM957" s="655">
        <v>595265</v>
      </c>
    </row>
    <row r="958" spans="1:39" x14ac:dyDescent="0.2">
      <c r="A958" s="648">
        <v>2015</v>
      </c>
      <c r="B958" s="648">
        <v>1</v>
      </c>
      <c r="C958" s="657" t="s">
        <v>363</v>
      </c>
      <c r="D958" s="648">
        <v>6509</v>
      </c>
      <c r="E958" s="648" t="s">
        <v>1305</v>
      </c>
      <c r="F958" s="655">
        <v>2320522</v>
      </c>
      <c r="G958" s="655">
        <v>101068</v>
      </c>
      <c r="H958" s="655">
        <v>90952</v>
      </c>
      <c r="I958" s="655">
        <v>301563</v>
      </c>
      <c r="J958" s="655">
        <v>219030</v>
      </c>
      <c r="K958" s="655">
        <v>25131</v>
      </c>
      <c r="L958" s="655">
        <v>17204</v>
      </c>
      <c r="M958" s="655">
        <v>0</v>
      </c>
      <c r="N958" s="655">
        <v>118032</v>
      </c>
      <c r="O958" s="655">
        <v>28722</v>
      </c>
      <c r="P958" s="655">
        <v>21311</v>
      </c>
      <c r="Q958" s="655">
        <v>23785</v>
      </c>
      <c r="R958" s="655">
        <v>0</v>
      </c>
      <c r="S958" s="655">
        <v>11899</v>
      </c>
      <c r="T958" s="655">
        <v>1266</v>
      </c>
      <c r="U958" s="655">
        <v>78061</v>
      </c>
      <c r="V958" s="655">
        <v>0</v>
      </c>
      <c r="W958" s="655">
        <v>75312</v>
      </c>
      <c r="X958" s="655">
        <v>183940</v>
      </c>
      <c r="Y958" s="655">
        <v>0</v>
      </c>
      <c r="Z958" s="655">
        <v>0</v>
      </c>
      <c r="AA958" s="655">
        <v>0</v>
      </c>
      <c r="AB958" s="655">
        <v>0</v>
      </c>
      <c r="AC958" s="655">
        <v>0</v>
      </c>
      <c r="AD958" s="655">
        <v>29583</v>
      </c>
      <c r="AE958" s="655">
        <v>3588215</v>
      </c>
      <c r="AF958" s="655">
        <v>92307</v>
      </c>
      <c r="AG958" s="655">
        <v>207070</v>
      </c>
      <c r="AH958" s="655">
        <v>0</v>
      </c>
      <c r="AI958" s="655">
        <v>827950</v>
      </c>
      <c r="AJ958" s="655">
        <v>507857</v>
      </c>
      <c r="AK958" s="655">
        <v>5223399</v>
      </c>
      <c r="AL958" s="655">
        <v>4856639</v>
      </c>
      <c r="AM958" s="655">
        <v>366760</v>
      </c>
    </row>
    <row r="959" spans="1:39" x14ac:dyDescent="0.2">
      <c r="A959" s="648">
        <v>2015</v>
      </c>
      <c r="B959" s="648">
        <v>11</v>
      </c>
      <c r="C959" s="657" t="s">
        <v>364</v>
      </c>
      <c r="D959" s="648">
        <v>6512</v>
      </c>
      <c r="E959" s="648" t="s">
        <v>1306</v>
      </c>
      <c r="F959" s="655">
        <v>2404075</v>
      </c>
      <c r="G959" s="655">
        <v>0</v>
      </c>
      <c r="H959" s="655">
        <v>24015</v>
      </c>
      <c r="I959" s="655">
        <v>293340</v>
      </c>
      <c r="J959" s="655">
        <v>226442</v>
      </c>
      <c r="K959" s="655">
        <v>23524</v>
      </c>
      <c r="L959" s="655">
        <v>27559</v>
      </c>
      <c r="M959" s="655">
        <v>0</v>
      </c>
      <c r="N959" s="655">
        <v>114279</v>
      </c>
      <c r="O959" s="655">
        <v>4020</v>
      </c>
      <c r="P959" s="655">
        <v>20264</v>
      </c>
      <c r="Q959" s="655">
        <v>22242</v>
      </c>
      <c r="R959" s="655">
        <v>0</v>
      </c>
      <c r="S959" s="655">
        <v>9333</v>
      </c>
      <c r="T959" s="655">
        <v>1190</v>
      </c>
      <c r="U959" s="655">
        <v>91021</v>
      </c>
      <c r="V959" s="655">
        <v>0</v>
      </c>
      <c r="W959" s="655">
        <v>80185</v>
      </c>
      <c r="X959" s="655">
        <v>18061</v>
      </c>
      <c r="Y959" s="655">
        <v>0</v>
      </c>
      <c r="Z959" s="655">
        <v>0</v>
      </c>
      <c r="AA959" s="655">
        <v>0</v>
      </c>
      <c r="AB959" s="655">
        <v>0</v>
      </c>
      <c r="AC959" s="655">
        <v>0</v>
      </c>
      <c r="AD959" s="655">
        <v>20920</v>
      </c>
      <c r="AE959" s="655">
        <v>3338630</v>
      </c>
      <c r="AF959" s="655">
        <v>54111</v>
      </c>
      <c r="AG959" s="655">
        <v>176339</v>
      </c>
      <c r="AH959" s="655">
        <v>0</v>
      </c>
      <c r="AI959" s="655">
        <v>597543</v>
      </c>
      <c r="AJ959" s="655">
        <v>1147970</v>
      </c>
      <c r="AK959" s="655">
        <v>5314593</v>
      </c>
      <c r="AL959" s="655">
        <v>4204902</v>
      </c>
      <c r="AM959" s="655">
        <v>1109691</v>
      </c>
    </row>
    <row r="960" spans="1:39" x14ac:dyDescent="0.2">
      <c r="A960" s="648">
        <v>2015</v>
      </c>
      <c r="B960" s="648">
        <v>5</v>
      </c>
      <c r="C960" s="657" t="s">
        <v>365</v>
      </c>
      <c r="D960" s="648">
        <v>6516</v>
      </c>
      <c r="E960" s="648" t="s">
        <v>1307</v>
      </c>
      <c r="F960" s="655">
        <v>1144675</v>
      </c>
      <c r="G960" s="655">
        <v>0</v>
      </c>
      <c r="H960" s="655">
        <v>156644</v>
      </c>
      <c r="I960" s="655">
        <v>157769</v>
      </c>
      <c r="J960" s="655">
        <v>109456</v>
      </c>
      <c r="K960" s="655">
        <v>10645</v>
      </c>
      <c r="L960" s="655">
        <v>10458</v>
      </c>
      <c r="M960" s="655">
        <v>0</v>
      </c>
      <c r="N960" s="655">
        <v>57711</v>
      </c>
      <c r="O960" s="655">
        <v>64</v>
      </c>
      <c r="P960" s="655">
        <v>10593</v>
      </c>
      <c r="Q960" s="655">
        <v>11900</v>
      </c>
      <c r="R960" s="655">
        <v>177</v>
      </c>
      <c r="S960" s="655">
        <v>6149</v>
      </c>
      <c r="T960" s="655">
        <v>733</v>
      </c>
      <c r="U960" s="655">
        <v>0</v>
      </c>
      <c r="V960" s="655">
        <v>0</v>
      </c>
      <c r="W960" s="655">
        <v>61210</v>
      </c>
      <c r="X960" s="655">
        <v>12134</v>
      </c>
      <c r="Y960" s="655">
        <v>0</v>
      </c>
      <c r="Z960" s="655">
        <v>0</v>
      </c>
      <c r="AA960" s="655">
        <v>0</v>
      </c>
      <c r="AB960" s="655">
        <v>0</v>
      </c>
      <c r="AC960" s="655">
        <v>0</v>
      </c>
      <c r="AD960" s="655">
        <v>11565</v>
      </c>
      <c r="AE960" s="655">
        <v>1738753</v>
      </c>
      <c r="AF960" s="655">
        <v>38196</v>
      </c>
      <c r="AG960" s="655">
        <v>101041</v>
      </c>
      <c r="AH960" s="655">
        <v>286169</v>
      </c>
      <c r="AI960" s="655">
        <v>167411</v>
      </c>
      <c r="AJ960" s="655">
        <v>1607889</v>
      </c>
      <c r="AK960" s="655">
        <v>3939459</v>
      </c>
      <c r="AL960" s="655">
        <v>1963195</v>
      </c>
      <c r="AM960" s="655">
        <v>1976264</v>
      </c>
    </row>
    <row r="961" spans="1:39" x14ac:dyDescent="0.2">
      <c r="A961" s="648">
        <v>2015</v>
      </c>
      <c r="B961" s="648">
        <v>13</v>
      </c>
      <c r="C961" s="657" t="s">
        <v>366</v>
      </c>
      <c r="D961" s="648">
        <v>6534</v>
      </c>
      <c r="E961" s="648" t="s">
        <v>1312</v>
      </c>
      <c r="F961" s="655">
        <v>4417367</v>
      </c>
      <c r="G961" s="655">
        <v>42479</v>
      </c>
      <c r="H961" s="655">
        <v>41271</v>
      </c>
      <c r="I961" s="655">
        <v>341281</v>
      </c>
      <c r="J961" s="655">
        <v>361605</v>
      </c>
      <c r="K961" s="655">
        <v>37040</v>
      </c>
      <c r="L961" s="655">
        <v>40933</v>
      </c>
      <c r="M961" s="655">
        <v>0</v>
      </c>
      <c r="N961" s="655">
        <v>209213</v>
      </c>
      <c r="O961" s="655">
        <v>5034</v>
      </c>
      <c r="P961" s="655">
        <v>37817</v>
      </c>
      <c r="Q961" s="655">
        <v>41825</v>
      </c>
      <c r="R961" s="655">
        <v>0</v>
      </c>
      <c r="S961" s="655">
        <v>21663</v>
      </c>
      <c r="T961" s="655">
        <v>2289</v>
      </c>
      <c r="U961" s="655">
        <v>120198</v>
      </c>
      <c r="V961" s="655">
        <v>0</v>
      </c>
      <c r="W961" s="655">
        <v>110178</v>
      </c>
      <c r="X961" s="655">
        <v>139872</v>
      </c>
      <c r="Y961" s="655">
        <v>0</v>
      </c>
      <c r="Z961" s="655">
        <v>0</v>
      </c>
      <c r="AA961" s="655">
        <v>0</v>
      </c>
      <c r="AB961" s="655">
        <v>0</v>
      </c>
      <c r="AC961" s="655">
        <v>0</v>
      </c>
      <c r="AD961" s="655">
        <v>30799</v>
      </c>
      <c r="AE961" s="655">
        <v>5939266</v>
      </c>
      <c r="AF961" s="655">
        <v>79575</v>
      </c>
      <c r="AG961" s="655">
        <v>349697</v>
      </c>
      <c r="AH961" s="655">
        <v>0</v>
      </c>
      <c r="AI961" s="655">
        <v>1352813</v>
      </c>
      <c r="AJ961" s="655">
        <v>621853</v>
      </c>
      <c r="AK961" s="655">
        <v>8343204</v>
      </c>
      <c r="AL961" s="655">
        <v>7838510</v>
      </c>
      <c r="AM961" s="655">
        <v>504694</v>
      </c>
    </row>
    <row r="962" spans="1:39" x14ac:dyDescent="0.2">
      <c r="A962" s="648">
        <v>2015</v>
      </c>
      <c r="B962" s="648">
        <v>11</v>
      </c>
      <c r="C962" s="657" t="s">
        <v>367</v>
      </c>
      <c r="D962" s="648">
        <v>6561</v>
      </c>
      <c r="E962" s="648" t="s">
        <v>1313</v>
      </c>
      <c r="F962" s="655">
        <v>2161894</v>
      </c>
      <c r="G962" s="655">
        <v>0</v>
      </c>
      <c r="H962" s="655">
        <v>36617</v>
      </c>
      <c r="I962" s="655">
        <v>202121</v>
      </c>
      <c r="J962" s="655">
        <v>160254</v>
      </c>
      <c r="K962" s="655">
        <v>13452</v>
      </c>
      <c r="L962" s="655">
        <v>21799</v>
      </c>
      <c r="M962" s="655">
        <v>0</v>
      </c>
      <c r="N962" s="655">
        <v>100940</v>
      </c>
      <c r="O962" s="655">
        <v>0</v>
      </c>
      <c r="P962" s="655">
        <v>17926</v>
      </c>
      <c r="Q962" s="655">
        <v>19675</v>
      </c>
      <c r="R962" s="655">
        <v>0</v>
      </c>
      <c r="S962" s="655">
        <v>8244</v>
      </c>
      <c r="T962" s="655">
        <v>1051</v>
      </c>
      <c r="U962" s="655">
        <v>53755</v>
      </c>
      <c r="V962" s="655">
        <v>0</v>
      </c>
      <c r="W962" s="655">
        <v>112626</v>
      </c>
      <c r="X962" s="655">
        <v>166019</v>
      </c>
      <c r="Y962" s="655">
        <v>0</v>
      </c>
      <c r="Z962" s="655">
        <v>0</v>
      </c>
      <c r="AA962" s="655">
        <v>0</v>
      </c>
      <c r="AB962" s="655">
        <v>0</v>
      </c>
      <c r="AC962" s="655">
        <v>0</v>
      </c>
      <c r="AD962" s="655">
        <v>19730</v>
      </c>
      <c r="AE962" s="655">
        <v>3056643</v>
      </c>
      <c r="AF962" s="655">
        <v>108222</v>
      </c>
      <c r="AG962" s="655">
        <v>192149</v>
      </c>
      <c r="AH962" s="655">
        <v>0</v>
      </c>
      <c r="AI962" s="655">
        <v>883947</v>
      </c>
      <c r="AJ962" s="655">
        <v>484110</v>
      </c>
      <c r="AK962" s="655">
        <v>4725071</v>
      </c>
      <c r="AL962" s="655">
        <v>4096221</v>
      </c>
      <c r="AM962" s="655">
        <v>628850</v>
      </c>
    </row>
    <row r="963" spans="1:39" x14ac:dyDescent="0.2">
      <c r="A963" s="648">
        <v>2015</v>
      </c>
      <c r="B963" s="648">
        <v>11</v>
      </c>
      <c r="C963" s="657" t="s">
        <v>368</v>
      </c>
      <c r="D963" s="648">
        <v>6579</v>
      </c>
      <c r="E963" s="648" t="s">
        <v>1314</v>
      </c>
      <c r="F963" s="655">
        <v>21489070</v>
      </c>
      <c r="G963" s="655">
        <v>0</v>
      </c>
      <c r="H963" s="655">
        <v>601784</v>
      </c>
      <c r="I963" s="655">
        <v>2052908</v>
      </c>
      <c r="J963" s="655">
        <v>1878285</v>
      </c>
      <c r="K963" s="655">
        <v>222013</v>
      </c>
      <c r="L963" s="655">
        <v>211954</v>
      </c>
      <c r="M963" s="655">
        <v>0</v>
      </c>
      <c r="N963" s="655">
        <v>1005212</v>
      </c>
      <c r="O963" s="655">
        <v>0</v>
      </c>
      <c r="P963" s="655">
        <v>199994</v>
      </c>
      <c r="Q963" s="655">
        <v>219508</v>
      </c>
      <c r="R963" s="655">
        <v>0</v>
      </c>
      <c r="S963" s="655">
        <v>82097</v>
      </c>
      <c r="T963" s="655">
        <v>10466</v>
      </c>
      <c r="U963" s="655">
        <v>727625</v>
      </c>
      <c r="V963" s="655">
        <v>750221</v>
      </c>
      <c r="W963" s="655">
        <v>525997</v>
      </c>
      <c r="X963" s="655">
        <v>919112</v>
      </c>
      <c r="Y963" s="655">
        <v>0</v>
      </c>
      <c r="Z963" s="655">
        <v>0</v>
      </c>
      <c r="AA963" s="655">
        <v>0</v>
      </c>
      <c r="AB963" s="655">
        <v>0</v>
      </c>
      <c r="AC963" s="655">
        <v>-6121</v>
      </c>
      <c r="AD963" s="655">
        <v>138380</v>
      </c>
      <c r="AE963" s="655">
        <v>30751745</v>
      </c>
      <c r="AF963" s="655">
        <v>452231</v>
      </c>
      <c r="AG963" s="655">
        <v>1647352</v>
      </c>
      <c r="AH963" s="655">
        <v>0</v>
      </c>
      <c r="AI963" s="655">
        <v>8448661</v>
      </c>
      <c r="AJ963" s="655">
        <v>5783681</v>
      </c>
      <c r="AK963" s="655">
        <v>47083670</v>
      </c>
      <c r="AL963" s="655">
        <v>41312699</v>
      </c>
      <c r="AM963" s="655">
        <v>5770971</v>
      </c>
    </row>
    <row r="964" spans="1:39" x14ac:dyDescent="0.2">
      <c r="A964" s="648">
        <v>2015</v>
      </c>
      <c r="B964" s="648">
        <v>1</v>
      </c>
      <c r="C964" s="657" t="s">
        <v>369</v>
      </c>
      <c r="D964" s="648">
        <v>6591</v>
      </c>
      <c r="E964" s="648" t="s">
        <v>1333</v>
      </c>
      <c r="F964" s="655">
        <v>2517905</v>
      </c>
      <c r="G964" s="655">
        <v>38736</v>
      </c>
      <c r="H964" s="655">
        <v>109309</v>
      </c>
      <c r="I964" s="655">
        <v>316447</v>
      </c>
      <c r="J964" s="655">
        <v>223230</v>
      </c>
      <c r="K964" s="655">
        <v>24176</v>
      </c>
      <c r="L964" s="655">
        <v>25223</v>
      </c>
      <c r="M964" s="655">
        <v>0</v>
      </c>
      <c r="N964" s="655">
        <v>130463</v>
      </c>
      <c r="O964" s="655">
        <v>21554</v>
      </c>
      <c r="P964" s="655">
        <v>20630</v>
      </c>
      <c r="Q964" s="655">
        <v>23025</v>
      </c>
      <c r="R964" s="655">
        <v>0</v>
      </c>
      <c r="S964" s="655">
        <v>12830</v>
      </c>
      <c r="T964" s="655">
        <v>1371</v>
      </c>
      <c r="U964" s="655">
        <v>85562</v>
      </c>
      <c r="V964" s="655">
        <v>0</v>
      </c>
      <c r="W964" s="655">
        <v>60598</v>
      </c>
      <c r="X964" s="655">
        <v>181289</v>
      </c>
      <c r="Y964" s="655">
        <v>0</v>
      </c>
      <c r="Z964" s="655">
        <v>0</v>
      </c>
      <c r="AA964" s="655">
        <v>0</v>
      </c>
      <c r="AB964" s="655">
        <v>0</v>
      </c>
      <c r="AC964" s="655">
        <v>0</v>
      </c>
      <c r="AD964" s="655">
        <v>28089</v>
      </c>
      <c r="AE964" s="655">
        <v>3764259</v>
      </c>
      <c r="AF964" s="655">
        <v>73209</v>
      </c>
      <c r="AG964" s="655">
        <v>192131</v>
      </c>
      <c r="AH964" s="655">
        <v>0</v>
      </c>
      <c r="AI964" s="655">
        <v>1497656</v>
      </c>
      <c r="AJ964" s="655">
        <v>923319</v>
      </c>
      <c r="AK964" s="655">
        <v>6450574</v>
      </c>
      <c r="AL964" s="655">
        <v>5683170</v>
      </c>
      <c r="AM964" s="655">
        <v>767404</v>
      </c>
    </row>
    <row r="965" spans="1:39" x14ac:dyDescent="0.2">
      <c r="A965" s="648">
        <v>2015</v>
      </c>
      <c r="B965" s="648">
        <v>15</v>
      </c>
      <c r="C965" s="657" t="s">
        <v>370</v>
      </c>
      <c r="D965" s="648">
        <v>6592</v>
      </c>
      <c r="E965" s="648" t="s">
        <v>2013</v>
      </c>
      <c r="F965" s="655">
        <v>4022671</v>
      </c>
      <c r="G965" s="655">
        <v>0</v>
      </c>
      <c r="H965" s="655">
        <v>94251</v>
      </c>
      <c r="I965" s="655">
        <v>503693</v>
      </c>
      <c r="J965" s="655">
        <v>349638</v>
      </c>
      <c r="K965" s="655">
        <v>34541</v>
      </c>
      <c r="L965" s="655">
        <v>41838</v>
      </c>
      <c r="M965" s="655">
        <v>0</v>
      </c>
      <c r="N965" s="655">
        <v>197093</v>
      </c>
      <c r="O965" s="655">
        <v>19666</v>
      </c>
      <c r="P965" s="655">
        <v>32902</v>
      </c>
      <c r="Q965" s="655">
        <v>36138</v>
      </c>
      <c r="R965" s="655">
        <v>532</v>
      </c>
      <c r="S965" s="655">
        <v>19728</v>
      </c>
      <c r="T965" s="655">
        <v>2133</v>
      </c>
      <c r="U965" s="655">
        <v>102817</v>
      </c>
      <c r="V965" s="655">
        <v>0</v>
      </c>
      <c r="W965" s="655">
        <v>113851</v>
      </c>
      <c r="X965" s="655">
        <v>274082</v>
      </c>
      <c r="Y965" s="655">
        <v>0</v>
      </c>
      <c r="Z965" s="655">
        <v>0</v>
      </c>
      <c r="AA965" s="655">
        <v>0</v>
      </c>
      <c r="AB965" s="655">
        <v>0</v>
      </c>
      <c r="AC965" s="655">
        <v>0</v>
      </c>
      <c r="AD965" s="655">
        <v>38342</v>
      </c>
      <c r="AE965" s="655">
        <v>5807232</v>
      </c>
      <c r="AF965" s="655">
        <v>89124</v>
      </c>
      <c r="AG965" s="655">
        <v>309062</v>
      </c>
      <c r="AH965" s="655">
        <v>0</v>
      </c>
      <c r="AI965" s="655">
        <v>1026203</v>
      </c>
      <c r="AJ965" s="655">
        <v>955194</v>
      </c>
      <c r="AK965" s="655">
        <v>8186815</v>
      </c>
      <c r="AL965" s="655">
        <v>7846019</v>
      </c>
      <c r="AM965" s="655">
        <v>340796</v>
      </c>
    </row>
    <row r="966" spans="1:39" x14ac:dyDescent="0.2">
      <c r="A966" s="648">
        <v>2015</v>
      </c>
      <c r="B966" s="648">
        <v>11</v>
      </c>
      <c r="C966" s="657" t="s">
        <v>371</v>
      </c>
      <c r="D966" s="648">
        <v>6615</v>
      </c>
      <c r="E966" s="648" t="s">
        <v>1334</v>
      </c>
      <c r="F966" s="655">
        <v>3679548</v>
      </c>
      <c r="G966" s="655">
        <v>0</v>
      </c>
      <c r="H966" s="655">
        <v>39374</v>
      </c>
      <c r="I966" s="655">
        <v>271128</v>
      </c>
      <c r="J966" s="655">
        <v>327558</v>
      </c>
      <c r="K966" s="655">
        <v>33616</v>
      </c>
      <c r="L966" s="655">
        <v>35264</v>
      </c>
      <c r="M966" s="655">
        <v>0</v>
      </c>
      <c r="N966" s="655">
        <v>168689</v>
      </c>
      <c r="O966" s="655">
        <v>0</v>
      </c>
      <c r="P966" s="655">
        <v>31540</v>
      </c>
      <c r="Q966" s="655">
        <v>34617</v>
      </c>
      <c r="R966" s="655">
        <v>0</v>
      </c>
      <c r="S966" s="655">
        <v>13777</v>
      </c>
      <c r="T966" s="655">
        <v>1756</v>
      </c>
      <c r="U966" s="655">
        <v>32850</v>
      </c>
      <c r="V966" s="655">
        <v>0</v>
      </c>
      <c r="W966" s="655">
        <v>56925</v>
      </c>
      <c r="X966" s="655">
        <v>148148</v>
      </c>
      <c r="Y966" s="655">
        <v>0</v>
      </c>
      <c r="Z966" s="655">
        <v>0</v>
      </c>
      <c r="AA966" s="655">
        <v>0</v>
      </c>
      <c r="AB966" s="655">
        <v>0</v>
      </c>
      <c r="AC966" s="655">
        <v>0</v>
      </c>
      <c r="AD966" s="655">
        <v>22227</v>
      </c>
      <c r="AE966" s="655">
        <v>4852563</v>
      </c>
      <c r="AF966" s="655">
        <v>0</v>
      </c>
      <c r="AG966" s="655">
        <v>282369</v>
      </c>
      <c r="AH966" s="655">
        <v>0</v>
      </c>
      <c r="AI966" s="655">
        <v>1413695</v>
      </c>
      <c r="AJ966" s="655">
        <v>1901008</v>
      </c>
      <c r="AK966" s="655">
        <v>8449635</v>
      </c>
      <c r="AL966" s="655">
        <v>6437400</v>
      </c>
      <c r="AM966" s="655">
        <v>2012235</v>
      </c>
    </row>
    <row r="967" spans="1:39" x14ac:dyDescent="0.2">
      <c r="A967" s="648">
        <v>2015</v>
      </c>
      <c r="B967" s="648">
        <v>13</v>
      </c>
      <c r="C967" s="657" t="s">
        <v>372</v>
      </c>
      <c r="D967" s="648">
        <v>6651</v>
      </c>
      <c r="E967" s="648" t="s">
        <v>1335</v>
      </c>
      <c r="F967" s="655">
        <v>2094414</v>
      </c>
      <c r="G967" s="655">
        <v>0</v>
      </c>
      <c r="H967" s="655">
        <v>77111</v>
      </c>
      <c r="I967" s="655">
        <v>258205</v>
      </c>
      <c r="J967" s="655">
        <v>185063</v>
      </c>
      <c r="K967" s="655">
        <v>19835</v>
      </c>
      <c r="L967" s="655">
        <v>22648</v>
      </c>
      <c r="M967" s="655">
        <v>0</v>
      </c>
      <c r="N967" s="655">
        <v>103432</v>
      </c>
      <c r="O967" s="655">
        <v>9404</v>
      </c>
      <c r="P967" s="655">
        <v>17138</v>
      </c>
      <c r="Q967" s="655">
        <v>18954</v>
      </c>
      <c r="R967" s="655">
        <v>0</v>
      </c>
      <c r="S967" s="655">
        <v>10621</v>
      </c>
      <c r="T967" s="655">
        <v>1127</v>
      </c>
      <c r="U967" s="655">
        <v>74325</v>
      </c>
      <c r="V967" s="655">
        <v>0</v>
      </c>
      <c r="W967" s="655">
        <v>50928</v>
      </c>
      <c r="X967" s="655">
        <v>58853</v>
      </c>
      <c r="Y967" s="655">
        <v>0</v>
      </c>
      <c r="Z967" s="655">
        <v>0</v>
      </c>
      <c r="AA967" s="655">
        <v>0</v>
      </c>
      <c r="AB967" s="655">
        <v>0</v>
      </c>
      <c r="AC967" s="655">
        <v>0</v>
      </c>
      <c r="AD967" s="655">
        <v>20643</v>
      </c>
      <c r="AE967" s="655">
        <v>2981415</v>
      </c>
      <c r="AF967" s="655">
        <v>60477</v>
      </c>
      <c r="AG967" s="655">
        <v>168035</v>
      </c>
      <c r="AH967" s="655">
        <v>0</v>
      </c>
      <c r="AI967" s="655">
        <v>929475</v>
      </c>
      <c r="AJ967" s="655">
        <v>76430</v>
      </c>
      <c r="AK967" s="655">
        <v>4215832</v>
      </c>
      <c r="AL967" s="655">
        <v>4125065</v>
      </c>
      <c r="AM967" s="655">
        <v>90767</v>
      </c>
    </row>
    <row r="968" spans="1:39" x14ac:dyDescent="0.2">
      <c r="A968" s="648">
        <v>2015</v>
      </c>
      <c r="B968" s="648">
        <v>10</v>
      </c>
      <c r="C968" s="657" t="s">
        <v>373</v>
      </c>
      <c r="D968" s="648">
        <v>6660</v>
      </c>
      <c r="E968" s="648" t="s">
        <v>652</v>
      </c>
      <c r="F968" s="655">
        <v>10086290</v>
      </c>
      <c r="G968" s="655">
        <v>103846</v>
      </c>
      <c r="H968" s="655">
        <v>85616</v>
      </c>
      <c r="I968" s="655">
        <v>1395109</v>
      </c>
      <c r="J968" s="655">
        <v>905378</v>
      </c>
      <c r="K968" s="655">
        <v>101783</v>
      </c>
      <c r="L968" s="655">
        <v>97472</v>
      </c>
      <c r="M968" s="655">
        <v>0</v>
      </c>
      <c r="N968" s="655">
        <v>503046</v>
      </c>
      <c r="O968" s="655">
        <v>33862</v>
      </c>
      <c r="P968" s="655">
        <v>83588</v>
      </c>
      <c r="Q968" s="655">
        <v>91822</v>
      </c>
      <c r="R968" s="655">
        <v>0</v>
      </c>
      <c r="S968" s="655">
        <v>46838</v>
      </c>
      <c r="T968" s="655">
        <v>5447</v>
      </c>
      <c r="U968" s="655">
        <v>302589</v>
      </c>
      <c r="V968" s="655">
        <v>0</v>
      </c>
      <c r="W968" s="655">
        <v>124306</v>
      </c>
      <c r="X968" s="655">
        <v>311268</v>
      </c>
      <c r="Y968" s="655">
        <v>0</v>
      </c>
      <c r="Z968" s="655">
        <v>0</v>
      </c>
      <c r="AA968" s="655">
        <v>0</v>
      </c>
      <c r="AB968" s="655">
        <v>0</v>
      </c>
      <c r="AC968" s="655">
        <v>-1450</v>
      </c>
      <c r="AD968" s="655">
        <v>88383</v>
      </c>
      <c r="AE968" s="655">
        <v>14188427</v>
      </c>
      <c r="AF968" s="655">
        <v>219627</v>
      </c>
      <c r="AG968" s="655">
        <v>756618</v>
      </c>
      <c r="AH968" s="655">
        <v>0</v>
      </c>
      <c r="AI968" s="655">
        <v>1607779</v>
      </c>
      <c r="AJ968" s="655">
        <v>4204719</v>
      </c>
      <c r="AK968" s="655">
        <v>20977170</v>
      </c>
      <c r="AL968" s="655">
        <v>17232200</v>
      </c>
      <c r="AM968" s="655">
        <v>3744970</v>
      </c>
    </row>
    <row r="969" spans="1:39" x14ac:dyDescent="0.2">
      <c r="A969" s="648">
        <v>2015</v>
      </c>
      <c r="B969" s="648">
        <v>15</v>
      </c>
      <c r="C969" s="657" t="s">
        <v>374</v>
      </c>
      <c r="D969" s="648">
        <v>6700</v>
      </c>
      <c r="E969" s="648" t="s">
        <v>1336</v>
      </c>
      <c r="F969" s="655">
        <v>3124935</v>
      </c>
      <c r="G969" s="655">
        <v>16175</v>
      </c>
      <c r="H969" s="655">
        <v>101796</v>
      </c>
      <c r="I969" s="655">
        <v>512710</v>
      </c>
      <c r="J969" s="655">
        <v>299257</v>
      </c>
      <c r="K969" s="655">
        <v>31919</v>
      </c>
      <c r="L969" s="655">
        <v>31962</v>
      </c>
      <c r="M969" s="655">
        <v>0</v>
      </c>
      <c r="N969" s="655">
        <v>155393</v>
      </c>
      <c r="O969" s="655">
        <v>2424</v>
      </c>
      <c r="P969" s="655">
        <v>25301</v>
      </c>
      <c r="Q969" s="655">
        <v>27789</v>
      </c>
      <c r="R969" s="655">
        <v>419</v>
      </c>
      <c r="S969" s="655">
        <v>15554</v>
      </c>
      <c r="T969" s="655">
        <v>1682</v>
      </c>
      <c r="U969" s="655">
        <v>0</v>
      </c>
      <c r="V969" s="655">
        <v>0</v>
      </c>
      <c r="W969" s="655">
        <v>62096</v>
      </c>
      <c r="X969" s="655">
        <v>92946</v>
      </c>
      <c r="Y969" s="655">
        <v>0</v>
      </c>
      <c r="Z969" s="655">
        <v>0</v>
      </c>
      <c r="AA969" s="655">
        <v>0</v>
      </c>
      <c r="AB969" s="655">
        <v>0</v>
      </c>
      <c r="AC969" s="655">
        <v>0</v>
      </c>
      <c r="AD969" s="655">
        <v>26545</v>
      </c>
      <c r="AE969" s="655">
        <v>4475813</v>
      </c>
      <c r="AF969" s="655">
        <v>105039</v>
      </c>
      <c r="AG969" s="655">
        <v>231845</v>
      </c>
      <c r="AH969" s="655">
        <v>0</v>
      </c>
      <c r="AI969" s="655">
        <v>901947</v>
      </c>
      <c r="AJ969" s="655">
        <v>405686</v>
      </c>
      <c r="AK969" s="655">
        <v>6120330</v>
      </c>
      <c r="AL969" s="655">
        <v>5870335</v>
      </c>
      <c r="AM969" s="655">
        <v>249995</v>
      </c>
    </row>
    <row r="970" spans="1:39" x14ac:dyDescent="0.2">
      <c r="A970" s="648">
        <v>2015</v>
      </c>
      <c r="B970" s="648">
        <v>5</v>
      </c>
      <c r="C970" s="657" t="s">
        <v>375</v>
      </c>
      <c r="D970" s="648">
        <v>6741</v>
      </c>
      <c r="E970" s="648" t="s">
        <v>1485</v>
      </c>
      <c r="F970" s="655">
        <v>5901851</v>
      </c>
      <c r="G970" s="655">
        <v>0</v>
      </c>
      <c r="H970" s="655">
        <v>269806</v>
      </c>
      <c r="I970" s="655">
        <v>511596</v>
      </c>
      <c r="J970" s="655">
        <v>543574</v>
      </c>
      <c r="K970" s="655">
        <v>57242</v>
      </c>
      <c r="L970" s="655">
        <v>62099</v>
      </c>
      <c r="M970" s="655">
        <v>0</v>
      </c>
      <c r="N970" s="655">
        <v>291395</v>
      </c>
      <c r="O970" s="655">
        <v>0</v>
      </c>
      <c r="P970" s="655">
        <v>51653</v>
      </c>
      <c r="Q970" s="655">
        <v>58026</v>
      </c>
      <c r="R970" s="655">
        <v>890</v>
      </c>
      <c r="S970" s="655">
        <v>31047</v>
      </c>
      <c r="T970" s="655">
        <v>3700</v>
      </c>
      <c r="U970" s="655">
        <v>289191</v>
      </c>
      <c r="V970" s="655">
        <v>0</v>
      </c>
      <c r="W970" s="655">
        <v>73452</v>
      </c>
      <c r="X970" s="655">
        <v>107788</v>
      </c>
      <c r="Y970" s="655">
        <v>0</v>
      </c>
      <c r="Z970" s="655">
        <v>0</v>
      </c>
      <c r="AA970" s="655">
        <v>0</v>
      </c>
      <c r="AB970" s="655">
        <v>0</v>
      </c>
      <c r="AC970" s="655">
        <v>-6134</v>
      </c>
      <c r="AD970" s="655">
        <v>51797</v>
      </c>
      <c r="AE970" s="655">
        <v>8195379</v>
      </c>
      <c r="AF970" s="655">
        <v>175065</v>
      </c>
      <c r="AG970" s="655">
        <v>474863</v>
      </c>
      <c r="AH970" s="655">
        <v>0</v>
      </c>
      <c r="AI970" s="655">
        <v>920196</v>
      </c>
      <c r="AJ970" s="655">
        <v>2671331</v>
      </c>
      <c r="AK970" s="655">
        <v>12436834</v>
      </c>
      <c r="AL970" s="655">
        <v>9610573</v>
      </c>
      <c r="AM970" s="655">
        <v>2826261</v>
      </c>
    </row>
    <row r="971" spans="1:39" x14ac:dyDescent="0.2">
      <c r="A971" s="648">
        <v>2015</v>
      </c>
      <c r="B971" s="648">
        <v>15</v>
      </c>
      <c r="C971" s="657" t="s">
        <v>376</v>
      </c>
      <c r="D971" s="648">
        <v>6759</v>
      </c>
      <c r="E971" s="648" t="s">
        <v>1337</v>
      </c>
      <c r="F971" s="655">
        <v>4389243</v>
      </c>
      <c r="G971" s="655">
        <v>118389</v>
      </c>
      <c r="H971" s="655">
        <v>100473</v>
      </c>
      <c r="I971" s="655">
        <v>789744</v>
      </c>
      <c r="J971" s="655">
        <v>408520</v>
      </c>
      <c r="K971" s="655">
        <v>41921</v>
      </c>
      <c r="L971" s="655">
        <v>50964</v>
      </c>
      <c r="M971" s="655">
        <v>0</v>
      </c>
      <c r="N971" s="655">
        <v>224734</v>
      </c>
      <c r="O971" s="655">
        <v>4272</v>
      </c>
      <c r="P971" s="655">
        <v>35765</v>
      </c>
      <c r="Q971" s="655">
        <v>39283</v>
      </c>
      <c r="R971" s="655">
        <v>607</v>
      </c>
      <c r="S971" s="655">
        <v>22901</v>
      </c>
      <c r="T971" s="655">
        <v>2466</v>
      </c>
      <c r="U971" s="655">
        <v>61731</v>
      </c>
      <c r="V971" s="655">
        <v>0</v>
      </c>
      <c r="W971" s="655">
        <v>205212</v>
      </c>
      <c r="X971" s="655">
        <v>0</v>
      </c>
      <c r="Y971" s="655">
        <v>0</v>
      </c>
      <c r="Z971" s="655">
        <v>0</v>
      </c>
      <c r="AA971" s="655">
        <v>0</v>
      </c>
      <c r="AB971" s="655">
        <v>0</v>
      </c>
      <c r="AC971" s="655">
        <v>0</v>
      </c>
      <c r="AD971" s="655">
        <v>34892</v>
      </c>
      <c r="AE971" s="655">
        <v>6461333</v>
      </c>
      <c r="AF971" s="655">
        <v>47745</v>
      </c>
      <c r="AG971" s="655">
        <v>321574</v>
      </c>
      <c r="AH971" s="655">
        <v>0</v>
      </c>
      <c r="AI971" s="655">
        <v>879192</v>
      </c>
      <c r="AJ971" s="655">
        <v>775252</v>
      </c>
      <c r="AK971" s="655">
        <v>8485096</v>
      </c>
      <c r="AL971" s="655">
        <v>8178437</v>
      </c>
      <c r="AM971" s="655">
        <v>306659</v>
      </c>
    </row>
    <row r="972" spans="1:39" x14ac:dyDescent="0.2">
      <c r="A972" s="648">
        <v>2015</v>
      </c>
      <c r="B972" s="648">
        <v>7</v>
      </c>
      <c r="C972" s="657" t="s">
        <v>377</v>
      </c>
      <c r="D972" s="648">
        <v>6762</v>
      </c>
      <c r="E972" s="648" t="s">
        <v>1338</v>
      </c>
      <c r="F972" s="655">
        <v>4599969</v>
      </c>
      <c r="G972" s="655">
        <v>0</v>
      </c>
      <c r="H972" s="655">
        <v>147726</v>
      </c>
      <c r="I972" s="655">
        <v>403315</v>
      </c>
      <c r="J972" s="655">
        <v>429909</v>
      </c>
      <c r="K972" s="655">
        <v>44177</v>
      </c>
      <c r="L972" s="655">
        <v>46423</v>
      </c>
      <c r="M972" s="655">
        <v>0</v>
      </c>
      <c r="N972" s="655">
        <v>220981</v>
      </c>
      <c r="O972" s="655">
        <v>0</v>
      </c>
      <c r="P972" s="655">
        <v>39554</v>
      </c>
      <c r="Q972" s="655">
        <v>44190</v>
      </c>
      <c r="R972" s="655">
        <v>0</v>
      </c>
      <c r="S972" s="655">
        <v>28208</v>
      </c>
      <c r="T972" s="655">
        <v>3238</v>
      </c>
      <c r="U972" s="655">
        <v>12711</v>
      </c>
      <c r="V972" s="655">
        <v>0</v>
      </c>
      <c r="W972" s="655">
        <v>69624</v>
      </c>
      <c r="X972" s="655">
        <v>0</v>
      </c>
      <c r="Y972" s="655">
        <v>32492</v>
      </c>
      <c r="Z972" s="655">
        <v>0</v>
      </c>
      <c r="AA972" s="655">
        <v>0</v>
      </c>
      <c r="AB972" s="655">
        <v>0</v>
      </c>
      <c r="AC972" s="655">
        <v>0</v>
      </c>
      <c r="AD972" s="655">
        <v>33496</v>
      </c>
      <c r="AE972" s="655">
        <v>6024037</v>
      </c>
      <c r="AF972" s="655">
        <v>149601</v>
      </c>
      <c r="AG972" s="655">
        <v>326000</v>
      </c>
      <c r="AH972" s="655">
        <v>0</v>
      </c>
      <c r="AI972" s="655">
        <v>623427</v>
      </c>
      <c r="AJ972" s="655">
        <v>469961</v>
      </c>
      <c r="AK972" s="655">
        <v>7593026</v>
      </c>
      <c r="AL972" s="655">
        <v>7063413</v>
      </c>
      <c r="AM972" s="655">
        <v>529613</v>
      </c>
    </row>
    <row r="973" spans="1:39" x14ac:dyDescent="0.2">
      <c r="A973" s="648">
        <v>2015</v>
      </c>
      <c r="B973" s="648">
        <v>10</v>
      </c>
      <c r="C973" s="657" t="s">
        <v>378</v>
      </c>
      <c r="D973" s="648">
        <v>6768</v>
      </c>
      <c r="E973" s="648" t="s">
        <v>1339</v>
      </c>
      <c r="F973" s="655">
        <v>11360764</v>
      </c>
      <c r="G973" s="655">
        <v>0</v>
      </c>
      <c r="H973" s="655">
        <v>375747</v>
      </c>
      <c r="I973" s="655">
        <v>1904134</v>
      </c>
      <c r="J973" s="655">
        <v>983136</v>
      </c>
      <c r="K973" s="655">
        <v>108771</v>
      </c>
      <c r="L973" s="655">
        <v>120978</v>
      </c>
      <c r="M973" s="655">
        <v>0</v>
      </c>
      <c r="N973" s="655">
        <v>581188</v>
      </c>
      <c r="O973" s="655">
        <v>0</v>
      </c>
      <c r="P973" s="655">
        <v>97442</v>
      </c>
      <c r="Q973" s="655">
        <v>107040</v>
      </c>
      <c r="R973" s="655">
        <v>0</v>
      </c>
      <c r="S973" s="655">
        <v>54114</v>
      </c>
      <c r="T973" s="655">
        <v>6293</v>
      </c>
      <c r="U973" s="655">
        <v>302377</v>
      </c>
      <c r="V973" s="655">
        <v>0</v>
      </c>
      <c r="W973" s="655">
        <v>195301</v>
      </c>
      <c r="X973" s="655">
        <v>148852</v>
      </c>
      <c r="Y973" s="655">
        <v>0</v>
      </c>
      <c r="Z973" s="655">
        <v>0</v>
      </c>
      <c r="AA973" s="655">
        <v>0</v>
      </c>
      <c r="AB973" s="655">
        <v>0</v>
      </c>
      <c r="AC973" s="655">
        <v>0</v>
      </c>
      <c r="AD973" s="655">
        <v>80503</v>
      </c>
      <c r="AE973" s="655">
        <v>16265634</v>
      </c>
      <c r="AF973" s="655">
        <v>305568</v>
      </c>
      <c r="AG973" s="655">
        <v>760830</v>
      </c>
      <c r="AH973" s="655">
        <v>0</v>
      </c>
      <c r="AI973" s="655">
        <v>2221553</v>
      </c>
      <c r="AJ973" s="655">
        <v>2124481</v>
      </c>
      <c r="AK973" s="655">
        <v>21678066</v>
      </c>
      <c r="AL973" s="655">
        <v>19264518</v>
      </c>
      <c r="AM973" s="655">
        <v>2413548</v>
      </c>
    </row>
    <row r="974" spans="1:39" x14ac:dyDescent="0.2">
      <c r="A974" s="648">
        <v>2015</v>
      </c>
      <c r="B974" s="648">
        <v>7</v>
      </c>
      <c r="C974" s="657" t="s">
        <v>379</v>
      </c>
      <c r="D974" s="648">
        <v>6795</v>
      </c>
      <c r="E974" s="648" t="s">
        <v>1340</v>
      </c>
      <c r="F974" s="655">
        <v>69976982</v>
      </c>
      <c r="G974" s="655">
        <v>0</v>
      </c>
      <c r="H974" s="655">
        <v>1446584</v>
      </c>
      <c r="I974" s="655">
        <v>15145796</v>
      </c>
      <c r="J974" s="655">
        <v>5922102</v>
      </c>
      <c r="K974" s="655">
        <v>643489</v>
      </c>
      <c r="L974" s="655">
        <v>829259</v>
      </c>
      <c r="M974" s="655">
        <v>0</v>
      </c>
      <c r="N974" s="655">
        <v>3786800</v>
      </c>
      <c r="O974" s="655">
        <v>0</v>
      </c>
      <c r="P974" s="655">
        <v>649898</v>
      </c>
      <c r="Q974" s="655">
        <v>726065</v>
      </c>
      <c r="R974" s="655">
        <v>0</v>
      </c>
      <c r="S974" s="655">
        <v>483379</v>
      </c>
      <c r="T974" s="655">
        <v>55492</v>
      </c>
      <c r="U974" s="655">
        <v>3363887</v>
      </c>
      <c r="V974" s="655">
        <v>1080634</v>
      </c>
      <c r="W974" s="655">
        <v>1169307</v>
      </c>
      <c r="X974" s="655">
        <v>0</v>
      </c>
      <c r="Y974" s="655">
        <v>0</v>
      </c>
      <c r="Z974" s="655">
        <v>0</v>
      </c>
      <c r="AA974" s="655">
        <v>0</v>
      </c>
      <c r="AB974" s="655">
        <v>0</v>
      </c>
      <c r="AC974" s="655">
        <v>-12242</v>
      </c>
      <c r="AD974" s="655">
        <v>541622</v>
      </c>
      <c r="AE974" s="655">
        <v>104725810</v>
      </c>
      <c r="AF974" s="655">
        <v>1613781</v>
      </c>
      <c r="AG974" s="655">
        <v>4782227</v>
      </c>
      <c r="AH974" s="655">
        <v>0</v>
      </c>
      <c r="AI974" s="655">
        <v>16432035</v>
      </c>
      <c r="AJ974" s="655">
        <v>10460654</v>
      </c>
      <c r="AK974" s="655">
        <v>138014507</v>
      </c>
      <c r="AL974" s="655">
        <v>125831891</v>
      </c>
      <c r="AM974" s="655">
        <v>12182616</v>
      </c>
    </row>
    <row r="975" spans="1:39" x14ac:dyDescent="0.2">
      <c r="A975" s="648">
        <v>2015</v>
      </c>
      <c r="B975" s="648">
        <v>11</v>
      </c>
      <c r="C975" s="657" t="s">
        <v>380</v>
      </c>
      <c r="D975" s="648">
        <v>6822</v>
      </c>
      <c r="E975" s="648" t="s">
        <v>1341</v>
      </c>
      <c r="F975" s="655">
        <v>52765228</v>
      </c>
      <c r="G975" s="655">
        <v>0</v>
      </c>
      <c r="H975" s="655">
        <v>840528</v>
      </c>
      <c r="I975" s="655">
        <v>3557257</v>
      </c>
      <c r="J975" s="655">
        <v>3981512</v>
      </c>
      <c r="K975" s="655">
        <v>408960</v>
      </c>
      <c r="L975" s="655">
        <v>529310</v>
      </c>
      <c r="M975" s="655">
        <v>0</v>
      </c>
      <c r="N975" s="655">
        <v>2404898</v>
      </c>
      <c r="O975" s="655">
        <v>0</v>
      </c>
      <c r="P975" s="655">
        <v>476006</v>
      </c>
      <c r="Q975" s="655">
        <v>522452</v>
      </c>
      <c r="R975" s="655">
        <v>0</v>
      </c>
      <c r="S975" s="655">
        <v>196412</v>
      </c>
      <c r="T975" s="655">
        <v>25038</v>
      </c>
      <c r="U975" s="655">
        <v>1246320</v>
      </c>
      <c r="V975" s="655">
        <v>0</v>
      </c>
      <c r="W975" s="655">
        <v>3110809</v>
      </c>
      <c r="X975" s="655">
        <v>3356263</v>
      </c>
      <c r="Y975" s="655">
        <v>0</v>
      </c>
      <c r="Z975" s="655">
        <v>0</v>
      </c>
      <c r="AA975" s="655">
        <v>0</v>
      </c>
      <c r="AB975" s="655">
        <v>0</v>
      </c>
      <c r="AC975" s="655">
        <v>6733</v>
      </c>
      <c r="AD975" s="655">
        <v>115205</v>
      </c>
      <c r="AE975" s="655">
        <v>73312521</v>
      </c>
      <c r="AF975" s="655">
        <v>0</v>
      </c>
      <c r="AG975" s="655">
        <v>4046565</v>
      </c>
      <c r="AH975" s="655">
        <v>0</v>
      </c>
      <c r="AI975" s="655">
        <v>4989681</v>
      </c>
      <c r="AJ975" s="655">
        <v>32378005</v>
      </c>
      <c r="AK975" s="655">
        <v>114726772</v>
      </c>
      <c r="AL975" s="655">
        <v>79547126</v>
      </c>
      <c r="AM975" s="655">
        <v>35179646</v>
      </c>
    </row>
    <row r="976" spans="1:39" x14ac:dyDescent="0.2">
      <c r="A976" s="648">
        <v>2015</v>
      </c>
      <c r="B976" s="648">
        <v>7</v>
      </c>
      <c r="C976" s="657" t="s">
        <v>381</v>
      </c>
      <c r="D976" s="648">
        <v>6840</v>
      </c>
      <c r="E976" s="648" t="s">
        <v>1342</v>
      </c>
      <c r="F976" s="655">
        <v>12632054</v>
      </c>
      <c r="G976" s="655">
        <v>0</v>
      </c>
      <c r="H976" s="655">
        <v>109177</v>
      </c>
      <c r="I976" s="655">
        <v>1493336</v>
      </c>
      <c r="J976" s="655">
        <v>1170955</v>
      </c>
      <c r="K976" s="655">
        <v>129872</v>
      </c>
      <c r="L976" s="655">
        <v>108521</v>
      </c>
      <c r="M976" s="655">
        <v>0</v>
      </c>
      <c r="N976" s="655">
        <v>628387</v>
      </c>
      <c r="O976" s="655">
        <v>0</v>
      </c>
      <c r="P976" s="655">
        <v>109652</v>
      </c>
      <c r="Q976" s="655">
        <v>122503</v>
      </c>
      <c r="R976" s="655">
        <v>0</v>
      </c>
      <c r="S976" s="655">
        <v>80213</v>
      </c>
      <c r="T976" s="655">
        <v>9208</v>
      </c>
      <c r="U976" s="655">
        <v>38682</v>
      </c>
      <c r="V976" s="655">
        <v>0</v>
      </c>
      <c r="W976" s="655">
        <v>258460</v>
      </c>
      <c r="X976" s="655">
        <v>1001958</v>
      </c>
      <c r="Y976" s="655">
        <v>0</v>
      </c>
      <c r="Z976" s="655">
        <v>0</v>
      </c>
      <c r="AA976" s="655">
        <v>0</v>
      </c>
      <c r="AB976" s="655">
        <v>0</v>
      </c>
      <c r="AC976" s="655">
        <v>-6121</v>
      </c>
      <c r="AD976" s="655">
        <v>88570</v>
      </c>
      <c r="AE976" s="655">
        <v>17798287</v>
      </c>
      <c r="AF976" s="655">
        <v>222810</v>
      </c>
      <c r="AG976" s="655">
        <v>964078</v>
      </c>
      <c r="AH976" s="655">
        <v>0</v>
      </c>
      <c r="AI976" s="655">
        <v>5839113</v>
      </c>
      <c r="AJ976" s="655">
        <v>1612334</v>
      </c>
      <c r="AK976" s="655">
        <v>26436622</v>
      </c>
      <c r="AL976" s="655">
        <v>23583659</v>
      </c>
      <c r="AM976" s="655">
        <v>2852963</v>
      </c>
    </row>
    <row r="977" spans="1:39" x14ac:dyDescent="0.2">
      <c r="A977" s="648">
        <v>2015</v>
      </c>
      <c r="B977" s="648">
        <v>15</v>
      </c>
      <c r="C977" s="657" t="s">
        <v>382</v>
      </c>
      <c r="D977" s="648">
        <v>6854</v>
      </c>
      <c r="E977" s="648" t="s">
        <v>1343</v>
      </c>
      <c r="F977" s="655">
        <v>3417476</v>
      </c>
      <c r="G977" s="655">
        <v>50745</v>
      </c>
      <c r="H977" s="655">
        <v>49285</v>
      </c>
      <c r="I977" s="655">
        <v>428127</v>
      </c>
      <c r="J977" s="655">
        <v>352180</v>
      </c>
      <c r="K977" s="655">
        <v>39173</v>
      </c>
      <c r="L977" s="655">
        <v>39050</v>
      </c>
      <c r="M977" s="655">
        <v>0</v>
      </c>
      <c r="N977" s="655">
        <v>166874</v>
      </c>
      <c r="O977" s="655">
        <v>20378</v>
      </c>
      <c r="P977" s="655">
        <v>27852</v>
      </c>
      <c r="Q977" s="655">
        <v>30591</v>
      </c>
      <c r="R977" s="655">
        <v>452</v>
      </c>
      <c r="S977" s="655">
        <v>17068</v>
      </c>
      <c r="T977" s="655">
        <v>1838</v>
      </c>
      <c r="U977" s="655">
        <v>156970</v>
      </c>
      <c r="V977" s="655">
        <v>0</v>
      </c>
      <c r="W977" s="655">
        <v>38925</v>
      </c>
      <c r="X977" s="655">
        <v>27488</v>
      </c>
      <c r="Y977" s="655">
        <v>0</v>
      </c>
      <c r="Z977" s="655">
        <v>0</v>
      </c>
      <c r="AA977" s="655">
        <v>0</v>
      </c>
      <c r="AB977" s="655">
        <v>0</v>
      </c>
      <c r="AC977" s="655">
        <v>-6144</v>
      </c>
      <c r="AD977" s="655">
        <v>35052</v>
      </c>
      <c r="AE977" s="655">
        <v>4823276</v>
      </c>
      <c r="AF977" s="655">
        <v>114588</v>
      </c>
      <c r="AG977" s="655">
        <v>272533</v>
      </c>
      <c r="AH977" s="655">
        <v>0</v>
      </c>
      <c r="AI977" s="655">
        <v>644612</v>
      </c>
      <c r="AJ977" s="655">
        <v>2891100</v>
      </c>
      <c r="AK977" s="655">
        <v>8746109</v>
      </c>
      <c r="AL977" s="655">
        <v>6054356</v>
      </c>
      <c r="AM977" s="655">
        <v>2691753</v>
      </c>
    </row>
    <row r="978" spans="1:39" x14ac:dyDescent="0.2">
      <c r="A978" s="648">
        <v>2015</v>
      </c>
      <c r="B978" s="648">
        <v>5</v>
      </c>
      <c r="C978" s="657" t="s">
        <v>383</v>
      </c>
      <c r="D978" s="648">
        <v>6867</v>
      </c>
      <c r="E978" s="648" t="s">
        <v>1344</v>
      </c>
      <c r="F978" s="655">
        <v>9863480</v>
      </c>
      <c r="G978" s="655">
        <v>0</v>
      </c>
      <c r="H978" s="655">
        <v>316683</v>
      </c>
      <c r="I978" s="655">
        <v>1276765</v>
      </c>
      <c r="J978" s="655">
        <v>861869</v>
      </c>
      <c r="K978" s="655">
        <v>95288</v>
      </c>
      <c r="L978" s="655">
        <v>108086</v>
      </c>
      <c r="M978" s="655">
        <v>0</v>
      </c>
      <c r="N978" s="655">
        <v>507191</v>
      </c>
      <c r="O978" s="655">
        <v>0</v>
      </c>
      <c r="P978" s="655">
        <v>85739</v>
      </c>
      <c r="Q978" s="655">
        <v>96318</v>
      </c>
      <c r="R978" s="655">
        <v>1548</v>
      </c>
      <c r="S978" s="655">
        <v>54039</v>
      </c>
      <c r="T978" s="655">
        <v>6440</v>
      </c>
      <c r="U978" s="655">
        <v>352395</v>
      </c>
      <c r="V978" s="655">
        <v>0</v>
      </c>
      <c r="W978" s="655">
        <v>72072</v>
      </c>
      <c r="X978" s="655">
        <v>489780</v>
      </c>
      <c r="Y978" s="655">
        <v>0</v>
      </c>
      <c r="Z978" s="655">
        <v>0</v>
      </c>
      <c r="AA978" s="655">
        <v>0</v>
      </c>
      <c r="AB978" s="655">
        <v>0</v>
      </c>
      <c r="AC978" s="655">
        <v>6121</v>
      </c>
      <c r="AD978" s="655">
        <v>79389</v>
      </c>
      <c r="AE978" s="655">
        <v>14114425</v>
      </c>
      <c r="AF978" s="655">
        <v>334215</v>
      </c>
      <c r="AG978" s="655">
        <v>706422</v>
      </c>
      <c r="AH978" s="655">
        <v>0</v>
      </c>
      <c r="AI978" s="655">
        <v>2122777</v>
      </c>
      <c r="AJ978" s="655">
        <v>3337613</v>
      </c>
      <c r="AK978" s="655">
        <v>20615452</v>
      </c>
      <c r="AL978" s="655">
        <v>17531954</v>
      </c>
      <c r="AM978" s="655">
        <v>3083498</v>
      </c>
    </row>
    <row r="979" spans="1:39" x14ac:dyDescent="0.2">
      <c r="A979" s="648">
        <v>2015</v>
      </c>
      <c r="B979" s="648">
        <v>5</v>
      </c>
      <c r="C979" s="657" t="s">
        <v>384</v>
      </c>
      <c r="D979" s="648">
        <v>6921</v>
      </c>
      <c r="E979" s="648" t="s">
        <v>653</v>
      </c>
      <c r="F979" s="655">
        <v>2085850</v>
      </c>
      <c r="G979" s="655">
        <v>0</v>
      </c>
      <c r="H979" s="655">
        <v>50234</v>
      </c>
      <c r="I979" s="655">
        <v>345994</v>
      </c>
      <c r="J979" s="655">
        <v>203824</v>
      </c>
      <c r="K979" s="655">
        <v>21593</v>
      </c>
      <c r="L979" s="655">
        <v>18795</v>
      </c>
      <c r="M979" s="655">
        <v>0</v>
      </c>
      <c r="N979" s="655">
        <v>109819</v>
      </c>
      <c r="O979" s="655">
        <v>0</v>
      </c>
      <c r="P979" s="655">
        <v>18406</v>
      </c>
      <c r="Q979" s="655">
        <v>20677</v>
      </c>
      <c r="R979" s="655">
        <v>336</v>
      </c>
      <c r="S979" s="655">
        <v>11701</v>
      </c>
      <c r="T979" s="655">
        <v>1394</v>
      </c>
      <c r="U979" s="655">
        <v>21355</v>
      </c>
      <c r="V979" s="655">
        <v>0</v>
      </c>
      <c r="W979" s="655">
        <v>150438</v>
      </c>
      <c r="X979" s="655">
        <v>98173</v>
      </c>
      <c r="Y979" s="655">
        <v>0</v>
      </c>
      <c r="Z979" s="655">
        <v>0</v>
      </c>
      <c r="AA979" s="655">
        <v>0</v>
      </c>
      <c r="AB979" s="655">
        <v>0</v>
      </c>
      <c r="AC979" s="655">
        <v>0</v>
      </c>
      <c r="AD979" s="655">
        <v>19619</v>
      </c>
      <c r="AE979" s="655">
        <v>3138970</v>
      </c>
      <c r="AF979" s="655">
        <v>57294</v>
      </c>
      <c r="AG979" s="655">
        <v>181824</v>
      </c>
      <c r="AH979" s="655">
        <v>0</v>
      </c>
      <c r="AI979" s="655">
        <v>597032</v>
      </c>
      <c r="AJ979" s="655">
        <v>730774</v>
      </c>
      <c r="AK979" s="655">
        <v>4705894</v>
      </c>
      <c r="AL979" s="655">
        <v>3756239</v>
      </c>
      <c r="AM979" s="655">
        <v>949655</v>
      </c>
    </row>
    <row r="980" spans="1:39" x14ac:dyDescent="0.2">
      <c r="A980" s="648">
        <v>2015</v>
      </c>
      <c r="B980" s="648">
        <v>10</v>
      </c>
      <c r="C980" s="657" t="s">
        <v>385</v>
      </c>
      <c r="D980" s="648">
        <v>6930</v>
      </c>
      <c r="E980" s="648" t="s">
        <v>1345</v>
      </c>
      <c r="F980" s="655">
        <v>5203493</v>
      </c>
      <c r="G980" s="655">
        <v>0</v>
      </c>
      <c r="H980" s="655">
        <v>50141</v>
      </c>
      <c r="I980" s="655">
        <v>582922</v>
      </c>
      <c r="J980" s="655">
        <v>442256</v>
      </c>
      <c r="K980" s="655">
        <v>46724</v>
      </c>
      <c r="L980" s="655">
        <v>47505</v>
      </c>
      <c r="M980" s="655">
        <v>0</v>
      </c>
      <c r="N980" s="655">
        <v>252258</v>
      </c>
      <c r="O980" s="655">
        <v>0</v>
      </c>
      <c r="P980" s="655">
        <v>43174</v>
      </c>
      <c r="Q980" s="655">
        <v>47427</v>
      </c>
      <c r="R980" s="655">
        <v>0</v>
      </c>
      <c r="S980" s="655">
        <v>23488</v>
      </c>
      <c r="T980" s="655">
        <v>2731</v>
      </c>
      <c r="U980" s="655">
        <v>244024</v>
      </c>
      <c r="V980" s="655">
        <v>0</v>
      </c>
      <c r="W980" s="655">
        <v>53253</v>
      </c>
      <c r="X980" s="655">
        <v>200503</v>
      </c>
      <c r="Y980" s="655">
        <v>0</v>
      </c>
      <c r="Z980" s="655">
        <v>0</v>
      </c>
      <c r="AA980" s="655">
        <v>0</v>
      </c>
      <c r="AB980" s="655">
        <v>0</v>
      </c>
      <c r="AC980" s="655">
        <v>-2769</v>
      </c>
      <c r="AD980" s="655">
        <v>35036</v>
      </c>
      <c r="AE980" s="655">
        <v>7202094</v>
      </c>
      <c r="AF980" s="655">
        <v>165516</v>
      </c>
      <c r="AG980" s="655">
        <v>421379</v>
      </c>
      <c r="AH980" s="655">
        <v>0</v>
      </c>
      <c r="AI980" s="655">
        <v>938327</v>
      </c>
      <c r="AJ980" s="655">
        <v>1306193</v>
      </c>
      <c r="AK980" s="655">
        <v>10033509</v>
      </c>
      <c r="AL980" s="655">
        <v>8694185</v>
      </c>
      <c r="AM980" s="655">
        <v>1339324</v>
      </c>
    </row>
    <row r="981" spans="1:39" x14ac:dyDescent="0.2">
      <c r="A981" s="648">
        <v>2015</v>
      </c>
      <c r="B981" s="648">
        <v>15</v>
      </c>
      <c r="C981" s="657" t="s">
        <v>386</v>
      </c>
      <c r="D981" s="648">
        <v>6937</v>
      </c>
      <c r="E981" s="648" t="s">
        <v>1346</v>
      </c>
      <c r="F981" s="655">
        <v>3062683</v>
      </c>
      <c r="G981" s="655">
        <v>0</v>
      </c>
      <c r="H981" s="655">
        <v>33110</v>
      </c>
      <c r="I981" s="655">
        <v>351658</v>
      </c>
      <c r="J981" s="655">
        <v>326104</v>
      </c>
      <c r="K981" s="655">
        <v>42269</v>
      </c>
      <c r="L981" s="655">
        <v>53739</v>
      </c>
      <c r="M981" s="655">
        <v>0</v>
      </c>
      <c r="N981" s="655">
        <v>148695</v>
      </c>
      <c r="O981" s="655">
        <v>0</v>
      </c>
      <c r="P981" s="655">
        <v>25197</v>
      </c>
      <c r="Q981" s="655">
        <v>27675</v>
      </c>
      <c r="R981" s="655">
        <v>402</v>
      </c>
      <c r="S981" s="655">
        <v>14883</v>
      </c>
      <c r="T981" s="655">
        <v>1609</v>
      </c>
      <c r="U981" s="655">
        <v>115500</v>
      </c>
      <c r="V981" s="655">
        <v>0</v>
      </c>
      <c r="W981" s="655">
        <v>67331</v>
      </c>
      <c r="X981" s="655">
        <v>64027</v>
      </c>
      <c r="Y981" s="655">
        <v>0</v>
      </c>
      <c r="Z981" s="655">
        <v>0</v>
      </c>
      <c r="AA981" s="655">
        <v>0</v>
      </c>
      <c r="AB981" s="655">
        <v>0</v>
      </c>
      <c r="AC981" s="655">
        <v>-600</v>
      </c>
      <c r="AD981" s="655">
        <v>21967</v>
      </c>
      <c r="AE981" s="655">
        <v>4312315</v>
      </c>
      <c r="AF981" s="655">
        <v>168699</v>
      </c>
      <c r="AG981" s="655">
        <v>217481</v>
      </c>
      <c r="AH981" s="655">
        <v>0</v>
      </c>
      <c r="AI981" s="655">
        <v>3192600</v>
      </c>
      <c r="AJ981" s="655">
        <v>1962647</v>
      </c>
      <c r="AK981" s="655">
        <v>9853742</v>
      </c>
      <c r="AL981" s="655">
        <v>7768618</v>
      </c>
      <c r="AM981" s="655">
        <v>2085124</v>
      </c>
    </row>
    <row r="982" spans="1:39" x14ac:dyDescent="0.2">
      <c r="A982" s="648">
        <v>2015</v>
      </c>
      <c r="B982" s="648">
        <v>1</v>
      </c>
      <c r="C982" s="657" t="s">
        <v>387</v>
      </c>
      <c r="D982" s="648">
        <v>6943</v>
      </c>
      <c r="E982" s="648" t="s">
        <v>1347</v>
      </c>
      <c r="F982" s="655">
        <v>1775477</v>
      </c>
      <c r="G982" s="655">
        <v>55693</v>
      </c>
      <c r="H982" s="655">
        <v>53895</v>
      </c>
      <c r="I982" s="655">
        <v>168954</v>
      </c>
      <c r="J982" s="655">
        <v>168434</v>
      </c>
      <c r="K982" s="655">
        <v>17428</v>
      </c>
      <c r="L982" s="655">
        <v>15773</v>
      </c>
      <c r="M982" s="655">
        <v>0</v>
      </c>
      <c r="N982" s="655">
        <v>89824</v>
      </c>
      <c r="O982" s="655">
        <v>8436</v>
      </c>
      <c r="P982" s="655">
        <v>14661</v>
      </c>
      <c r="Q982" s="655">
        <v>16363</v>
      </c>
      <c r="R982" s="655">
        <v>0</v>
      </c>
      <c r="S982" s="655">
        <v>9183</v>
      </c>
      <c r="T982" s="655">
        <v>977</v>
      </c>
      <c r="U982" s="655">
        <v>88774</v>
      </c>
      <c r="V982" s="655">
        <v>0</v>
      </c>
      <c r="W982" s="655">
        <v>44248</v>
      </c>
      <c r="X982" s="655">
        <v>0</v>
      </c>
      <c r="Y982" s="655">
        <v>6970</v>
      </c>
      <c r="Z982" s="655">
        <v>0</v>
      </c>
      <c r="AA982" s="655">
        <v>0</v>
      </c>
      <c r="AB982" s="655">
        <v>0</v>
      </c>
      <c r="AC982" s="655">
        <v>0</v>
      </c>
      <c r="AD982" s="655">
        <v>16863</v>
      </c>
      <c r="AE982" s="655">
        <v>2504287</v>
      </c>
      <c r="AF982" s="655">
        <v>60477</v>
      </c>
      <c r="AG982" s="655">
        <v>152976</v>
      </c>
      <c r="AH982" s="655">
        <v>0</v>
      </c>
      <c r="AI982" s="655">
        <v>404088</v>
      </c>
      <c r="AJ982" s="655">
        <v>554036</v>
      </c>
      <c r="AK982" s="655">
        <v>3675864</v>
      </c>
      <c r="AL982" s="655">
        <v>3253153</v>
      </c>
      <c r="AM982" s="655">
        <v>422711</v>
      </c>
    </row>
    <row r="983" spans="1:39" x14ac:dyDescent="0.2">
      <c r="A983" s="648">
        <v>2015</v>
      </c>
      <c r="B983" s="648">
        <v>1</v>
      </c>
      <c r="C983" s="657" t="s">
        <v>388</v>
      </c>
      <c r="D983" s="648">
        <v>6950</v>
      </c>
      <c r="E983" s="648" t="s">
        <v>1348</v>
      </c>
      <c r="F983" s="655">
        <v>9842653</v>
      </c>
      <c r="G983" s="655">
        <v>0</v>
      </c>
      <c r="H983" s="655">
        <v>220527</v>
      </c>
      <c r="I983" s="655">
        <v>1089099</v>
      </c>
      <c r="J983" s="655">
        <v>848208</v>
      </c>
      <c r="K983" s="655">
        <v>93945</v>
      </c>
      <c r="L983" s="655">
        <v>91658</v>
      </c>
      <c r="M983" s="655">
        <v>0</v>
      </c>
      <c r="N983" s="655">
        <v>504759</v>
      </c>
      <c r="O983" s="655">
        <v>0</v>
      </c>
      <c r="P983" s="655">
        <v>87755</v>
      </c>
      <c r="Q983" s="655">
        <v>97945</v>
      </c>
      <c r="R983" s="655">
        <v>0</v>
      </c>
      <c r="S983" s="655">
        <v>49638</v>
      </c>
      <c r="T983" s="655">
        <v>5304</v>
      </c>
      <c r="U983" s="655">
        <v>220626</v>
      </c>
      <c r="V983" s="655">
        <v>0</v>
      </c>
      <c r="W983" s="655">
        <v>109307</v>
      </c>
      <c r="X983" s="655">
        <v>146809</v>
      </c>
      <c r="Y983" s="655">
        <v>0</v>
      </c>
      <c r="Z983" s="655">
        <v>0</v>
      </c>
      <c r="AA983" s="655">
        <v>0</v>
      </c>
      <c r="AB983" s="655">
        <v>0</v>
      </c>
      <c r="AC983" s="655">
        <v>0</v>
      </c>
      <c r="AD983" s="655">
        <v>90517</v>
      </c>
      <c r="AE983" s="655">
        <v>13317716</v>
      </c>
      <c r="AF983" s="655">
        <v>0</v>
      </c>
      <c r="AG983" s="655">
        <v>594496</v>
      </c>
      <c r="AH983" s="655">
        <v>0</v>
      </c>
      <c r="AI983" s="655">
        <v>1421970</v>
      </c>
      <c r="AJ983" s="655">
        <v>1806662</v>
      </c>
      <c r="AK983" s="655">
        <v>17140844</v>
      </c>
      <c r="AL983" s="655">
        <v>14974464</v>
      </c>
      <c r="AM983" s="655">
        <v>2166380</v>
      </c>
    </row>
    <row r="984" spans="1:39" x14ac:dyDescent="0.2">
      <c r="A984" s="648">
        <v>2015</v>
      </c>
      <c r="B984" s="648">
        <v>11</v>
      </c>
      <c r="C984" s="657" t="s">
        <v>389</v>
      </c>
      <c r="D984" s="648">
        <v>6957</v>
      </c>
      <c r="E984" s="648" t="s">
        <v>1349</v>
      </c>
      <c r="F984" s="655">
        <v>57640310</v>
      </c>
      <c r="G984" s="655">
        <v>0</v>
      </c>
      <c r="H984" s="655">
        <v>1634611</v>
      </c>
      <c r="I984" s="655">
        <v>5695406</v>
      </c>
      <c r="J984" s="655">
        <v>4726397</v>
      </c>
      <c r="K984" s="655">
        <v>538737</v>
      </c>
      <c r="L984" s="655">
        <v>523435</v>
      </c>
      <c r="M984" s="655">
        <v>0</v>
      </c>
      <c r="N984" s="655">
        <v>2704353</v>
      </c>
      <c r="O984" s="655">
        <v>0</v>
      </c>
      <c r="P984" s="655">
        <v>549425</v>
      </c>
      <c r="Q984" s="655">
        <v>603035</v>
      </c>
      <c r="R984" s="655">
        <v>0</v>
      </c>
      <c r="S984" s="655">
        <v>220869</v>
      </c>
      <c r="T984" s="655">
        <v>28156</v>
      </c>
      <c r="U984" s="655">
        <v>2816016</v>
      </c>
      <c r="V984" s="655">
        <v>2493344</v>
      </c>
      <c r="W984" s="655">
        <v>1077711</v>
      </c>
      <c r="X984" s="655">
        <v>2898219</v>
      </c>
      <c r="Y984" s="655">
        <v>0</v>
      </c>
      <c r="Z984" s="655">
        <v>0</v>
      </c>
      <c r="AA984" s="655">
        <v>0</v>
      </c>
      <c r="AB984" s="655">
        <v>0</v>
      </c>
      <c r="AC984" s="655">
        <v>0</v>
      </c>
      <c r="AD984" s="655">
        <v>390197</v>
      </c>
      <c r="AE984" s="655">
        <v>83759827</v>
      </c>
      <c r="AF984" s="655">
        <v>973998</v>
      </c>
      <c r="AG984" s="655">
        <v>4813542</v>
      </c>
      <c r="AH984" s="655">
        <v>0</v>
      </c>
      <c r="AI984" s="655">
        <v>12681846</v>
      </c>
      <c r="AJ984" s="655">
        <v>17043467</v>
      </c>
      <c r="AK984" s="655">
        <v>119272680</v>
      </c>
      <c r="AL984" s="655">
        <v>98089800</v>
      </c>
      <c r="AM984" s="655">
        <v>21182880</v>
      </c>
    </row>
    <row r="985" spans="1:39" x14ac:dyDescent="0.2">
      <c r="A985" s="648">
        <v>2015</v>
      </c>
      <c r="B985" s="648">
        <v>1</v>
      </c>
      <c r="C985" s="657" t="s">
        <v>390</v>
      </c>
      <c r="D985" s="648">
        <v>6961</v>
      </c>
      <c r="E985" s="648" t="s">
        <v>1350</v>
      </c>
      <c r="F985" s="655">
        <v>18939382</v>
      </c>
      <c r="G985" s="655">
        <v>0</v>
      </c>
      <c r="H985" s="655">
        <v>338945</v>
      </c>
      <c r="I985" s="655">
        <v>2710368</v>
      </c>
      <c r="J985" s="655">
        <v>1604346</v>
      </c>
      <c r="K985" s="655">
        <v>178038</v>
      </c>
      <c r="L985" s="655">
        <v>182875</v>
      </c>
      <c r="M985" s="655">
        <v>0</v>
      </c>
      <c r="N985" s="655">
        <v>991552</v>
      </c>
      <c r="O985" s="655">
        <v>0</v>
      </c>
      <c r="P985" s="655">
        <v>227714</v>
      </c>
      <c r="Q985" s="655">
        <v>254156</v>
      </c>
      <c r="R985" s="655">
        <v>0</v>
      </c>
      <c r="S985" s="655">
        <v>97510</v>
      </c>
      <c r="T985" s="655">
        <v>10419</v>
      </c>
      <c r="U985" s="655">
        <v>776515</v>
      </c>
      <c r="V985" s="655">
        <v>202060</v>
      </c>
      <c r="W985" s="655">
        <v>284707</v>
      </c>
      <c r="X985" s="655">
        <v>0</v>
      </c>
      <c r="Y985" s="655">
        <v>145119</v>
      </c>
      <c r="Z985" s="655">
        <v>0</v>
      </c>
      <c r="AA985" s="655">
        <v>0</v>
      </c>
      <c r="AB985" s="655">
        <v>0</v>
      </c>
      <c r="AC985" s="655">
        <v>-7041</v>
      </c>
      <c r="AD985" s="655">
        <v>140594</v>
      </c>
      <c r="AE985" s="655">
        <v>26505833</v>
      </c>
      <c r="AF985" s="655">
        <v>891240</v>
      </c>
      <c r="AG985" s="655">
        <v>1534658</v>
      </c>
      <c r="AH985" s="655">
        <v>0</v>
      </c>
      <c r="AI985" s="655">
        <v>5110543</v>
      </c>
      <c r="AJ985" s="655">
        <v>5188344</v>
      </c>
      <c r="AK985" s="655">
        <v>39230618</v>
      </c>
      <c r="AL985" s="655">
        <v>33183251</v>
      </c>
      <c r="AM985" s="655">
        <v>6047367</v>
      </c>
    </row>
    <row r="986" spans="1:39" x14ac:dyDescent="0.2">
      <c r="A986" s="648">
        <v>2015</v>
      </c>
      <c r="B986" s="648">
        <v>13</v>
      </c>
      <c r="C986" s="657" t="s">
        <v>391</v>
      </c>
      <c r="D986" s="648">
        <v>6969</v>
      </c>
      <c r="E986" s="648" t="s">
        <v>1393</v>
      </c>
      <c r="F986" s="655">
        <v>2493484</v>
      </c>
      <c r="G986" s="655">
        <v>143389</v>
      </c>
      <c r="H986" s="655">
        <v>84053</v>
      </c>
      <c r="I986" s="655">
        <v>471703</v>
      </c>
      <c r="J986" s="655">
        <v>225893</v>
      </c>
      <c r="K986" s="655">
        <v>24568</v>
      </c>
      <c r="L986" s="655">
        <v>20086</v>
      </c>
      <c r="M986" s="655">
        <v>0</v>
      </c>
      <c r="N986" s="655">
        <v>126973</v>
      </c>
      <c r="O986" s="655">
        <v>20987</v>
      </c>
      <c r="P986" s="655">
        <v>19898</v>
      </c>
      <c r="Q986" s="655">
        <v>22007</v>
      </c>
      <c r="R986" s="655">
        <v>0</v>
      </c>
      <c r="S986" s="655">
        <v>13777</v>
      </c>
      <c r="T986" s="655">
        <v>1455</v>
      </c>
      <c r="U986" s="655">
        <v>94752</v>
      </c>
      <c r="V986" s="655">
        <v>0</v>
      </c>
      <c r="W986" s="655">
        <v>48968</v>
      </c>
      <c r="X986" s="655">
        <v>78084</v>
      </c>
      <c r="Y986" s="655">
        <v>0</v>
      </c>
      <c r="Z986" s="655">
        <v>0</v>
      </c>
      <c r="AA986" s="655">
        <v>0</v>
      </c>
      <c r="AB986" s="655">
        <v>0</v>
      </c>
      <c r="AC986" s="655">
        <v>0</v>
      </c>
      <c r="AD986" s="655">
        <v>25347</v>
      </c>
      <c r="AE986" s="655">
        <v>3864730</v>
      </c>
      <c r="AF986" s="655">
        <v>57294</v>
      </c>
      <c r="AG986" s="655">
        <v>229777</v>
      </c>
      <c r="AH986" s="655">
        <v>0</v>
      </c>
      <c r="AI986" s="655">
        <v>459291</v>
      </c>
      <c r="AJ986" s="655">
        <v>2873</v>
      </c>
      <c r="AK986" s="655">
        <v>4613965</v>
      </c>
      <c r="AL986" s="655">
        <v>4418940</v>
      </c>
      <c r="AM986" s="655">
        <v>195025</v>
      </c>
    </row>
    <row r="987" spans="1:39" x14ac:dyDescent="0.2">
      <c r="A987" s="648">
        <v>2015</v>
      </c>
      <c r="B987" s="648">
        <v>9</v>
      </c>
      <c r="C987" s="657" t="s">
        <v>392</v>
      </c>
      <c r="D987" s="648">
        <v>6975</v>
      </c>
      <c r="E987" s="648" t="s">
        <v>1394</v>
      </c>
      <c r="F987" s="655">
        <v>7664027</v>
      </c>
      <c r="G987" s="655">
        <v>0</v>
      </c>
      <c r="H987" s="655">
        <v>283790</v>
      </c>
      <c r="I987" s="655">
        <v>820705</v>
      </c>
      <c r="J987" s="655">
        <v>668646</v>
      </c>
      <c r="K987" s="655">
        <v>69513</v>
      </c>
      <c r="L987" s="655">
        <v>92472</v>
      </c>
      <c r="M987" s="655">
        <v>0</v>
      </c>
      <c r="N987" s="655">
        <v>374309</v>
      </c>
      <c r="O987" s="655">
        <v>0</v>
      </c>
      <c r="P987" s="655">
        <v>62747</v>
      </c>
      <c r="Q987" s="655">
        <v>68441</v>
      </c>
      <c r="R987" s="655">
        <v>0</v>
      </c>
      <c r="S987" s="655">
        <v>33614</v>
      </c>
      <c r="T987" s="655">
        <v>3945</v>
      </c>
      <c r="U987" s="655">
        <v>189364</v>
      </c>
      <c r="V987" s="655">
        <v>341</v>
      </c>
      <c r="W987" s="655">
        <v>285451</v>
      </c>
      <c r="X987" s="655">
        <v>0</v>
      </c>
      <c r="Y987" s="655">
        <v>0</v>
      </c>
      <c r="Z987" s="655">
        <v>0</v>
      </c>
      <c r="AA987" s="655">
        <v>0</v>
      </c>
      <c r="AB987" s="655">
        <v>0</v>
      </c>
      <c r="AC987" s="655">
        <v>0</v>
      </c>
      <c r="AD987" s="655">
        <v>51632</v>
      </c>
      <c r="AE987" s="655">
        <v>10565733</v>
      </c>
      <c r="AF987" s="655">
        <v>299202</v>
      </c>
      <c r="AG987" s="655">
        <v>505826</v>
      </c>
      <c r="AH987" s="655">
        <v>0</v>
      </c>
      <c r="AI987" s="655">
        <v>1097677</v>
      </c>
      <c r="AJ987" s="655">
        <v>3000853</v>
      </c>
      <c r="AK987" s="655">
        <v>15469291</v>
      </c>
      <c r="AL987" s="655">
        <v>12519048</v>
      </c>
      <c r="AM987" s="655">
        <v>2950243</v>
      </c>
    </row>
    <row r="988" spans="1:39" x14ac:dyDescent="0.2">
      <c r="A988" s="648">
        <v>2015</v>
      </c>
      <c r="B988" s="648">
        <v>12</v>
      </c>
      <c r="C988" s="657" t="s">
        <v>393</v>
      </c>
      <c r="D988" s="648">
        <v>6983</v>
      </c>
      <c r="E988" s="648" t="s">
        <v>1395</v>
      </c>
      <c r="F988" s="655">
        <v>5653008</v>
      </c>
      <c r="G988" s="655">
        <v>0</v>
      </c>
      <c r="H988" s="655">
        <v>22574</v>
      </c>
      <c r="I988" s="655">
        <v>492283</v>
      </c>
      <c r="J988" s="655">
        <v>457125</v>
      </c>
      <c r="K988" s="655">
        <v>51380</v>
      </c>
      <c r="L988" s="655">
        <v>52170</v>
      </c>
      <c r="M988" s="655">
        <v>0</v>
      </c>
      <c r="N988" s="655">
        <v>276528</v>
      </c>
      <c r="O988" s="655">
        <v>0</v>
      </c>
      <c r="P988" s="655">
        <v>49752</v>
      </c>
      <c r="Q988" s="655">
        <v>55870</v>
      </c>
      <c r="R988" s="655">
        <v>0</v>
      </c>
      <c r="S988" s="655">
        <v>27763</v>
      </c>
      <c r="T988" s="655">
        <v>3321</v>
      </c>
      <c r="U988" s="655">
        <v>157480</v>
      </c>
      <c r="V988" s="655">
        <v>0</v>
      </c>
      <c r="W988" s="655">
        <v>64011</v>
      </c>
      <c r="X988" s="655">
        <v>199509</v>
      </c>
      <c r="Y988" s="655">
        <v>0</v>
      </c>
      <c r="Z988" s="655">
        <v>0</v>
      </c>
      <c r="AA988" s="655">
        <v>0</v>
      </c>
      <c r="AB988" s="655">
        <v>0</v>
      </c>
      <c r="AC988" s="655">
        <v>0</v>
      </c>
      <c r="AD988" s="655">
        <v>39031</v>
      </c>
      <c r="AE988" s="655">
        <v>7523743</v>
      </c>
      <c r="AF988" s="655">
        <v>120954</v>
      </c>
      <c r="AG988" s="655">
        <v>454445</v>
      </c>
      <c r="AH988" s="655">
        <v>0</v>
      </c>
      <c r="AI988" s="655">
        <v>548856</v>
      </c>
      <c r="AJ988" s="655">
        <v>6151801</v>
      </c>
      <c r="AK988" s="655">
        <v>14799799</v>
      </c>
      <c r="AL988" s="655">
        <v>8188206</v>
      </c>
      <c r="AM988" s="655">
        <v>6611593</v>
      </c>
    </row>
    <row r="989" spans="1:39" x14ac:dyDescent="0.2">
      <c r="A989" s="648">
        <v>2015</v>
      </c>
      <c r="B989" s="648">
        <v>7</v>
      </c>
      <c r="C989" s="657" t="s">
        <v>394</v>
      </c>
      <c r="D989" s="648">
        <v>6985</v>
      </c>
      <c r="E989" s="648" t="s">
        <v>1396</v>
      </c>
      <c r="F989" s="655">
        <v>5503086</v>
      </c>
      <c r="G989" s="655">
        <v>0</v>
      </c>
      <c r="H989" s="655">
        <v>58243</v>
      </c>
      <c r="I989" s="655">
        <v>600846</v>
      </c>
      <c r="J989" s="655">
        <v>474346</v>
      </c>
      <c r="K989" s="655">
        <v>45886</v>
      </c>
      <c r="L989" s="655">
        <v>56982</v>
      </c>
      <c r="M989" s="655">
        <v>0</v>
      </c>
      <c r="N989" s="655">
        <v>271243</v>
      </c>
      <c r="O989" s="655">
        <v>0</v>
      </c>
      <c r="P989" s="655">
        <v>45946</v>
      </c>
      <c r="Q989" s="655">
        <v>51331</v>
      </c>
      <c r="R989" s="655">
        <v>0</v>
      </c>
      <c r="S989" s="655">
        <v>34624</v>
      </c>
      <c r="T989" s="655">
        <v>3975</v>
      </c>
      <c r="U989" s="655">
        <v>73446</v>
      </c>
      <c r="V989" s="655">
        <v>0</v>
      </c>
      <c r="W989" s="655">
        <v>24484</v>
      </c>
      <c r="X989" s="655">
        <v>0</v>
      </c>
      <c r="Y989" s="655">
        <v>0</v>
      </c>
      <c r="Z989" s="655">
        <v>0</v>
      </c>
      <c r="AA989" s="655">
        <v>0</v>
      </c>
      <c r="AB989" s="655">
        <v>0</v>
      </c>
      <c r="AC989" s="655">
        <v>0</v>
      </c>
      <c r="AD989" s="655">
        <v>38932</v>
      </c>
      <c r="AE989" s="655">
        <v>7205506</v>
      </c>
      <c r="AF989" s="655">
        <v>0</v>
      </c>
      <c r="AG989" s="655">
        <v>397928</v>
      </c>
      <c r="AH989" s="655">
        <v>0</v>
      </c>
      <c r="AI989" s="655">
        <v>1236813</v>
      </c>
      <c r="AJ989" s="655">
        <v>4387691</v>
      </c>
      <c r="AK989" s="655">
        <v>13227938</v>
      </c>
      <c r="AL989" s="655">
        <v>8211791</v>
      </c>
      <c r="AM989" s="655">
        <v>5016147</v>
      </c>
    </row>
    <row r="990" spans="1:39" x14ac:dyDescent="0.2">
      <c r="A990" s="648">
        <v>2015</v>
      </c>
      <c r="B990" s="648">
        <v>12</v>
      </c>
      <c r="C990" s="657" t="s">
        <v>395</v>
      </c>
      <c r="D990" s="648">
        <v>6987</v>
      </c>
      <c r="E990" s="648" t="s">
        <v>1397</v>
      </c>
      <c r="F990" s="655">
        <v>4349663</v>
      </c>
      <c r="G990" s="655">
        <v>0</v>
      </c>
      <c r="H990" s="655">
        <v>43127</v>
      </c>
      <c r="I990" s="655">
        <v>795664</v>
      </c>
      <c r="J990" s="655">
        <v>389279</v>
      </c>
      <c r="K990" s="655">
        <v>40999</v>
      </c>
      <c r="L990" s="655">
        <v>43838</v>
      </c>
      <c r="M990" s="655">
        <v>0</v>
      </c>
      <c r="N990" s="655">
        <v>231205</v>
      </c>
      <c r="O990" s="655">
        <v>0</v>
      </c>
      <c r="P990" s="655">
        <v>35716</v>
      </c>
      <c r="Q990" s="655">
        <v>40108</v>
      </c>
      <c r="R990" s="655">
        <v>0</v>
      </c>
      <c r="S990" s="655">
        <v>23212</v>
      </c>
      <c r="T990" s="655">
        <v>2776</v>
      </c>
      <c r="U990" s="655">
        <v>21648</v>
      </c>
      <c r="V990" s="655">
        <v>176258</v>
      </c>
      <c r="W990" s="655">
        <v>60597</v>
      </c>
      <c r="X990" s="655">
        <v>0</v>
      </c>
      <c r="Y990" s="655">
        <v>89650</v>
      </c>
      <c r="Z990" s="655">
        <v>0</v>
      </c>
      <c r="AA990" s="655">
        <v>0</v>
      </c>
      <c r="AB990" s="655">
        <v>0</v>
      </c>
      <c r="AC990" s="655">
        <v>0</v>
      </c>
      <c r="AD990" s="655">
        <v>33583</v>
      </c>
      <c r="AE990" s="655">
        <v>6130857</v>
      </c>
      <c r="AF990" s="655">
        <v>54111</v>
      </c>
      <c r="AG990" s="655">
        <v>338882</v>
      </c>
      <c r="AH990" s="655">
        <v>0</v>
      </c>
      <c r="AI990" s="655">
        <v>709754</v>
      </c>
      <c r="AJ990" s="655">
        <v>-176258</v>
      </c>
      <c r="AK990" s="655">
        <v>7057346</v>
      </c>
      <c r="AL990" s="655">
        <v>7131153</v>
      </c>
      <c r="AM990" s="655">
        <v>-73807</v>
      </c>
    </row>
    <row r="991" spans="1:39" x14ac:dyDescent="0.2">
      <c r="A991" s="648">
        <v>2015</v>
      </c>
      <c r="B991" s="648">
        <v>12</v>
      </c>
      <c r="C991" s="657" t="s">
        <v>396</v>
      </c>
      <c r="D991" s="648">
        <v>6990</v>
      </c>
      <c r="E991" s="648" t="s">
        <v>1398</v>
      </c>
      <c r="F991" s="655">
        <v>4824334</v>
      </c>
      <c r="G991" s="655">
        <v>0</v>
      </c>
      <c r="H991" s="655">
        <v>299248</v>
      </c>
      <c r="I991" s="655">
        <v>697423</v>
      </c>
      <c r="J991" s="655">
        <v>438638</v>
      </c>
      <c r="K991" s="655">
        <v>50433</v>
      </c>
      <c r="L991" s="655">
        <v>51845</v>
      </c>
      <c r="M991" s="655">
        <v>0</v>
      </c>
      <c r="N991" s="655">
        <v>247576</v>
      </c>
      <c r="O991" s="655">
        <v>0</v>
      </c>
      <c r="P991" s="655">
        <v>43101</v>
      </c>
      <c r="Q991" s="655">
        <v>48401</v>
      </c>
      <c r="R991" s="655">
        <v>0</v>
      </c>
      <c r="S991" s="655">
        <v>24856</v>
      </c>
      <c r="T991" s="655">
        <v>2973</v>
      </c>
      <c r="U991" s="655">
        <v>241217</v>
      </c>
      <c r="V991" s="655">
        <v>11668</v>
      </c>
      <c r="W991" s="655">
        <v>233837</v>
      </c>
      <c r="X991" s="655">
        <v>246590</v>
      </c>
      <c r="Y991" s="655">
        <v>0</v>
      </c>
      <c r="Z991" s="655">
        <v>0</v>
      </c>
      <c r="AA991" s="655">
        <v>0</v>
      </c>
      <c r="AB991" s="655">
        <v>0</v>
      </c>
      <c r="AC991" s="655">
        <v>-553</v>
      </c>
      <c r="AD991" s="655">
        <v>37148</v>
      </c>
      <c r="AE991" s="655">
        <v>7424439</v>
      </c>
      <c r="AF991" s="655">
        <v>159150</v>
      </c>
      <c r="AG991" s="655">
        <v>329936</v>
      </c>
      <c r="AH991" s="655">
        <v>0</v>
      </c>
      <c r="AI991" s="655">
        <v>884836</v>
      </c>
      <c r="AJ991" s="655">
        <v>2190238</v>
      </c>
      <c r="AK991" s="655">
        <v>10988599</v>
      </c>
      <c r="AL991" s="655">
        <v>8470873</v>
      </c>
      <c r="AM991" s="655">
        <v>2517726</v>
      </c>
    </row>
    <row r="992" spans="1:39" x14ac:dyDescent="0.2">
      <c r="A992" s="648">
        <v>2015</v>
      </c>
      <c r="B992" s="648">
        <v>12</v>
      </c>
      <c r="C992" s="657" t="s">
        <v>397</v>
      </c>
      <c r="D992" s="648">
        <v>6992</v>
      </c>
      <c r="E992" s="648" t="s">
        <v>1399</v>
      </c>
      <c r="F992" s="655">
        <v>3331795</v>
      </c>
      <c r="G992" s="655">
        <v>48503</v>
      </c>
      <c r="H992" s="655">
        <v>23067</v>
      </c>
      <c r="I992" s="655">
        <v>573695</v>
      </c>
      <c r="J992" s="655">
        <v>306412</v>
      </c>
      <c r="K992" s="655">
        <v>35406</v>
      </c>
      <c r="L992" s="655">
        <v>34486</v>
      </c>
      <c r="M992" s="655">
        <v>0</v>
      </c>
      <c r="N992" s="655">
        <v>174944</v>
      </c>
      <c r="O992" s="655">
        <v>3047</v>
      </c>
      <c r="P992" s="655">
        <v>27599</v>
      </c>
      <c r="Q992" s="655">
        <v>30993</v>
      </c>
      <c r="R992" s="655">
        <v>0</v>
      </c>
      <c r="S992" s="655">
        <v>17613</v>
      </c>
      <c r="T992" s="655">
        <v>2108</v>
      </c>
      <c r="U992" s="655">
        <v>166590</v>
      </c>
      <c r="V992" s="655">
        <v>0</v>
      </c>
      <c r="W992" s="655">
        <v>57903</v>
      </c>
      <c r="X992" s="655">
        <v>191859</v>
      </c>
      <c r="Y992" s="655">
        <v>0</v>
      </c>
      <c r="Z992" s="655">
        <v>0</v>
      </c>
      <c r="AA992" s="655">
        <v>0</v>
      </c>
      <c r="AB992" s="655">
        <v>0</v>
      </c>
      <c r="AC992" s="655">
        <v>0</v>
      </c>
      <c r="AD992" s="655">
        <v>31987</v>
      </c>
      <c r="AE992" s="655">
        <v>4994033</v>
      </c>
      <c r="AF992" s="655">
        <v>57294</v>
      </c>
      <c r="AG992" s="655">
        <v>293917</v>
      </c>
      <c r="AH992" s="655">
        <v>0</v>
      </c>
      <c r="AI992" s="655">
        <v>817514</v>
      </c>
      <c r="AJ992" s="655">
        <v>417357</v>
      </c>
      <c r="AK992" s="655">
        <v>6580115</v>
      </c>
      <c r="AL992" s="655">
        <v>6170436</v>
      </c>
      <c r="AM992" s="655">
        <v>409679</v>
      </c>
    </row>
    <row r="993" spans="1:39" x14ac:dyDescent="0.2">
      <c r="A993" s="648">
        <v>2015</v>
      </c>
      <c r="B993" s="648">
        <v>12</v>
      </c>
      <c r="C993" s="657" t="s">
        <v>398</v>
      </c>
      <c r="D993" s="648">
        <v>7002</v>
      </c>
      <c r="E993" s="648" t="s">
        <v>1400</v>
      </c>
      <c r="F993" s="655">
        <v>1090496</v>
      </c>
      <c r="G993" s="655">
        <v>121835</v>
      </c>
      <c r="H993" s="655">
        <v>12446</v>
      </c>
      <c r="I993" s="655">
        <v>169017</v>
      </c>
      <c r="J993" s="655">
        <v>130097</v>
      </c>
      <c r="K993" s="655">
        <v>14660</v>
      </c>
      <c r="L993" s="655">
        <v>16157</v>
      </c>
      <c r="M993" s="655">
        <v>0</v>
      </c>
      <c r="N993" s="655">
        <v>56676</v>
      </c>
      <c r="O993" s="655">
        <v>6467</v>
      </c>
      <c r="P993" s="655">
        <v>8955</v>
      </c>
      <c r="Q993" s="655">
        <v>10057</v>
      </c>
      <c r="R993" s="655">
        <v>0</v>
      </c>
      <c r="S993" s="655">
        <v>6335</v>
      </c>
      <c r="T993" s="655">
        <v>758</v>
      </c>
      <c r="U993" s="655">
        <v>54525</v>
      </c>
      <c r="V993" s="655">
        <v>0</v>
      </c>
      <c r="W993" s="655">
        <v>50585</v>
      </c>
      <c r="X993" s="655">
        <v>0</v>
      </c>
      <c r="Y993" s="655">
        <v>0</v>
      </c>
      <c r="Z993" s="655">
        <v>0</v>
      </c>
      <c r="AA993" s="655">
        <v>0</v>
      </c>
      <c r="AB993" s="655">
        <v>0</v>
      </c>
      <c r="AC993" s="655">
        <v>0</v>
      </c>
      <c r="AD993" s="655">
        <v>11015</v>
      </c>
      <c r="AE993" s="655">
        <v>1738051</v>
      </c>
      <c r="AF993" s="655">
        <v>38196</v>
      </c>
      <c r="AG993" s="655">
        <v>105642</v>
      </c>
      <c r="AH993" s="655">
        <v>0</v>
      </c>
      <c r="AI993" s="655">
        <v>749146</v>
      </c>
      <c r="AJ993" s="655">
        <v>520017</v>
      </c>
      <c r="AK993" s="655">
        <v>3151052</v>
      </c>
      <c r="AL993" s="655">
        <v>2748381</v>
      </c>
      <c r="AM993" s="655">
        <v>402671</v>
      </c>
    </row>
    <row r="994" spans="1:39" x14ac:dyDescent="0.2">
      <c r="A994" s="648">
        <v>2015</v>
      </c>
      <c r="B994" s="648">
        <v>10</v>
      </c>
      <c r="C994" s="657" t="s">
        <v>399</v>
      </c>
      <c r="D994" s="648">
        <v>7029</v>
      </c>
      <c r="E994" s="648" t="s">
        <v>1401</v>
      </c>
      <c r="F994" s="655">
        <v>7298455</v>
      </c>
      <c r="G994" s="655">
        <v>0</v>
      </c>
      <c r="H994" s="655">
        <v>153838</v>
      </c>
      <c r="I994" s="655">
        <v>629967</v>
      </c>
      <c r="J994" s="655">
        <v>628831</v>
      </c>
      <c r="K994" s="655">
        <v>68605</v>
      </c>
      <c r="L994" s="655">
        <v>58644</v>
      </c>
      <c r="M994" s="655">
        <v>0</v>
      </c>
      <c r="N994" s="655">
        <v>346505</v>
      </c>
      <c r="O994" s="655">
        <v>0</v>
      </c>
      <c r="P994" s="655">
        <v>63746</v>
      </c>
      <c r="Q994" s="655">
        <v>70025</v>
      </c>
      <c r="R994" s="655">
        <v>0</v>
      </c>
      <c r="S994" s="655">
        <v>32263</v>
      </c>
      <c r="T994" s="655">
        <v>3752</v>
      </c>
      <c r="U994" s="655">
        <v>258077</v>
      </c>
      <c r="V994" s="655">
        <v>0</v>
      </c>
      <c r="W994" s="655">
        <v>77232</v>
      </c>
      <c r="X994" s="655">
        <v>423475</v>
      </c>
      <c r="Y994" s="655">
        <v>0</v>
      </c>
      <c r="Z994" s="655">
        <v>0</v>
      </c>
      <c r="AA994" s="655">
        <v>0</v>
      </c>
      <c r="AB994" s="655">
        <v>0</v>
      </c>
      <c r="AC994" s="655">
        <v>0</v>
      </c>
      <c r="AD994" s="655">
        <v>51123</v>
      </c>
      <c r="AE994" s="655">
        <v>10062292</v>
      </c>
      <c r="AF994" s="655">
        <v>203712</v>
      </c>
      <c r="AG994" s="655">
        <v>543005</v>
      </c>
      <c r="AH994" s="655">
        <v>0</v>
      </c>
      <c r="AI994" s="655">
        <v>1562908</v>
      </c>
      <c r="AJ994" s="655">
        <v>1525316</v>
      </c>
      <c r="AK994" s="655">
        <v>13897233</v>
      </c>
      <c r="AL994" s="655">
        <v>12353026</v>
      </c>
      <c r="AM994" s="655">
        <v>1544207</v>
      </c>
    </row>
    <row r="995" spans="1:39" x14ac:dyDescent="0.2">
      <c r="A995" s="648">
        <v>2015</v>
      </c>
      <c r="B995" s="648">
        <v>9</v>
      </c>
      <c r="C995" s="657" t="s">
        <v>400</v>
      </c>
      <c r="D995" s="648">
        <v>7038</v>
      </c>
      <c r="E995" s="648" t="s">
        <v>1402</v>
      </c>
      <c r="F995" s="655">
        <v>4850892</v>
      </c>
      <c r="G995" s="655">
        <v>0</v>
      </c>
      <c r="H995" s="655">
        <v>59522</v>
      </c>
      <c r="I995" s="655">
        <v>562882</v>
      </c>
      <c r="J995" s="655">
        <v>429684</v>
      </c>
      <c r="K995" s="655">
        <v>47930</v>
      </c>
      <c r="L995" s="655">
        <v>48425</v>
      </c>
      <c r="M995" s="655">
        <v>0</v>
      </c>
      <c r="N995" s="655">
        <v>238832</v>
      </c>
      <c r="O995" s="655">
        <v>6397</v>
      </c>
      <c r="P995" s="655">
        <v>39704</v>
      </c>
      <c r="Q995" s="655">
        <v>43307</v>
      </c>
      <c r="R995" s="655">
        <v>0</v>
      </c>
      <c r="S995" s="655">
        <v>21448</v>
      </c>
      <c r="T995" s="655">
        <v>2517</v>
      </c>
      <c r="U995" s="655">
        <v>242545</v>
      </c>
      <c r="V995" s="655">
        <v>0</v>
      </c>
      <c r="W995" s="655">
        <v>88487</v>
      </c>
      <c r="X995" s="655">
        <v>0</v>
      </c>
      <c r="Y995" s="655">
        <v>36588</v>
      </c>
      <c r="Z995" s="655">
        <v>0</v>
      </c>
      <c r="AA995" s="655">
        <v>0</v>
      </c>
      <c r="AB995" s="655">
        <v>0</v>
      </c>
      <c r="AC995" s="655">
        <v>0</v>
      </c>
      <c r="AD995" s="655">
        <v>40568</v>
      </c>
      <c r="AE995" s="655">
        <v>6605416</v>
      </c>
      <c r="AF995" s="655">
        <v>149601</v>
      </c>
      <c r="AG995" s="655">
        <v>360906</v>
      </c>
      <c r="AH995" s="655">
        <v>0</v>
      </c>
      <c r="AI995" s="655">
        <v>1009296</v>
      </c>
      <c r="AJ995" s="655">
        <v>975429</v>
      </c>
      <c r="AK995" s="655">
        <v>9100648</v>
      </c>
      <c r="AL995" s="655">
        <v>7637311</v>
      </c>
      <c r="AM995" s="655">
        <v>1463337</v>
      </c>
    </row>
    <row r="996" spans="1:39" x14ac:dyDescent="0.2">
      <c r="A996" s="648">
        <v>2015</v>
      </c>
      <c r="B996" s="648">
        <v>15</v>
      </c>
      <c r="C996" s="657" t="s">
        <v>401</v>
      </c>
      <c r="D996" s="648">
        <v>7047</v>
      </c>
      <c r="E996" s="648" t="s">
        <v>1403</v>
      </c>
      <c r="F996" s="655">
        <v>2415769</v>
      </c>
      <c r="G996" s="655">
        <v>0</v>
      </c>
      <c r="H996" s="655">
        <v>30170</v>
      </c>
      <c r="I996" s="655">
        <v>254113</v>
      </c>
      <c r="J996" s="655">
        <v>217838</v>
      </c>
      <c r="K996" s="655">
        <v>23553</v>
      </c>
      <c r="L996" s="655">
        <v>26809</v>
      </c>
      <c r="M996" s="655">
        <v>0</v>
      </c>
      <c r="N996" s="655">
        <v>115728</v>
      </c>
      <c r="O996" s="655">
        <v>0</v>
      </c>
      <c r="P996" s="655">
        <v>19679</v>
      </c>
      <c r="Q996" s="655">
        <v>21614</v>
      </c>
      <c r="R996" s="655">
        <v>313</v>
      </c>
      <c r="S996" s="655">
        <v>11584</v>
      </c>
      <c r="T996" s="655">
        <v>1252</v>
      </c>
      <c r="U996" s="655">
        <v>92471</v>
      </c>
      <c r="V996" s="655">
        <v>0</v>
      </c>
      <c r="W996" s="655">
        <v>53865</v>
      </c>
      <c r="X996" s="655">
        <v>14634</v>
      </c>
      <c r="Y996" s="655">
        <v>0</v>
      </c>
      <c r="Z996" s="655">
        <v>0</v>
      </c>
      <c r="AA996" s="655">
        <v>0</v>
      </c>
      <c r="AB996" s="655">
        <v>0</v>
      </c>
      <c r="AC996" s="655">
        <v>0</v>
      </c>
      <c r="AD996" s="655">
        <v>18261</v>
      </c>
      <c r="AE996" s="655">
        <v>3281131</v>
      </c>
      <c r="AF996" s="655">
        <v>50928</v>
      </c>
      <c r="AG996" s="655">
        <v>179443</v>
      </c>
      <c r="AH996" s="655">
        <v>0</v>
      </c>
      <c r="AI996" s="655">
        <v>921402</v>
      </c>
      <c r="AJ996" s="655">
        <v>1823085</v>
      </c>
      <c r="AK996" s="655">
        <v>6255989</v>
      </c>
      <c r="AL996" s="655">
        <v>4305366</v>
      </c>
      <c r="AM996" s="655">
        <v>1950623</v>
      </c>
    </row>
    <row r="997" spans="1:39" x14ac:dyDescent="0.2">
      <c r="A997" s="648">
        <v>2015</v>
      </c>
      <c r="B997" s="648">
        <v>11</v>
      </c>
      <c r="C997" s="657" t="s">
        <v>402</v>
      </c>
      <c r="D997" s="648">
        <v>7056</v>
      </c>
      <c r="E997" s="648" t="s">
        <v>1404</v>
      </c>
      <c r="F997" s="655">
        <v>10917053</v>
      </c>
      <c r="G997" s="655">
        <v>0</v>
      </c>
      <c r="H997" s="655">
        <v>219143</v>
      </c>
      <c r="I997" s="655">
        <v>1215078</v>
      </c>
      <c r="J997" s="655">
        <v>910080</v>
      </c>
      <c r="K997" s="655">
        <v>98127</v>
      </c>
      <c r="L997" s="655">
        <v>118500</v>
      </c>
      <c r="M997" s="655">
        <v>0</v>
      </c>
      <c r="N997" s="655">
        <v>518026</v>
      </c>
      <c r="O997" s="655">
        <v>0</v>
      </c>
      <c r="P997" s="655">
        <v>89839</v>
      </c>
      <c r="Q997" s="655">
        <v>98605</v>
      </c>
      <c r="R997" s="655">
        <v>0</v>
      </c>
      <c r="S997" s="655">
        <v>42308</v>
      </c>
      <c r="T997" s="655">
        <v>5393</v>
      </c>
      <c r="U997" s="655">
        <v>369637</v>
      </c>
      <c r="V997" s="655">
        <v>0</v>
      </c>
      <c r="W997" s="655">
        <v>71682</v>
      </c>
      <c r="X997" s="655">
        <v>259144</v>
      </c>
      <c r="Y997" s="655">
        <v>0</v>
      </c>
      <c r="Z997" s="655">
        <v>0</v>
      </c>
      <c r="AA997" s="655">
        <v>0</v>
      </c>
      <c r="AB997" s="655">
        <v>0</v>
      </c>
      <c r="AC997" s="655">
        <v>0</v>
      </c>
      <c r="AD997" s="655">
        <v>70332</v>
      </c>
      <c r="AE997" s="655">
        <v>14862283</v>
      </c>
      <c r="AF997" s="655">
        <v>302385</v>
      </c>
      <c r="AG997" s="655">
        <v>743997</v>
      </c>
      <c r="AH997" s="655">
        <v>0</v>
      </c>
      <c r="AI997" s="655">
        <v>2248849</v>
      </c>
      <c r="AJ997" s="655">
        <v>2311177</v>
      </c>
      <c r="AK997" s="655">
        <v>20468691</v>
      </c>
      <c r="AL997" s="655">
        <v>17785403</v>
      </c>
      <c r="AM997" s="655">
        <v>2683288</v>
      </c>
    </row>
    <row r="998" spans="1:39" x14ac:dyDescent="0.2">
      <c r="A998" s="648">
        <v>2015</v>
      </c>
      <c r="B998" s="648">
        <v>13</v>
      </c>
      <c r="C998" s="657" t="s">
        <v>403</v>
      </c>
      <c r="D998" s="648">
        <v>7092</v>
      </c>
      <c r="E998" s="648" t="s">
        <v>1405</v>
      </c>
      <c r="F998" s="655">
        <v>2825231</v>
      </c>
      <c r="G998" s="655">
        <v>0</v>
      </c>
      <c r="H998" s="655">
        <v>69256</v>
      </c>
      <c r="I998" s="655">
        <v>316199</v>
      </c>
      <c r="J998" s="655">
        <v>266529</v>
      </c>
      <c r="K998" s="655">
        <v>29823</v>
      </c>
      <c r="L998" s="655">
        <v>30902</v>
      </c>
      <c r="M998" s="655">
        <v>0</v>
      </c>
      <c r="N998" s="655">
        <v>138112</v>
      </c>
      <c r="O998" s="655">
        <v>0</v>
      </c>
      <c r="P998" s="655">
        <v>23180</v>
      </c>
      <c r="Q998" s="655">
        <v>25636</v>
      </c>
      <c r="R998" s="655">
        <v>0</v>
      </c>
      <c r="S998" s="655">
        <v>14182</v>
      </c>
      <c r="T998" s="655">
        <v>1505</v>
      </c>
      <c r="U998" s="655">
        <v>0</v>
      </c>
      <c r="V998" s="655">
        <v>0</v>
      </c>
      <c r="W998" s="655">
        <v>58567</v>
      </c>
      <c r="X998" s="655">
        <v>169474</v>
      </c>
      <c r="Y998" s="655">
        <v>0</v>
      </c>
      <c r="Z998" s="655">
        <v>0</v>
      </c>
      <c r="AA998" s="655">
        <v>0</v>
      </c>
      <c r="AB998" s="655">
        <v>0</v>
      </c>
      <c r="AC998" s="655">
        <v>-1102</v>
      </c>
      <c r="AD998" s="655">
        <v>25428</v>
      </c>
      <c r="AE998" s="655">
        <v>3942066</v>
      </c>
      <c r="AF998" s="655">
        <v>73209</v>
      </c>
      <c r="AG998" s="655">
        <v>218362</v>
      </c>
      <c r="AH998" s="655">
        <v>0</v>
      </c>
      <c r="AI998" s="655">
        <v>523328</v>
      </c>
      <c r="AJ998" s="655">
        <v>582652</v>
      </c>
      <c r="AK998" s="655">
        <v>5339617</v>
      </c>
      <c r="AL998" s="655">
        <v>5032569</v>
      </c>
      <c r="AM998" s="655">
        <v>307048</v>
      </c>
    </row>
    <row r="999" spans="1:39" x14ac:dyDescent="0.2">
      <c r="A999" s="648">
        <v>2015</v>
      </c>
      <c r="B999" s="648">
        <v>12</v>
      </c>
      <c r="C999" s="657" t="s">
        <v>404</v>
      </c>
      <c r="D999" s="648">
        <v>7098</v>
      </c>
      <c r="E999" s="648" t="s">
        <v>1406</v>
      </c>
      <c r="F999" s="655">
        <v>3599973</v>
      </c>
      <c r="G999" s="655">
        <v>41967</v>
      </c>
      <c r="H999" s="655">
        <v>42448</v>
      </c>
      <c r="I999" s="655">
        <v>461599</v>
      </c>
      <c r="J999" s="655">
        <v>312688</v>
      </c>
      <c r="K999" s="655">
        <v>33909</v>
      </c>
      <c r="L999" s="655">
        <v>35315</v>
      </c>
      <c r="M999" s="655">
        <v>0</v>
      </c>
      <c r="N999" s="655">
        <v>182764</v>
      </c>
      <c r="O999" s="655">
        <v>379</v>
      </c>
      <c r="P999" s="655">
        <v>29641</v>
      </c>
      <c r="Q999" s="655">
        <v>33286</v>
      </c>
      <c r="R999" s="655">
        <v>0</v>
      </c>
      <c r="S999" s="655">
        <v>18373</v>
      </c>
      <c r="T999" s="655">
        <v>2199</v>
      </c>
      <c r="U999" s="655">
        <v>56087</v>
      </c>
      <c r="V999" s="655">
        <v>0</v>
      </c>
      <c r="W999" s="655">
        <v>67331</v>
      </c>
      <c r="X999" s="655">
        <v>0</v>
      </c>
      <c r="Y999" s="655">
        <v>0</v>
      </c>
      <c r="Z999" s="655">
        <v>0</v>
      </c>
      <c r="AA999" s="655">
        <v>0</v>
      </c>
      <c r="AB999" s="655">
        <v>0</v>
      </c>
      <c r="AC999" s="655">
        <v>0</v>
      </c>
      <c r="AD999" s="655">
        <v>27534</v>
      </c>
      <c r="AE999" s="655">
        <v>4890425</v>
      </c>
      <c r="AF999" s="655">
        <v>66843</v>
      </c>
      <c r="AG999" s="655">
        <v>267246</v>
      </c>
      <c r="AH999" s="655">
        <v>0</v>
      </c>
      <c r="AI999" s="655">
        <v>841230</v>
      </c>
      <c r="AJ999" s="655">
        <v>794337</v>
      </c>
      <c r="AK999" s="655">
        <v>6860081</v>
      </c>
      <c r="AL999" s="655">
        <v>6123280</v>
      </c>
      <c r="AM999" s="655">
        <v>736801</v>
      </c>
    </row>
    <row r="1000" spans="1:39" x14ac:dyDescent="0.2">
      <c r="A1000" s="648">
        <v>2015</v>
      </c>
      <c r="B1000" s="648">
        <v>11</v>
      </c>
      <c r="C1000" s="657" t="s">
        <v>405</v>
      </c>
      <c r="D1000" s="648">
        <v>7110</v>
      </c>
      <c r="E1000" s="648" t="s">
        <v>1407</v>
      </c>
      <c r="F1000" s="655">
        <v>5891633</v>
      </c>
      <c r="G1000" s="655">
        <v>0</v>
      </c>
      <c r="H1000" s="655">
        <v>38438</v>
      </c>
      <c r="I1000" s="655">
        <v>636048</v>
      </c>
      <c r="J1000" s="655">
        <v>497012</v>
      </c>
      <c r="K1000" s="655">
        <v>51782</v>
      </c>
      <c r="L1000" s="655">
        <v>54592</v>
      </c>
      <c r="M1000" s="655">
        <v>0</v>
      </c>
      <c r="N1000" s="655">
        <v>274753</v>
      </c>
      <c r="O1000" s="655">
        <v>0</v>
      </c>
      <c r="P1000" s="655">
        <v>50921</v>
      </c>
      <c r="Q1000" s="655">
        <v>55889</v>
      </c>
      <c r="R1000" s="655">
        <v>0</v>
      </c>
      <c r="S1000" s="655">
        <v>22440</v>
      </c>
      <c r="T1000" s="655">
        <v>2861</v>
      </c>
      <c r="U1000" s="655">
        <v>0</v>
      </c>
      <c r="V1000" s="655">
        <v>0</v>
      </c>
      <c r="W1000" s="655">
        <v>144058</v>
      </c>
      <c r="X1000" s="655">
        <v>156074</v>
      </c>
      <c r="Y1000" s="655">
        <v>0</v>
      </c>
      <c r="Z1000" s="655">
        <v>0</v>
      </c>
      <c r="AA1000" s="655">
        <v>0</v>
      </c>
      <c r="AB1000" s="655">
        <v>0</v>
      </c>
      <c r="AC1000" s="655">
        <v>-373</v>
      </c>
      <c r="AD1000" s="655">
        <v>30067</v>
      </c>
      <c r="AE1000" s="655">
        <v>7846061</v>
      </c>
      <c r="AF1000" s="655">
        <v>194163</v>
      </c>
      <c r="AG1000" s="655">
        <v>418895</v>
      </c>
      <c r="AH1000" s="655">
        <v>0</v>
      </c>
      <c r="AI1000" s="655">
        <v>1823418</v>
      </c>
      <c r="AJ1000" s="655">
        <v>2083389</v>
      </c>
      <c r="AK1000" s="655">
        <v>12365926</v>
      </c>
      <c r="AL1000" s="655">
        <v>10923685</v>
      </c>
      <c r="AM1000" s="655">
        <v>1442241</v>
      </c>
    </row>
    <row r="1001" spans="1:39" x14ac:dyDescent="0.2">
      <c r="A1001" s="648">
        <v>2016</v>
      </c>
      <c r="B1001" s="648">
        <v>7</v>
      </c>
      <c r="C1001" s="657" t="s">
        <v>77</v>
      </c>
      <c r="D1001" s="648">
        <v>9</v>
      </c>
      <c r="E1001" s="648" t="s">
        <v>998</v>
      </c>
      <c r="F1001" s="655">
        <v>4087666</v>
      </c>
      <c r="G1001" s="655">
        <v>0</v>
      </c>
      <c r="H1001" s="655">
        <v>122007</v>
      </c>
      <c r="I1001" s="655">
        <v>501600</v>
      </c>
      <c r="J1001" s="655">
        <v>363650</v>
      </c>
      <c r="K1001" s="655">
        <v>39150</v>
      </c>
      <c r="L1001" s="655">
        <v>33893</v>
      </c>
      <c r="M1001" s="655">
        <v>0</v>
      </c>
      <c r="N1001" s="655">
        <v>200686</v>
      </c>
      <c r="O1001" s="655">
        <v>7897</v>
      </c>
      <c r="P1001" s="655">
        <v>33786</v>
      </c>
      <c r="Q1001" s="655">
        <v>37742</v>
      </c>
      <c r="R1001" s="655">
        <v>0</v>
      </c>
      <c r="S1001" s="655">
        <v>25557</v>
      </c>
      <c r="T1001" s="655">
        <v>2933</v>
      </c>
      <c r="U1001" s="655">
        <v>107594</v>
      </c>
      <c r="V1001" s="655">
        <v>0</v>
      </c>
      <c r="W1001" s="655">
        <v>108602</v>
      </c>
      <c r="X1001" s="655">
        <v>225564.75</v>
      </c>
      <c r="Y1001" s="655">
        <v>0</v>
      </c>
      <c r="Z1001" s="655">
        <v>0</v>
      </c>
      <c r="AA1001" s="655">
        <v>0</v>
      </c>
      <c r="AB1001" s="655">
        <v>0</v>
      </c>
      <c r="AC1001" s="655">
        <v>0</v>
      </c>
      <c r="AD1001" s="655">
        <v>41289</v>
      </c>
      <c r="AE1001" s="655">
        <v>5857038.75</v>
      </c>
      <c r="AF1001" s="655">
        <v>116028</v>
      </c>
      <c r="AG1001" s="655">
        <v>349332</v>
      </c>
      <c r="AH1001" s="655">
        <v>0</v>
      </c>
      <c r="AI1001" s="805">
        <v>631420</v>
      </c>
      <c r="AJ1001" s="655">
        <v>1436957</v>
      </c>
      <c r="AK1001" s="655">
        <v>8390775.75</v>
      </c>
      <c r="AL1001" s="805">
        <v>6988357</v>
      </c>
      <c r="AM1001" s="655">
        <v>1402418.75</v>
      </c>
    </row>
    <row r="1002" spans="1:39" x14ac:dyDescent="0.2">
      <c r="A1002" s="648">
        <v>2016</v>
      </c>
      <c r="B1002" s="648">
        <v>11</v>
      </c>
      <c r="C1002" s="657" t="s">
        <v>75</v>
      </c>
      <c r="D1002" s="648">
        <v>18</v>
      </c>
      <c r="E1002" s="648" t="s">
        <v>1007</v>
      </c>
      <c r="F1002" s="655">
        <v>2109776</v>
      </c>
      <c r="G1002" s="655">
        <v>1724</v>
      </c>
      <c r="H1002" s="655">
        <v>101486</v>
      </c>
      <c r="I1002" s="655">
        <v>283753</v>
      </c>
      <c r="J1002" s="655">
        <v>199025</v>
      </c>
      <c r="K1002" s="655">
        <v>19730</v>
      </c>
      <c r="L1002" s="655">
        <v>21808</v>
      </c>
      <c r="M1002" s="655">
        <v>0</v>
      </c>
      <c r="N1002" s="655">
        <v>102228</v>
      </c>
      <c r="O1002" s="655">
        <v>4095</v>
      </c>
      <c r="P1002" s="655">
        <v>17203</v>
      </c>
      <c r="Q1002" s="655">
        <v>18884</v>
      </c>
      <c r="R1002" s="655">
        <v>0</v>
      </c>
      <c r="S1002" s="655">
        <v>8377</v>
      </c>
      <c r="T1002" s="655">
        <v>1066</v>
      </c>
      <c r="U1002" s="655">
        <v>70842</v>
      </c>
      <c r="V1002" s="655">
        <v>0</v>
      </c>
      <c r="W1002" s="655">
        <v>44562</v>
      </c>
      <c r="X1002" s="655">
        <v>0</v>
      </c>
      <c r="Y1002" s="655">
        <v>4602.32</v>
      </c>
      <c r="Z1002" s="655">
        <v>0</v>
      </c>
      <c r="AA1002" s="655">
        <v>0</v>
      </c>
      <c r="AB1002" s="655">
        <v>0</v>
      </c>
      <c r="AC1002" s="655">
        <v>-31830</v>
      </c>
      <c r="AD1002" s="655">
        <v>16927</v>
      </c>
      <c r="AE1002" s="655">
        <v>2951199.68</v>
      </c>
      <c r="AF1002" s="655">
        <v>41899</v>
      </c>
      <c r="AG1002" s="655">
        <v>176521</v>
      </c>
      <c r="AH1002" s="655">
        <v>0</v>
      </c>
      <c r="AI1002" s="805">
        <v>313712</v>
      </c>
      <c r="AJ1002" s="655">
        <v>957961</v>
      </c>
      <c r="AK1002" s="655">
        <v>4441292.68</v>
      </c>
      <c r="AL1002" s="805">
        <v>3480475</v>
      </c>
      <c r="AM1002" s="655">
        <v>960817.6799999997</v>
      </c>
    </row>
    <row r="1003" spans="1:39" x14ac:dyDescent="0.2">
      <c r="A1003" s="648">
        <v>2016</v>
      </c>
      <c r="B1003" s="648">
        <v>11</v>
      </c>
      <c r="C1003" s="657" t="s">
        <v>76</v>
      </c>
      <c r="D1003" s="648">
        <v>27</v>
      </c>
      <c r="E1003" s="648" t="s">
        <v>2005</v>
      </c>
      <c r="F1003" s="655">
        <v>9889747</v>
      </c>
      <c r="G1003" s="655">
        <v>0</v>
      </c>
      <c r="H1003" s="655">
        <v>87912</v>
      </c>
      <c r="I1003" s="655">
        <v>976431</v>
      </c>
      <c r="J1003" s="655">
        <v>866844</v>
      </c>
      <c r="K1003" s="655">
        <v>93605</v>
      </c>
      <c r="L1003" s="655">
        <v>97139</v>
      </c>
      <c r="M1003" s="655">
        <v>0</v>
      </c>
      <c r="N1003" s="655">
        <v>462661</v>
      </c>
      <c r="O1003" s="655">
        <v>0</v>
      </c>
      <c r="P1003" s="655">
        <v>81598</v>
      </c>
      <c r="Q1003" s="655">
        <v>89570</v>
      </c>
      <c r="R1003" s="655">
        <v>0</v>
      </c>
      <c r="S1003" s="655">
        <v>37912</v>
      </c>
      <c r="T1003" s="655">
        <v>4823</v>
      </c>
      <c r="U1003" s="655">
        <v>424057</v>
      </c>
      <c r="V1003" s="655">
        <v>0</v>
      </c>
      <c r="W1003" s="655">
        <v>256054</v>
      </c>
      <c r="X1003" s="655">
        <v>649140.5</v>
      </c>
      <c r="Y1003" s="655">
        <v>0</v>
      </c>
      <c r="Z1003" s="655">
        <v>0</v>
      </c>
      <c r="AA1003" s="655">
        <v>0</v>
      </c>
      <c r="AB1003" s="655">
        <v>0</v>
      </c>
      <c r="AC1003" s="655">
        <v>0</v>
      </c>
      <c r="AD1003" s="655">
        <v>62785</v>
      </c>
      <c r="AE1003" s="655">
        <v>13954708.5</v>
      </c>
      <c r="AF1003" s="655">
        <v>0</v>
      </c>
      <c r="AG1003" s="655">
        <v>691195</v>
      </c>
      <c r="AH1003" s="655">
        <v>0</v>
      </c>
      <c r="AI1003" s="805">
        <v>2483546</v>
      </c>
      <c r="AJ1003" s="655">
        <v>8028708</v>
      </c>
      <c r="AK1003" s="655">
        <v>25158157.5</v>
      </c>
      <c r="AL1003" s="805">
        <v>16337944</v>
      </c>
      <c r="AM1003" s="655">
        <v>8820213.5</v>
      </c>
    </row>
    <row r="1004" spans="1:39" x14ac:dyDescent="0.2">
      <c r="A1004" s="648">
        <v>2016</v>
      </c>
      <c r="B1004" s="648">
        <v>12</v>
      </c>
      <c r="C1004" s="657" t="s">
        <v>79</v>
      </c>
      <c r="D1004" s="648">
        <v>63</v>
      </c>
      <c r="E1004" s="648" t="s">
        <v>1008</v>
      </c>
      <c r="F1004" s="655">
        <v>3238755</v>
      </c>
      <c r="G1004" s="655">
        <v>131453</v>
      </c>
      <c r="H1004" s="655">
        <v>163835</v>
      </c>
      <c r="I1004" s="655">
        <v>367081</v>
      </c>
      <c r="J1004" s="655">
        <v>306977</v>
      </c>
      <c r="K1004" s="655">
        <v>35173</v>
      </c>
      <c r="L1004" s="655">
        <v>33701</v>
      </c>
      <c r="M1004" s="655">
        <v>0</v>
      </c>
      <c r="N1004" s="655">
        <v>160922</v>
      </c>
      <c r="O1004" s="655">
        <v>4428</v>
      </c>
      <c r="P1004" s="655">
        <v>27199</v>
      </c>
      <c r="Q1004" s="655">
        <v>30539</v>
      </c>
      <c r="R1004" s="655">
        <v>0</v>
      </c>
      <c r="S1004" s="655">
        <v>16601</v>
      </c>
      <c r="T1004" s="655">
        <v>1986</v>
      </c>
      <c r="U1004" s="655">
        <v>140750</v>
      </c>
      <c r="V1004" s="655">
        <v>3301</v>
      </c>
      <c r="W1004" s="655">
        <v>113698</v>
      </c>
      <c r="X1004" s="655">
        <v>133437.07</v>
      </c>
      <c r="Y1004" s="655">
        <v>0</v>
      </c>
      <c r="Z1004" s="655">
        <v>0</v>
      </c>
      <c r="AA1004" s="655">
        <v>0</v>
      </c>
      <c r="AB1004" s="655">
        <v>0</v>
      </c>
      <c r="AC1004" s="655">
        <v>-6417</v>
      </c>
      <c r="AD1004" s="655">
        <v>26925</v>
      </c>
      <c r="AE1004" s="655">
        <v>4876494.07</v>
      </c>
      <c r="AF1004" s="655">
        <v>51568</v>
      </c>
      <c r="AG1004" s="655">
        <v>260989</v>
      </c>
      <c r="AH1004" s="655">
        <v>0</v>
      </c>
      <c r="AI1004" s="805">
        <v>1033872</v>
      </c>
      <c r="AJ1004" s="655">
        <v>1561764</v>
      </c>
      <c r="AK1004" s="655">
        <v>7784687.0700000003</v>
      </c>
      <c r="AL1004" s="805">
        <v>5998431</v>
      </c>
      <c r="AM1004" s="655">
        <v>1786256.0700000003</v>
      </c>
    </row>
    <row r="1005" spans="1:39" x14ac:dyDescent="0.2">
      <c r="A1005" s="648">
        <v>2016</v>
      </c>
      <c r="B1005" s="648">
        <v>5</v>
      </c>
      <c r="C1005" s="657" t="s">
        <v>80</v>
      </c>
      <c r="D1005" s="648">
        <v>72</v>
      </c>
      <c r="E1005" s="648" t="s">
        <v>1009</v>
      </c>
      <c r="F1005" s="655">
        <v>1324981</v>
      </c>
      <c r="G1005" s="655">
        <v>0</v>
      </c>
      <c r="H1005" s="655">
        <v>154507</v>
      </c>
      <c r="I1005" s="655">
        <v>151035</v>
      </c>
      <c r="J1005" s="655">
        <v>96451</v>
      </c>
      <c r="K1005" s="655">
        <v>8035</v>
      </c>
      <c r="L1005" s="655">
        <v>8309</v>
      </c>
      <c r="M1005" s="655">
        <v>0</v>
      </c>
      <c r="N1005" s="655">
        <v>66331</v>
      </c>
      <c r="O1005" s="655">
        <v>7941</v>
      </c>
      <c r="P1005" s="655">
        <v>10990</v>
      </c>
      <c r="Q1005" s="655">
        <v>12343</v>
      </c>
      <c r="R1005" s="655">
        <v>199</v>
      </c>
      <c r="S1005" s="655">
        <v>7065</v>
      </c>
      <c r="T1005" s="655">
        <v>841</v>
      </c>
      <c r="U1005" s="655">
        <v>0</v>
      </c>
      <c r="V1005" s="655">
        <v>0</v>
      </c>
      <c r="W1005" s="655">
        <v>101856</v>
      </c>
      <c r="X1005" s="655">
        <v>67778.880000000005</v>
      </c>
      <c r="Y1005" s="655">
        <v>0</v>
      </c>
      <c r="Z1005" s="655">
        <v>0</v>
      </c>
      <c r="AA1005" s="655">
        <v>0</v>
      </c>
      <c r="AB1005" s="655">
        <v>0</v>
      </c>
      <c r="AC1005" s="655">
        <v>27583</v>
      </c>
      <c r="AD1005" s="655">
        <v>14109</v>
      </c>
      <c r="AE1005" s="655">
        <v>2032136.88</v>
      </c>
      <c r="AF1005" s="655">
        <v>22561</v>
      </c>
      <c r="AG1005" s="655">
        <v>117526</v>
      </c>
      <c r="AH1005" s="655">
        <v>0</v>
      </c>
      <c r="AI1005" s="805">
        <v>212214</v>
      </c>
      <c r="AJ1005" s="655">
        <v>598673</v>
      </c>
      <c r="AK1005" s="655">
        <v>2983110.88</v>
      </c>
      <c r="AL1005" s="805">
        <v>2311412</v>
      </c>
      <c r="AM1005" s="655">
        <v>671698.87999999989</v>
      </c>
    </row>
    <row r="1006" spans="1:39" x14ac:dyDescent="0.2">
      <c r="A1006" s="648">
        <v>2016</v>
      </c>
      <c r="B1006" s="648">
        <v>15</v>
      </c>
      <c r="C1006" s="657" t="s">
        <v>81</v>
      </c>
      <c r="D1006" s="648">
        <v>81</v>
      </c>
      <c r="E1006" s="648" t="s">
        <v>1010</v>
      </c>
      <c r="F1006" s="655">
        <v>7747447</v>
      </c>
      <c r="G1006" s="655">
        <v>0</v>
      </c>
      <c r="H1006" s="655">
        <v>131028</v>
      </c>
      <c r="I1006" s="655">
        <v>757341</v>
      </c>
      <c r="J1006" s="655">
        <v>650925</v>
      </c>
      <c r="K1006" s="655">
        <v>75443</v>
      </c>
      <c r="L1006" s="655">
        <v>72679</v>
      </c>
      <c r="M1006" s="655">
        <v>0</v>
      </c>
      <c r="N1006" s="655">
        <v>370392</v>
      </c>
      <c r="O1006" s="655">
        <v>0</v>
      </c>
      <c r="P1006" s="655">
        <v>63357</v>
      </c>
      <c r="Q1006" s="655">
        <v>69596</v>
      </c>
      <c r="R1006" s="655">
        <v>988</v>
      </c>
      <c r="S1006" s="655">
        <v>37088</v>
      </c>
      <c r="T1006" s="655">
        <v>4011</v>
      </c>
      <c r="U1006" s="655">
        <v>382565</v>
      </c>
      <c r="V1006" s="655">
        <v>0</v>
      </c>
      <c r="W1006" s="655">
        <v>106220</v>
      </c>
      <c r="X1006" s="655">
        <v>0</v>
      </c>
      <c r="Y1006" s="655">
        <v>0</v>
      </c>
      <c r="Z1006" s="655">
        <v>0</v>
      </c>
      <c r="AA1006" s="655">
        <v>0</v>
      </c>
      <c r="AB1006" s="655">
        <v>0</v>
      </c>
      <c r="AC1006" s="655">
        <v>0</v>
      </c>
      <c r="AD1006" s="655">
        <v>57955</v>
      </c>
      <c r="AE1006" s="655">
        <v>10411125</v>
      </c>
      <c r="AF1006" s="655">
        <v>148258</v>
      </c>
      <c r="AG1006" s="655">
        <v>488787</v>
      </c>
      <c r="AH1006" s="655">
        <v>0</v>
      </c>
      <c r="AI1006" s="805">
        <v>1569388</v>
      </c>
      <c r="AJ1006" s="655">
        <v>457698</v>
      </c>
      <c r="AK1006" s="655">
        <v>13075256</v>
      </c>
      <c r="AL1006" s="805">
        <v>12381501</v>
      </c>
      <c r="AM1006" s="655">
        <v>693755</v>
      </c>
    </row>
    <row r="1007" spans="1:39" x14ac:dyDescent="0.2">
      <c r="A1007" s="648">
        <v>2016</v>
      </c>
      <c r="B1007" s="648">
        <v>10</v>
      </c>
      <c r="C1007" s="657" t="s">
        <v>82</v>
      </c>
      <c r="D1007" s="648">
        <v>99</v>
      </c>
      <c r="E1007" s="648" t="s">
        <v>1011</v>
      </c>
      <c r="F1007" s="655">
        <v>3375770</v>
      </c>
      <c r="G1007" s="655">
        <v>125180</v>
      </c>
      <c r="H1007" s="655">
        <v>85500</v>
      </c>
      <c r="I1007" s="655">
        <v>333387</v>
      </c>
      <c r="J1007" s="655">
        <v>302709</v>
      </c>
      <c r="K1007" s="655">
        <v>34973</v>
      </c>
      <c r="L1007" s="655">
        <v>28684</v>
      </c>
      <c r="M1007" s="655">
        <v>0</v>
      </c>
      <c r="N1007" s="655">
        <v>162504</v>
      </c>
      <c r="O1007" s="655">
        <v>4870</v>
      </c>
      <c r="P1007" s="655">
        <v>29212</v>
      </c>
      <c r="Q1007" s="655">
        <v>32093</v>
      </c>
      <c r="R1007" s="655">
        <v>0</v>
      </c>
      <c r="S1007" s="655">
        <v>15584</v>
      </c>
      <c r="T1007" s="655">
        <v>1812</v>
      </c>
      <c r="U1007" s="655">
        <v>0</v>
      </c>
      <c r="V1007" s="655">
        <v>0</v>
      </c>
      <c r="W1007" s="655">
        <v>107585</v>
      </c>
      <c r="X1007" s="655">
        <v>16699.89</v>
      </c>
      <c r="Y1007" s="655">
        <v>0</v>
      </c>
      <c r="Z1007" s="655">
        <v>0</v>
      </c>
      <c r="AA1007" s="655">
        <v>0</v>
      </c>
      <c r="AB1007" s="655">
        <v>0</v>
      </c>
      <c r="AC1007" s="655">
        <v>0</v>
      </c>
      <c r="AD1007" s="655">
        <v>28260</v>
      </c>
      <c r="AE1007" s="655">
        <v>4628302.8899999997</v>
      </c>
      <c r="AF1007" s="655">
        <v>87021</v>
      </c>
      <c r="AG1007" s="655">
        <v>274264</v>
      </c>
      <c r="AH1007" s="655">
        <v>0</v>
      </c>
      <c r="AI1007" s="805">
        <v>1357364</v>
      </c>
      <c r="AJ1007" s="655">
        <v>1269070</v>
      </c>
      <c r="AK1007" s="655">
        <v>7616021.8899999997</v>
      </c>
      <c r="AL1007" s="805">
        <v>6001396</v>
      </c>
      <c r="AM1007" s="655">
        <v>1614625.8899999997</v>
      </c>
    </row>
    <row r="1008" spans="1:39" x14ac:dyDescent="0.2">
      <c r="A1008" s="648">
        <v>2016</v>
      </c>
      <c r="B1008" s="648">
        <v>7</v>
      </c>
      <c r="C1008" s="657" t="s">
        <v>83</v>
      </c>
      <c r="D1008" s="648">
        <v>108</v>
      </c>
      <c r="E1008" s="648" t="s">
        <v>1012</v>
      </c>
      <c r="F1008" s="655">
        <v>1663068</v>
      </c>
      <c r="G1008" s="655">
        <v>13144</v>
      </c>
      <c r="H1008" s="655">
        <v>137571</v>
      </c>
      <c r="I1008" s="655">
        <v>153802</v>
      </c>
      <c r="J1008" s="655">
        <v>154614</v>
      </c>
      <c r="K1008" s="655">
        <v>14569</v>
      </c>
      <c r="L1008" s="655">
        <v>19180</v>
      </c>
      <c r="M1008" s="655">
        <v>0</v>
      </c>
      <c r="N1008" s="655">
        <v>80806</v>
      </c>
      <c r="O1008" s="655">
        <v>1458</v>
      </c>
      <c r="P1008" s="655">
        <v>13684</v>
      </c>
      <c r="Q1008" s="655">
        <v>15287</v>
      </c>
      <c r="R1008" s="655">
        <v>0</v>
      </c>
      <c r="S1008" s="655">
        <v>10501</v>
      </c>
      <c r="T1008" s="655">
        <v>1205</v>
      </c>
      <c r="U1008" s="655">
        <v>82121</v>
      </c>
      <c r="V1008" s="655">
        <v>0</v>
      </c>
      <c r="W1008" s="655">
        <v>29920</v>
      </c>
      <c r="X1008" s="655">
        <v>53433.37</v>
      </c>
      <c r="Y1008" s="655">
        <v>0</v>
      </c>
      <c r="Z1008" s="655">
        <v>0</v>
      </c>
      <c r="AA1008" s="655">
        <v>0</v>
      </c>
      <c r="AB1008" s="655">
        <v>0</v>
      </c>
      <c r="AC1008" s="655">
        <v>0</v>
      </c>
      <c r="AD1008" s="655">
        <v>14957</v>
      </c>
      <c r="AE1008" s="655">
        <v>2429406.37</v>
      </c>
      <c r="AF1008" s="655">
        <v>58014</v>
      </c>
      <c r="AG1008" s="655">
        <v>139394</v>
      </c>
      <c r="AH1008" s="655">
        <v>0</v>
      </c>
      <c r="AI1008" s="805">
        <v>911040</v>
      </c>
      <c r="AJ1008" s="655">
        <v>1547150</v>
      </c>
      <c r="AK1008" s="655">
        <v>5085004.37</v>
      </c>
      <c r="AL1008" s="805">
        <v>3368541</v>
      </c>
      <c r="AM1008" s="655">
        <v>1716463.37</v>
      </c>
    </row>
    <row r="1009" spans="1:39" x14ac:dyDescent="0.2">
      <c r="A1009" s="648">
        <v>2016</v>
      </c>
      <c r="B1009" s="648">
        <v>5</v>
      </c>
      <c r="C1009" s="657" t="s">
        <v>84</v>
      </c>
      <c r="D1009" s="648">
        <v>126</v>
      </c>
      <c r="E1009" s="648" t="s">
        <v>1013</v>
      </c>
      <c r="F1009" s="655">
        <v>8490730</v>
      </c>
      <c r="G1009" s="655">
        <v>67562</v>
      </c>
      <c r="H1009" s="655">
        <v>919344</v>
      </c>
      <c r="I1009" s="655">
        <v>1322753</v>
      </c>
      <c r="J1009" s="655">
        <v>738676</v>
      </c>
      <c r="K1009" s="655">
        <v>89586</v>
      </c>
      <c r="L1009" s="655">
        <v>77529</v>
      </c>
      <c r="M1009" s="655">
        <v>0</v>
      </c>
      <c r="N1009" s="655">
        <v>444280</v>
      </c>
      <c r="O1009" s="655">
        <v>7362</v>
      </c>
      <c r="P1009" s="655">
        <v>88979</v>
      </c>
      <c r="Q1009" s="655">
        <v>99940</v>
      </c>
      <c r="R1009" s="655">
        <v>1332</v>
      </c>
      <c r="S1009" s="655">
        <v>47318</v>
      </c>
      <c r="T1009" s="655">
        <v>5635</v>
      </c>
      <c r="U1009" s="655">
        <v>167881</v>
      </c>
      <c r="V1009" s="655">
        <v>33210</v>
      </c>
      <c r="W1009" s="655">
        <v>109495</v>
      </c>
      <c r="X1009" s="655">
        <v>609328</v>
      </c>
      <c r="Y1009" s="655">
        <v>0</v>
      </c>
      <c r="Z1009" s="655">
        <v>0</v>
      </c>
      <c r="AA1009" s="655">
        <v>344700</v>
      </c>
      <c r="AB1009" s="655">
        <v>0</v>
      </c>
      <c r="AC1009" s="655">
        <v>0</v>
      </c>
      <c r="AD1009" s="655">
        <v>83780</v>
      </c>
      <c r="AE1009" s="655">
        <v>13581860</v>
      </c>
      <c r="AF1009" s="655">
        <v>354530</v>
      </c>
      <c r="AG1009" s="655">
        <v>726428</v>
      </c>
      <c r="AH1009" s="655">
        <v>0</v>
      </c>
      <c r="AI1009" s="805">
        <v>2362535</v>
      </c>
      <c r="AJ1009" s="655">
        <v>2807712</v>
      </c>
      <c r="AK1009" s="655">
        <v>19833065</v>
      </c>
      <c r="AL1009" s="805">
        <v>16749315</v>
      </c>
      <c r="AM1009" s="655">
        <v>3083750</v>
      </c>
    </row>
    <row r="1010" spans="1:39" x14ac:dyDescent="0.2">
      <c r="A1010" s="648">
        <v>2016</v>
      </c>
      <c r="B1010" s="648">
        <v>1</v>
      </c>
      <c r="C1010" s="657" t="s">
        <v>85</v>
      </c>
      <c r="D1010" s="648">
        <v>135</v>
      </c>
      <c r="E1010" s="648" t="s">
        <v>1014</v>
      </c>
      <c r="F1010" s="655">
        <v>7431475</v>
      </c>
      <c r="G1010" s="655">
        <v>233063</v>
      </c>
      <c r="H1010" s="655">
        <v>241595</v>
      </c>
      <c r="I1010" s="655">
        <v>854385</v>
      </c>
      <c r="J1010" s="655">
        <v>635208</v>
      </c>
      <c r="K1010" s="655">
        <v>66930</v>
      </c>
      <c r="L1010" s="655">
        <v>73592</v>
      </c>
      <c r="M1010" s="655">
        <v>0</v>
      </c>
      <c r="N1010" s="655">
        <v>377700</v>
      </c>
      <c r="O1010" s="655">
        <v>14654</v>
      </c>
      <c r="P1010" s="655">
        <v>66687</v>
      </c>
      <c r="Q1010" s="655">
        <v>74423</v>
      </c>
      <c r="R1010" s="655">
        <v>0</v>
      </c>
      <c r="S1010" s="655">
        <v>38008</v>
      </c>
      <c r="T1010" s="655">
        <v>4061</v>
      </c>
      <c r="U1010" s="655">
        <v>93900</v>
      </c>
      <c r="V1010" s="655">
        <v>0</v>
      </c>
      <c r="W1010" s="655">
        <v>25464</v>
      </c>
      <c r="X1010" s="655">
        <v>0</v>
      </c>
      <c r="Y1010" s="655">
        <v>0</v>
      </c>
      <c r="Z1010" s="655">
        <v>0</v>
      </c>
      <c r="AA1010" s="655">
        <v>0</v>
      </c>
      <c r="AB1010" s="655">
        <v>0</v>
      </c>
      <c r="AC1010" s="655">
        <v>0</v>
      </c>
      <c r="AD1010" s="655">
        <v>73531</v>
      </c>
      <c r="AE1010" s="655">
        <v>10157614</v>
      </c>
      <c r="AF1010" s="655">
        <v>215941</v>
      </c>
      <c r="AG1010" s="655">
        <v>0</v>
      </c>
      <c r="AH1010" s="655">
        <v>0</v>
      </c>
      <c r="AI1010" s="805">
        <v>1997191</v>
      </c>
      <c r="AJ1010" s="655">
        <v>5966680</v>
      </c>
      <c r="AK1010" s="655">
        <v>18337426</v>
      </c>
      <c r="AL1010" s="805">
        <v>12197641</v>
      </c>
      <c r="AM1010" s="655">
        <v>6139785</v>
      </c>
    </row>
    <row r="1011" spans="1:39" x14ac:dyDescent="0.2">
      <c r="A1011" s="648">
        <v>2016</v>
      </c>
      <c r="B1011" s="648">
        <v>7</v>
      </c>
      <c r="C1011" s="657" t="s">
        <v>86</v>
      </c>
      <c r="D1011" s="648">
        <v>153</v>
      </c>
      <c r="E1011" s="648" t="s">
        <v>1482</v>
      </c>
      <c r="F1011" s="655">
        <v>4188306</v>
      </c>
      <c r="G1011" s="655">
        <v>0</v>
      </c>
      <c r="H1011" s="655">
        <v>79605</v>
      </c>
      <c r="I1011" s="655">
        <v>548707</v>
      </c>
      <c r="J1011" s="655">
        <v>408400</v>
      </c>
      <c r="K1011" s="655">
        <v>45685</v>
      </c>
      <c r="L1011" s="655">
        <v>37960</v>
      </c>
      <c r="M1011" s="655">
        <v>0</v>
      </c>
      <c r="N1011" s="655">
        <v>207876</v>
      </c>
      <c r="O1011" s="655">
        <v>0</v>
      </c>
      <c r="P1011" s="655">
        <v>33999</v>
      </c>
      <c r="Q1011" s="655">
        <v>37979</v>
      </c>
      <c r="R1011" s="655">
        <v>0</v>
      </c>
      <c r="S1011" s="655">
        <v>26473</v>
      </c>
      <c r="T1011" s="655">
        <v>3038</v>
      </c>
      <c r="U1011" s="655">
        <v>0</v>
      </c>
      <c r="V1011" s="655">
        <v>0</v>
      </c>
      <c r="W1011" s="655">
        <v>70026</v>
      </c>
      <c r="X1011" s="655">
        <v>71330.89</v>
      </c>
      <c r="Y1011" s="655">
        <v>0</v>
      </c>
      <c r="Z1011" s="655">
        <v>0</v>
      </c>
      <c r="AA1011" s="655">
        <v>0</v>
      </c>
      <c r="AB1011" s="655">
        <v>0</v>
      </c>
      <c r="AC1011" s="655">
        <v>0</v>
      </c>
      <c r="AD1011" s="655">
        <v>32769</v>
      </c>
      <c r="AE1011" s="655">
        <v>5726615.8899999997</v>
      </c>
      <c r="AF1011" s="655">
        <v>135366</v>
      </c>
      <c r="AG1011" s="655">
        <v>331630</v>
      </c>
      <c r="AH1011" s="655">
        <v>0</v>
      </c>
      <c r="AI1011" s="805">
        <v>923641</v>
      </c>
      <c r="AJ1011" s="655">
        <v>281949</v>
      </c>
      <c r="AK1011" s="655">
        <v>7399201.8899999997</v>
      </c>
      <c r="AL1011" s="805">
        <v>6729002</v>
      </c>
      <c r="AM1011" s="655">
        <v>670199.88999999966</v>
      </c>
    </row>
    <row r="1012" spans="1:39" x14ac:dyDescent="0.2">
      <c r="A1012" s="648">
        <v>2016</v>
      </c>
      <c r="B1012" s="648">
        <v>5</v>
      </c>
      <c r="C1012" s="657" t="s">
        <v>87</v>
      </c>
      <c r="D1012" s="648">
        <v>171</v>
      </c>
      <c r="E1012" s="648" t="s">
        <v>1015</v>
      </c>
      <c r="F1012" s="655">
        <v>3281014</v>
      </c>
      <c r="G1012" s="655">
        <v>0</v>
      </c>
      <c r="H1012" s="655">
        <v>208999</v>
      </c>
      <c r="I1012" s="655">
        <v>251523</v>
      </c>
      <c r="J1012" s="655">
        <v>316700</v>
      </c>
      <c r="K1012" s="655">
        <v>35523</v>
      </c>
      <c r="L1012" s="655">
        <v>40471</v>
      </c>
      <c r="M1012" s="655">
        <v>0</v>
      </c>
      <c r="N1012" s="655">
        <v>160745</v>
      </c>
      <c r="O1012" s="655">
        <v>264</v>
      </c>
      <c r="P1012" s="655">
        <v>27501</v>
      </c>
      <c r="Q1012" s="655">
        <v>30888</v>
      </c>
      <c r="R1012" s="655">
        <v>481</v>
      </c>
      <c r="S1012" s="655">
        <v>17155</v>
      </c>
      <c r="T1012" s="655">
        <v>2044</v>
      </c>
      <c r="U1012" s="655">
        <v>161304</v>
      </c>
      <c r="V1012" s="655">
        <v>0</v>
      </c>
      <c r="W1012" s="655">
        <v>161923</v>
      </c>
      <c r="X1012" s="655">
        <v>217672.61</v>
      </c>
      <c r="Y1012" s="655">
        <v>0</v>
      </c>
      <c r="Z1012" s="655">
        <v>0</v>
      </c>
      <c r="AA1012" s="655">
        <v>0</v>
      </c>
      <c r="AB1012" s="655">
        <v>0</v>
      </c>
      <c r="AC1012" s="655">
        <v>0</v>
      </c>
      <c r="AD1012" s="655">
        <v>28179</v>
      </c>
      <c r="AE1012" s="655">
        <v>4886028.6100000003</v>
      </c>
      <c r="AF1012" s="655">
        <v>177265</v>
      </c>
      <c r="AG1012" s="655">
        <v>268419</v>
      </c>
      <c r="AH1012" s="655">
        <v>0</v>
      </c>
      <c r="AI1012" s="805">
        <v>1235946</v>
      </c>
      <c r="AJ1012" s="655">
        <v>1708083</v>
      </c>
      <c r="AK1012" s="655">
        <v>8275741.6100000003</v>
      </c>
      <c r="AL1012" s="805">
        <v>6139055</v>
      </c>
      <c r="AM1012" s="655">
        <v>2136686.6100000003</v>
      </c>
    </row>
    <row r="1013" spans="1:39" x14ac:dyDescent="0.2">
      <c r="A1013" s="648">
        <v>2016</v>
      </c>
      <c r="B1013" s="648">
        <v>11</v>
      </c>
      <c r="C1013" s="657" t="s">
        <v>88</v>
      </c>
      <c r="D1013" s="648">
        <v>225</v>
      </c>
      <c r="E1013" s="648" t="s">
        <v>1016</v>
      </c>
      <c r="F1013" s="655">
        <v>27264270</v>
      </c>
      <c r="G1013" s="655">
        <v>425941</v>
      </c>
      <c r="H1013" s="655">
        <v>429834</v>
      </c>
      <c r="I1013" s="655">
        <v>2322306</v>
      </c>
      <c r="J1013" s="655">
        <v>2329430</v>
      </c>
      <c r="K1013" s="655">
        <v>287113</v>
      </c>
      <c r="L1013" s="655">
        <v>257344</v>
      </c>
      <c r="M1013" s="655">
        <v>0</v>
      </c>
      <c r="N1013" s="655">
        <v>1246249</v>
      </c>
      <c r="O1013" s="655">
        <v>5634</v>
      </c>
      <c r="P1013" s="655">
        <v>225750</v>
      </c>
      <c r="Q1013" s="655">
        <v>247805</v>
      </c>
      <c r="R1013" s="655">
        <v>0</v>
      </c>
      <c r="S1013" s="655">
        <v>102243</v>
      </c>
      <c r="T1013" s="655">
        <v>13034</v>
      </c>
      <c r="U1013" s="655">
        <v>1346205</v>
      </c>
      <c r="V1013" s="655">
        <v>1425530</v>
      </c>
      <c r="W1013" s="655">
        <v>198135</v>
      </c>
      <c r="X1013" s="655">
        <v>1815563.46</v>
      </c>
      <c r="Y1013" s="655">
        <v>0</v>
      </c>
      <c r="Z1013" s="655">
        <v>0</v>
      </c>
      <c r="AA1013" s="655">
        <v>0</v>
      </c>
      <c r="AB1013" s="655">
        <v>0</v>
      </c>
      <c r="AC1013" s="655">
        <v>-12912</v>
      </c>
      <c r="AD1013" s="655">
        <v>203105</v>
      </c>
      <c r="AE1013" s="655">
        <v>39726369.460000001</v>
      </c>
      <c r="AF1013" s="655">
        <v>799304</v>
      </c>
      <c r="AG1013" s="655">
        <v>2379420</v>
      </c>
      <c r="AH1013" s="655">
        <v>0</v>
      </c>
      <c r="AI1013" s="805">
        <v>9249870</v>
      </c>
      <c r="AJ1013" s="655">
        <v>2501394</v>
      </c>
      <c r="AK1013" s="655">
        <v>54656357.460000001</v>
      </c>
      <c r="AL1013" s="805">
        <v>50091566</v>
      </c>
      <c r="AM1013" s="655">
        <v>4564791.4600000009</v>
      </c>
    </row>
    <row r="1014" spans="1:39" x14ac:dyDescent="0.2">
      <c r="A1014" s="648">
        <v>2016</v>
      </c>
      <c r="B1014" s="648">
        <v>10</v>
      </c>
      <c r="C1014" s="657" t="s">
        <v>89</v>
      </c>
      <c r="D1014" s="648">
        <v>234</v>
      </c>
      <c r="E1014" s="648" t="s">
        <v>1017</v>
      </c>
      <c r="F1014" s="655">
        <v>7969525</v>
      </c>
      <c r="G1014" s="655">
        <v>69672</v>
      </c>
      <c r="H1014" s="655">
        <v>133616</v>
      </c>
      <c r="I1014" s="655">
        <v>784608</v>
      </c>
      <c r="J1014" s="655">
        <v>719637</v>
      </c>
      <c r="K1014" s="655">
        <v>85750</v>
      </c>
      <c r="L1014" s="655">
        <v>74812</v>
      </c>
      <c r="M1014" s="655">
        <v>0</v>
      </c>
      <c r="N1014" s="655">
        <v>382524</v>
      </c>
      <c r="O1014" s="655">
        <v>4915</v>
      </c>
      <c r="P1014" s="655">
        <v>68760</v>
      </c>
      <c r="Q1014" s="655">
        <v>75541</v>
      </c>
      <c r="R1014" s="655">
        <v>0</v>
      </c>
      <c r="S1014" s="655">
        <v>36074</v>
      </c>
      <c r="T1014" s="655">
        <v>4195</v>
      </c>
      <c r="U1014" s="655">
        <v>201669</v>
      </c>
      <c r="V1014" s="655">
        <v>0</v>
      </c>
      <c r="W1014" s="655">
        <v>169782</v>
      </c>
      <c r="X1014" s="655">
        <v>300342.06</v>
      </c>
      <c r="Y1014" s="655">
        <v>0</v>
      </c>
      <c r="Z1014" s="655">
        <v>0</v>
      </c>
      <c r="AA1014" s="655">
        <v>0</v>
      </c>
      <c r="AB1014" s="655">
        <v>0</v>
      </c>
      <c r="AC1014" s="655">
        <v>19149</v>
      </c>
      <c r="AD1014" s="655">
        <v>60223</v>
      </c>
      <c r="AE1014" s="655">
        <v>11040348.060000001</v>
      </c>
      <c r="AF1014" s="655">
        <v>209495</v>
      </c>
      <c r="AG1014" s="655">
        <v>575285</v>
      </c>
      <c r="AH1014" s="655">
        <v>0</v>
      </c>
      <c r="AI1014" s="805">
        <v>1874034</v>
      </c>
      <c r="AJ1014" s="655">
        <v>6180664</v>
      </c>
      <c r="AK1014" s="655">
        <v>19879826.060000002</v>
      </c>
      <c r="AL1014" s="805">
        <v>13729069</v>
      </c>
      <c r="AM1014" s="655">
        <v>6150757.0600000024</v>
      </c>
    </row>
    <row r="1015" spans="1:39" x14ac:dyDescent="0.2">
      <c r="A1015" s="648">
        <v>2016</v>
      </c>
      <c r="B1015" s="648">
        <v>9</v>
      </c>
      <c r="C1015" s="657" t="s">
        <v>90</v>
      </c>
      <c r="D1015" s="648">
        <v>243</v>
      </c>
      <c r="E1015" s="648" t="s">
        <v>1018</v>
      </c>
      <c r="F1015" s="655">
        <v>1668769</v>
      </c>
      <c r="G1015" s="655">
        <v>99904</v>
      </c>
      <c r="H1015" s="655">
        <v>163400</v>
      </c>
      <c r="I1015" s="655">
        <v>258096</v>
      </c>
      <c r="J1015" s="655">
        <v>161479</v>
      </c>
      <c r="K1015" s="655">
        <v>17762</v>
      </c>
      <c r="L1015" s="655">
        <v>20406</v>
      </c>
      <c r="M1015" s="655">
        <v>0</v>
      </c>
      <c r="N1015" s="655">
        <v>84145</v>
      </c>
      <c r="O1015" s="655">
        <v>9186</v>
      </c>
      <c r="P1015" s="655">
        <v>14556</v>
      </c>
      <c r="Q1015" s="655">
        <v>15880</v>
      </c>
      <c r="R1015" s="655">
        <v>0</v>
      </c>
      <c r="S1015" s="655">
        <v>8059</v>
      </c>
      <c r="T1015" s="655">
        <v>946</v>
      </c>
      <c r="U1015" s="655">
        <v>2572</v>
      </c>
      <c r="V1015" s="655">
        <v>0</v>
      </c>
      <c r="W1015" s="655">
        <v>38196</v>
      </c>
      <c r="X1015" s="655">
        <v>91123.71</v>
      </c>
      <c r="Y1015" s="655">
        <v>0</v>
      </c>
      <c r="Z1015" s="655">
        <v>0</v>
      </c>
      <c r="AA1015" s="655">
        <v>0</v>
      </c>
      <c r="AB1015" s="655">
        <v>0</v>
      </c>
      <c r="AC1015" s="655">
        <v>-6431</v>
      </c>
      <c r="AD1015" s="655">
        <v>16393</v>
      </c>
      <c r="AE1015" s="655">
        <v>2631655.71</v>
      </c>
      <c r="AF1015" s="655">
        <v>29007</v>
      </c>
      <c r="AG1015" s="655">
        <v>140857</v>
      </c>
      <c r="AH1015" s="655">
        <v>0</v>
      </c>
      <c r="AI1015" s="805">
        <v>545796</v>
      </c>
      <c r="AJ1015" s="655">
        <v>1109017</v>
      </c>
      <c r="AK1015" s="655">
        <v>4456332.71</v>
      </c>
      <c r="AL1015" s="805">
        <v>3123498</v>
      </c>
      <c r="AM1015" s="655">
        <v>1332834.71</v>
      </c>
    </row>
    <row r="1016" spans="1:39" x14ac:dyDescent="0.2">
      <c r="A1016" s="648">
        <v>2016</v>
      </c>
      <c r="B1016" s="648">
        <v>11</v>
      </c>
      <c r="C1016" s="657" t="s">
        <v>91</v>
      </c>
      <c r="D1016" s="648">
        <v>261</v>
      </c>
      <c r="E1016" s="648" t="s">
        <v>1019</v>
      </c>
      <c r="F1016" s="655">
        <v>66692894</v>
      </c>
      <c r="G1016" s="655">
        <v>0</v>
      </c>
      <c r="H1016" s="655">
        <v>978954</v>
      </c>
      <c r="I1016" s="655">
        <v>4922875</v>
      </c>
      <c r="J1016" s="655">
        <v>5215931</v>
      </c>
      <c r="K1016" s="655">
        <v>573708</v>
      </c>
      <c r="L1016" s="655">
        <v>600402</v>
      </c>
      <c r="M1016" s="655">
        <v>0</v>
      </c>
      <c r="N1016" s="655">
        <v>3058724</v>
      </c>
      <c r="O1016" s="655">
        <v>0</v>
      </c>
      <c r="P1016" s="655">
        <v>562348</v>
      </c>
      <c r="Q1016" s="655">
        <v>617290</v>
      </c>
      <c r="R1016" s="655">
        <v>0</v>
      </c>
      <c r="S1016" s="655">
        <v>250644</v>
      </c>
      <c r="T1016" s="655">
        <v>31886</v>
      </c>
      <c r="U1016" s="655">
        <v>1877158</v>
      </c>
      <c r="V1016" s="655">
        <v>154296</v>
      </c>
      <c r="W1016" s="655">
        <v>2870661</v>
      </c>
      <c r="X1016" s="655">
        <v>3218765.76</v>
      </c>
      <c r="Y1016" s="655">
        <v>0</v>
      </c>
      <c r="Z1016" s="655">
        <v>0</v>
      </c>
      <c r="AA1016" s="655">
        <v>0</v>
      </c>
      <c r="AB1016" s="655">
        <v>0</v>
      </c>
      <c r="AC1016" s="655">
        <v>-2546</v>
      </c>
      <c r="AD1016" s="655">
        <v>253394</v>
      </c>
      <c r="AE1016" s="655">
        <v>91370596.760000005</v>
      </c>
      <c r="AF1016" s="655">
        <v>976569</v>
      </c>
      <c r="AG1016" s="655">
        <v>4661166</v>
      </c>
      <c r="AH1016" s="655">
        <v>0</v>
      </c>
      <c r="AI1016" s="805">
        <v>10373157</v>
      </c>
      <c r="AJ1016" s="655">
        <v>26107419</v>
      </c>
      <c r="AK1016" s="655">
        <v>133488907.76000001</v>
      </c>
      <c r="AL1016" s="805">
        <v>105210631</v>
      </c>
      <c r="AM1016" s="655">
        <v>28278276.760000005</v>
      </c>
    </row>
    <row r="1017" spans="1:39" x14ac:dyDescent="0.2">
      <c r="A1017" s="648">
        <v>2016</v>
      </c>
      <c r="B1017" s="648">
        <v>7</v>
      </c>
      <c r="C1017" s="657" t="s">
        <v>92</v>
      </c>
      <c r="D1017" s="648">
        <v>279</v>
      </c>
      <c r="E1017" s="648" t="s">
        <v>1455</v>
      </c>
      <c r="F1017" s="655">
        <v>5305058</v>
      </c>
      <c r="G1017" s="655">
        <v>0</v>
      </c>
      <c r="H1017" s="655">
        <v>112006</v>
      </c>
      <c r="I1017" s="655">
        <v>654591</v>
      </c>
      <c r="J1017" s="655">
        <v>478986</v>
      </c>
      <c r="K1017" s="655">
        <v>53388</v>
      </c>
      <c r="L1017" s="655">
        <v>62927</v>
      </c>
      <c r="M1017" s="655">
        <v>0</v>
      </c>
      <c r="N1017" s="655">
        <v>265059</v>
      </c>
      <c r="O1017" s="655">
        <v>0</v>
      </c>
      <c r="P1017" s="655">
        <v>44554</v>
      </c>
      <c r="Q1017" s="655">
        <v>49770</v>
      </c>
      <c r="R1017" s="655">
        <v>0</v>
      </c>
      <c r="S1017" s="655">
        <v>33755</v>
      </c>
      <c r="T1017" s="655">
        <v>3874</v>
      </c>
      <c r="U1017" s="655">
        <v>163841</v>
      </c>
      <c r="V1017" s="655">
        <v>0</v>
      </c>
      <c r="W1017" s="655">
        <v>123763</v>
      </c>
      <c r="X1017" s="655">
        <v>0</v>
      </c>
      <c r="Y1017" s="655">
        <v>0</v>
      </c>
      <c r="Z1017" s="655">
        <v>0</v>
      </c>
      <c r="AA1017" s="655">
        <v>0</v>
      </c>
      <c r="AB1017" s="655">
        <v>0</v>
      </c>
      <c r="AC1017" s="655">
        <v>0</v>
      </c>
      <c r="AD1017" s="655">
        <v>39100</v>
      </c>
      <c r="AE1017" s="655">
        <v>7312472</v>
      </c>
      <c r="AF1017" s="655">
        <v>125697</v>
      </c>
      <c r="AG1017" s="655">
        <v>396978</v>
      </c>
      <c r="AH1017" s="655">
        <v>0</v>
      </c>
      <c r="AI1017" s="805">
        <v>820858</v>
      </c>
      <c r="AJ1017" s="655">
        <v>911543</v>
      </c>
      <c r="AK1017" s="655">
        <v>9567548</v>
      </c>
      <c r="AL1017" s="805">
        <v>8804572</v>
      </c>
      <c r="AM1017" s="655">
        <v>762976</v>
      </c>
    </row>
    <row r="1018" spans="1:39" x14ac:dyDescent="0.2">
      <c r="A1018" s="648">
        <v>2016</v>
      </c>
      <c r="B1018" s="648">
        <v>5</v>
      </c>
      <c r="C1018" s="657" t="s">
        <v>93</v>
      </c>
      <c r="D1018" s="648">
        <v>333</v>
      </c>
      <c r="E1018" s="648" t="s">
        <v>1635</v>
      </c>
      <c r="F1018" s="655">
        <v>2743236</v>
      </c>
      <c r="G1018" s="655">
        <v>84421</v>
      </c>
      <c r="H1018" s="655">
        <v>405491</v>
      </c>
      <c r="I1018" s="655">
        <v>310487</v>
      </c>
      <c r="J1018" s="655">
        <v>281123</v>
      </c>
      <c r="K1018" s="655">
        <v>31616</v>
      </c>
      <c r="L1018" s="655">
        <v>34047</v>
      </c>
      <c r="M1018" s="655">
        <v>0</v>
      </c>
      <c r="N1018" s="655">
        <v>137464</v>
      </c>
      <c r="O1018" s="655">
        <v>32771</v>
      </c>
      <c r="P1018" s="655">
        <v>23094</v>
      </c>
      <c r="Q1018" s="655">
        <v>25939</v>
      </c>
      <c r="R1018" s="655">
        <v>411</v>
      </c>
      <c r="S1018" s="655">
        <v>14797</v>
      </c>
      <c r="T1018" s="655">
        <v>1763</v>
      </c>
      <c r="U1018" s="655">
        <v>121169</v>
      </c>
      <c r="V1018" s="655">
        <v>0</v>
      </c>
      <c r="W1018" s="655">
        <v>179682</v>
      </c>
      <c r="X1018" s="655">
        <v>274867.83</v>
      </c>
      <c r="Y1018" s="655">
        <v>0</v>
      </c>
      <c r="Z1018" s="655">
        <v>0</v>
      </c>
      <c r="AA1018" s="655">
        <v>0</v>
      </c>
      <c r="AB1018" s="655">
        <v>0</v>
      </c>
      <c r="AC1018" s="655">
        <v>77232</v>
      </c>
      <c r="AD1018" s="655">
        <v>31389</v>
      </c>
      <c r="AE1018" s="655">
        <v>4748221.83</v>
      </c>
      <c r="AF1018" s="655">
        <v>51568</v>
      </c>
      <c r="AG1018" s="655">
        <v>253698</v>
      </c>
      <c r="AH1018" s="655">
        <v>0</v>
      </c>
      <c r="AI1018" s="805">
        <v>1198565</v>
      </c>
      <c r="AJ1018" s="655">
        <v>954051</v>
      </c>
      <c r="AK1018" s="655">
        <v>7206103.8300000001</v>
      </c>
      <c r="AL1018" s="805">
        <v>5691297</v>
      </c>
      <c r="AM1018" s="655">
        <v>1514806.83</v>
      </c>
    </row>
    <row r="1019" spans="1:39" x14ac:dyDescent="0.2">
      <c r="A1019" s="648">
        <v>2016</v>
      </c>
      <c r="B1019" s="648">
        <v>12</v>
      </c>
      <c r="C1019" s="657" t="s">
        <v>94</v>
      </c>
      <c r="D1019" s="648">
        <v>355</v>
      </c>
      <c r="E1019" s="648" t="s">
        <v>1020</v>
      </c>
      <c r="F1019" s="655">
        <v>1883521</v>
      </c>
      <c r="G1019" s="655">
        <v>0</v>
      </c>
      <c r="H1019" s="655">
        <v>118632</v>
      </c>
      <c r="I1019" s="655">
        <v>252232</v>
      </c>
      <c r="J1019" s="655">
        <v>170662</v>
      </c>
      <c r="K1019" s="655">
        <v>16632</v>
      </c>
      <c r="L1019" s="655">
        <v>16965</v>
      </c>
      <c r="M1019" s="655">
        <v>0</v>
      </c>
      <c r="N1019" s="655">
        <v>96069</v>
      </c>
      <c r="O1019" s="655">
        <v>9258</v>
      </c>
      <c r="P1019" s="655">
        <v>18716</v>
      </c>
      <c r="Q1019" s="655">
        <v>21014</v>
      </c>
      <c r="R1019" s="655">
        <v>0</v>
      </c>
      <c r="S1019" s="655">
        <v>9648</v>
      </c>
      <c r="T1019" s="655">
        <v>1153</v>
      </c>
      <c r="U1019" s="655">
        <v>67928</v>
      </c>
      <c r="V1019" s="655">
        <v>265</v>
      </c>
      <c r="W1019" s="655">
        <v>59437</v>
      </c>
      <c r="X1019" s="655">
        <v>113257.32</v>
      </c>
      <c r="Y1019" s="655">
        <v>0</v>
      </c>
      <c r="Z1019" s="655">
        <v>0</v>
      </c>
      <c r="AA1019" s="655">
        <v>0</v>
      </c>
      <c r="AB1019" s="655">
        <v>0</v>
      </c>
      <c r="AC1019" s="655">
        <v>-5156</v>
      </c>
      <c r="AD1019" s="655">
        <v>20681</v>
      </c>
      <c r="AE1019" s="655">
        <v>2829552.32</v>
      </c>
      <c r="AF1019" s="655">
        <v>51568</v>
      </c>
      <c r="AG1019" s="655">
        <v>170176</v>
      </c>
      <c r="AH1019" s="655">
        <v>0</v>
      </c>
      <c r="AI1019" s="805">
        <v>201427</v>
      </c>
      <c r="AJ1019" s="655">
        <v>823920</v>
      </c>
      <c r="AK1019" s="655">
        <v>4076643.32</v>
      </c>
      <c r="AL1019" s="805">
        <v>3268122</v>
      </c>
      <c r="AM1019" s="655">
        <v>808521.31999999983</v>
      </c>
    </row>
    <row r="1020" spans="1:39" x14ac:dyDescent="0.2">
      <c r="A1020" s="648">
        <v>2016</v>
      </c>
      <c r="B1020" s="648">
        <v>13</v>
      </c>
      <c r="C1020" s="657" t="s">
        <v>95</v>
      </c>
      <c r="D1020" s="648">
        <v>387</v>
      </c>
      <c r="E1020" s="648" t="s">
        <v>1021</v>
      </c>
      <c r="F1020" s="655">
        <v>9386685</v>
      </c>
      <c r="G1020" s="655">
        <v>0</v>
      </c>
      <c r="H1020" s="655">
        <v>177659</v>
      </c>
      <c r="I1020" s="655">
        <v>1219953</v>
      </c>
      <c r="J1020" s="655">
        <v>831355</v>
      </c>
      <c r="K1020" s="655">
        <v>97592</v>
      </c>
      <c r="L1020" s="655">
        <v>109453</v>
      </c>
      <c r="M1020" s="655">
        <v>0</v>
      </c>
      <c r="N1020" s="655">
        <v>465985</v>
      </c>
      <c r="O1020" s="655">
        <v>0</v>
      </c>
      <c r="P1020" s="655">
        <v>76737</v>
      </c>
      <c r="Q1020" s="655">
        <v>84870</v>
      </c>
      <c r="R1020" s="655">
        <v>0</v>
      </c>
      <c r="S1020" s="655">
        <v>47853</v>
      </c>
      <c r="T1020" s="655">
        <v>5081</v>
      </c>
      <c r="U1020" s="655">
        <v>367365</v>
      </c>
      <c r="V1020" s="655">
        <v>31533</v>
      </c>
      <c r="W1020" s="655">
        <v>92691</v>
      </c>
      <c r="X1020" s="655">
        <v>685005.99</v>
      </c>
      <c r="Y1020" s="655">
        <v>0</v>
      </c>
      <c r="Z1020" s="655">
        <v>0</v>
      </c>
      <c r="AA1020" s="655">
        <v>0</v>
      </c>
      <c r="AB1020" s="655">
        <v>0</v>
      </c>
      <c r="AC1020" s="655">
        <v>6370</v>
      </c>
      <c r="AD1020" s="655">
        <v>68797</v>
      </c>
      <c r="AE1020" s="655">
        <v>13617390.99</v>
      </c>
      <c r="AF1020" s="655">
        <v>309408</v>
      </c>
      <c r="AG1020" s="655">
        <v>694240</v>
      </c>
      <c r="AH1020" s="655">
        <v>0</v>
      </c>
      <c r="AI1020" s="805">
        <v>2530510</v>
      </c>
      <c r="AJ1020" s="655">
        <v>2119945</v>
      </c>
      <c r="AK1020" s="655">
        <v>19271493.990000002</v>
      </c>
      <c r="AL1020" s="805">
        <v>16795701</v>
      </c>
      <c r="AM1020" s="655">
        <v>2475792.9900000021</v>
      </c>
    </row>
    <row r="1021" spans="1:39" x14ac:dyDescent="0.2">
      <c r="A1021" s="648">
        <v>2016</v>
      </c>
      <c r="B1021" s="648">
        <v>11</v>
      </c>
      <c r="C1021" s="657" t="s">
        <v>96</v>
      </c>
      <c r="D1021" s="648">
        <v>414</v>
      </c>
      <c r="E1021" s="648" t="s">
        <v>1022</v>
      </c>
      <c r="F1021" s="655">
        <v>3487613</v>
      </c>
      <c r="G1021" s="655">
        <v>0</v>
      </c>
      <c r="H1021" s="655">
        <v>70026</v>
      </c>
      <c r="I1021" s="655">
        <v>398286</v>
      </c>
      <c r="J1021" s="655">
        <v>311111</v>
      </c>
      <c r="K1021" s="655">
        <v>35491</v>
      </c>
      <c r="L1021" s="655">
        <v>31509</v>
      </c>
      <c r="M1021" s="655">
        <v>0</v>
      </c>
      <c r="N1021" s="655">
        <v>163958</v>
      </c>
      <c r="O1021" s="655">
        <v>3469</v>
      </c>
      <c r="P1021" s="655">
        <v>28304</v>
      </c>
      <c r="Q1021" s="655">
        <v>31070</v>
      </c>
      <c r="R1021" s="655">
        <v>0</v>
      </c>
      <c r="S1021" s="655">
        <v>13435</v>
      </c>
      <c r="T1021" s="655">
        <v>1709</v>
      </c>
      <c r="U1021" s="655">
        <v>86716</v>
      </c>
      <c r="V1021" s="655">
        <v>0</v>
      </c>
      <c r="W1021" s="655">
        <v>19098</v>
      </c>
      <c r="X1021" s="655">
        <v>0</v>
      </c>
      <c r="Y1021" s="655">
        <v>38097.72</v>
      </c>
      <c r="Z1021" s="655">
        <v>0</v>
      </c>
      <c r="AA1021" s="655">
        <v>0</v>
      </c>
      <c r="AB1021" s="655">
        <v>0</v>
      </c>
      <c r="AC1021" s="655">
        <v>0</v>
      </c>
      <c r="AD1021" s="655">
        <v>31621</v>
      </c>
      <c r="AE1021" s="655">
        <v>4612076.28</v>
      </c>
      <c r="AF1021" s="655">
        <v>93467</v>
      </c>
      <c r="AG1021" s="655">
        <v>284694</v>
      </c>
      <c r="AH1021" s="655">
        <v>0</v>
      </c>
      <c r="AI1021" s="805">
        <v>847315</v>
      </c>
      <c r="AJ1021" s="655">
        <v>603824</v>
      </c>
      <c r="AK1021" s="655">
        <v>6441376.2800000003</v>
      </c>
      <c r="AL1021" s="805">
        <v>5933121</v>
      </c>
      <c r="AM1021" s="655">
        <v>508255.28000000026</v>
      </c>
    </row>
    <row r="1022" spans="1:39" x14ac:dyDescent="0.2">
      <c r="A1022" s="648">
        <v>2016</v>
      </c>
      <c r="B1022" s="648">
        <v>12</v>
      </c>
      <c r="C1022" s="657" t="s">
        <v>97</v>
      </c>
      <c r="D1022" s="648">
        <v>423</v>
      </c>
      <c r="E1022" s="648" t="s">
        <v>1023</v>
      </c>
      <c r="F1022" s="655">
        <v>1593731</v>
      </c>
      <c r="G1022" s="655">
        <v>0</v>
      </c>
      <c r="H1022" s="655">
        <v>213060</v>
      </c>
      <c r="I1022" s="655">
        <v>120295</v>
      </c>
      <c r="J1022" s="655">
        <v>145758</v>
      </c>
      <c r="K1022" s="655">
        <v>17366</v>
      </c>
      <c r="L1022" s="655">
        <v>15651</v>
      </c>
      <c r="M1022" s="655">
        <v>0</v>
      </c>
      <c r="N1022" s="655">
        <v>76306</v>
      </c>
      <c r="O1022" s="655">
        <v>8823</v>
      </c>
      <c r="P1022" s="655">
        <v>12990</v>
      </c>
      <c r="Q1022" s="655">
        <v>14585</v>
      </c>
      <c r="R1022" s="655">
        <v>0</v>
      </c>
      <c r="S1022" s="655">
        <v>7664</v>
      </c>
      <c r="T1022" s="655">
        <v>916</v>
      </c>
      <c r="U1022" s="655">
        <v>77468</v>
      </c>
      <c r="V1022" s="655">
        <v>32666</v>
      </c>
      <c r="W1022" s="655">
        <v>57294</v>
      </c>
      <c r="X1022" s="655">
        <v>49689.96</v>
      </c>
      <c r="Y1022" s="655">
        <v>0</v>
      </c>
      <c r="Z1022" s="655">
        <v>0</v>
      </c>
      <c r="AA1022" s="655">
        <v>0</v>
      </c>
      <c r="AB1022" s="655">
        <v>0</v>
      </c>
      <c r="AC1022" s="655">
        <v>0</v>
      </c>
      <c r="AD1022" s="655">
        <v>16506</v>
      </c>
      <c r="AE1022" s="655">
        <v>2427756.96</v>
      </c>
      <c r="AF1022" s="655">
        <v>35453</v>
      </c>
      <c r="AG1022" s="655">
        <v>140822</v>
      </c>
      <c r="AH1022" s="655">
        <v>0</v>
      </c>
      <c r="AI1022" s="805">
        <v>743452</v>
      </c>
      <c r="AJ1022" s="655">
        <v>1205984</v>
      </c>
      <c r="AK1022" s="655">
        <v>4553467.96</v>
      </c>
      <c r="AL1022" s="805">
        <v>3186757</v>
      </c>
      <c r="AM1022" s="655">
        <v>1366710.96</v>
      </c>
    </row>
    <row r="1023" spans="1:39" x14ac:dyDescent="0.2">
      <c r="A1023" s="648">
        <v>2016</v>
      </c>
      <c r="B1023" s="648">
        <v>13</v>
      </c>
      <c r="C1023" s="657" t="s">
        <v>78</v>
      </c>
      <c r="D1023" s="648">
        <v>441</v>
      </c>
      <c r="E1023" s="648" t="s">
        <v>1785</v>
      </c>
      <c r="F1023" s="655">
        <v>5000255</v>
      </c>
      <c r="G1023" s="655">
        <v>24423</v>
      </c>
      <c r="H1023" s="655">
        <v>329718</v>
      </c>
      <c r="I1023" s="655">
        <v>430153</v>
      </c>
      <c r="J1023" s="655">
        <v>401581</v>
      </c>
      <c r="K1023" s="655">
        <v>39997</v>
      </c>
      <c r="L1023" s="655">
        <v>44634</v>
      </c>
      <c r="M1023" s="655">
        <v>0</v>
      </c>
      <c r="N1023" s="655">
        <v>237062</v>
      </c>
      <c r="O1023" s="655">
        <v>14448</v>
      </c>
      <c r="P1023" s="655">
        <v>40768</v>
      </c>
      <c r="Q1023" s="655">
        <v>45089</v>
      </c>
      <c r="R1023" s="655">
        <v>0</v>
      </c>
      <c r="S1023" s="655">
        <v>24482</v>
      </c>
      <c r="T1023" s="655">
        <v>2599</v>
      </c>
      <c r="U1023" s="655">
        <v>125850</v>
      </c>
      <c r="V1023" s="655">
        <v>0</v>
      </c>
      <c r="W1023" s="655">
        <v>127310</v>
      </c>
      <c r="X1023" s="655">
        <v>297442.78000000003</v>
      </c>
      <c r="Y1023" s="655">
        <v>0</v>
      </c>
      <c r="Z1023" s="655">
        <v>0</v>
      </c>
      <c r="AA1023" s="655">
        <v>0</v>
      </c>
      <c r="AB1023" s="655">
        <v>0</v>
      </c>
      <c r="AC1023" s="655">
        <v>32115</v>
      </c>
      <c r="AD1023" s="655">
        <v>42239</v>
      </c>
      <c r="AE1023" s="655">
        <v>7175687.7800000003</v>
      </c>
      <c r="AF1023" s="655">
        <v>151481</v>
      </c>
      <c r="AG1023" s="655">
        <v>429101</v>
      </c>
      <c r="AH1023" s="655">
        <v>0</v>
      </c>
      <c r="AI1023" s="805">
        <v>1275212</v>
      </c>
      <c r="AJ1023" s="655">
        <v>1987608</v>
      </c>
      <c r="AK1023" s="655">
        <v>11019089.780000001</v>
      </c>
      <c r="AL1023" s="805">
        <v>9208783</v>
      </c>
      <c r="AM1023" s="655">
        <v>1810306.7800000012</v>
      </c>
    </row>
    <row r="1024" spans="1:39" x14ac:dyDescent="0.2">
      <c r="A1024" s="648">
        <v>2016</v>
      </c>
      <c r="B1024" s="648">
        <v>11</v>
      </c>
      <c r="C1024" s="657" t="s">
        <v>98</v>
      </c>
      <c r="D1024" s="648">
        <v>472</v>
      </c>
      <c r="E1024" s="648" t="s">
        <v>1024</v>
      </c>
      <c r="F1024" s="655">
        <v>10574663</v>
      </c>
      <c r="G1024" s="655">
        <v>0</v>
      </c>
      <c r="H1024" s="655">
        <v>125246</v>
      </c>
      <c r="I1024" s="655">
        <v>814517</v>
      </c>
      <c r="J1024" s="655">
        <v>838312</v>
      </c>
      <c r="K1024" s="655">
        <v>89145</v>
      </c>
      <c r="L1024" s="655">
        <v>105615</v>
      </c>
      <c r="M1024" s="655">
        <v>0</v>
      </c>
      <c r="N1024" s="655">
        <v>486434</v>
      </c>
      <c r="O1024" s="655">
        <v>0</v>
      </c>
      <c r="P1024" s="655">
        <v>86649</v>
      </c>
      <c r="Q1024" s="655">
        <v>95114</v>
      </c>
      <c r="R1024" s="655">
        <v>0</v>
      </c>
      <c r="S1024" s="655">
        <v>39860</v>
      </c>
      <c r="T1024" s="655">
        <v>5071</v>
      </c>
      <c r="U1024" s="655">
        <v>256654</v>
      </c>
      <c r="V1024" s="655">
        <v>9836</v>
      </c>
      <c r="W1024" s="655">
        <v>81718</v>
      </c>
      <c r="X1024" s="655">
        <v>236892.77</v>
      </c>
      <c r="Y1024" s="655">
        <v>0</v>
      </c>
      <c r="Z1024" s="655">
        <v>0</v>
      </c>
      <c r="AA1024" s="655">
        <v>0</v>
      </c>
      <c r="AB1024" s="655">
        <v>0</v>
      </c>
      <c r="AC1024" s="655">
        <v>-6366</v>
      </c>
      <c r="AD1024" s="655">
        <v>53719</v>
      </c>
      <c r="AE1024" s="655">
        <v>13785641.77</v>
      </c>
      <c r="AF1024" s="655">
        <v>396309</v>
      </c>
      <c r="AG1024" s="655">
        <v>578857</v>
      </c>
      <c r="AH1024" s="655">
        <v>0</v>
      </c>
      <c r="AI1024" s="805">
        <v>1808686</v>
      </c>
      <c r="AJ1024" s="655">
        <v>2193724</v>
      </c>
      <c r="AK1024" s="655">
        <v>18763217.77</v>
      </c>
      <c r="AL1024" s="805">
        <v>16123375</v>
      </c>
      <c r="AM1024" s="655">
        <v>2639842.7699999996</v>
      </c>
    </row>
    <row r="1025" spans="1:39" x14ac:dyDescent="0.2">
      <c r="A1025" s="648">
        <v>2016</v>
      </c>
      <c r="B1025" s="648">
        <v>12</v>
      </c>
      <c r="C1025" s="657" t="s">
        <v>99</v>
      </c>
      <c r="D1025" s="648">
        <v>504</v>
      </c>
      <c r="E1025" s="648" t="s">
        <v>1025</v>
      </c>
      <c r="F1025" s="655">
        <v>4188611</v>
      </c>
      <c r="G1025" s="655">
        <v>0</v>
      </c>
      <c r="H1025" s="655">
        <v>178419</v>
      </c>
      <c r="I1025" s="655">
        <v>582074</v>
      </c>
      <c r="J1025" s="655">
        <v>389107</v>
      </c>
      <c r="K1025" s="655">
        <v>43959</v>
      </c>
      <c r="L1025" s="655">
        <v>44173</v>
      </c>
      <c r="M1025" s="655">
        <v>0</v>
      </c>
      <c r="N1025" s="655">
        <v>214592</v>
      </c>
      <c r="O1025" s="655">
        <v>0</v>
      </c>
      <c r="P1025" s="655">
        <v>34887</v>
      </c>
      <c r="Q1025" s="655">
        <v>39171</v>
      </c>
      <c r="R1025" s="655">
        <v>0</v>
      </c>
      <c r="S1025" s="655">
        <v>21552</v>
      </c>
      <c r="T1025" s="655">
        <v>2576</v>
      </c>
      <c r="U1025" s="655">
        <v>136509</v>
      </c>
      <c r="V1025" s="655">
        <v>54715</v>
      </c>
      <c r="W1025" s="655">
        <v>77810</v>
      </c>
      <c r="X1025" s="655">
        <v>0</v>
      </c>
      <c r="Y1025" s="655">
        <v>0</v>
      </c>
      <c r="Z1025" s="655">
        <v>0</v>
      </c>
      <c r="AA1025" s="655">
        <v>0</v>
      </c>
      <c r="AB1025" s="655">
        <v>0</v>
      </c>
      <c r="AC1025" s="655">
        <v>0</v>
      </c>
      <c r="AD1025" s="655">
        <v>37891</v>
      </c>
      <c r="AE1025" s="655">
        <v>5970264</v>
      </c>
      <c r="AF1025" s="655">
        <v>151481</v>
      </c>
      <c r="AG1025" s="655">
        <v>334712</v>
      </c>
      <c r="AH1025" s="655">
        <v>0</v>
      </c>
      <c r="AI1025" s="805">
        <v>1717389</v>
      </c>
      <c r="AJ1025" s="655">
        <v>1017351</v>
      </c>
      <c r="AK1025" s="655">
        <v>9191197</v>
      </c>
      <c r="AL1025" s="805">
        <v>8125657</v>
      </c>
      <c r="AM1025" s="655">
        <v>1065540</v>
      </c>
    </row>
    <row r="1026" spans="1:39" x14ac:dyDescent="0.2">
      <c r="A1026" s="648">
        <v>2016</v>
      </c>
      <c r="B1026" s="648">
        <v>11</v>
      </c>
      <c r="C1026" s="657" t="s">
        <v>100</v>
      </c>
      <c r="D1026" s="648">
        <v>513</v>
      </c>
      <c r="E1026" s="648" t="s">
        <v>1026</v>
      </c>
      <c r="F1026" s="655">
        <v>2200664</v>
      </c>
      <c r="G1026" s="655">
        <v>110155</v>
      </c>
      <c r="H1026" s="655">
        <v>22026</v>
      </c>
      <c r="I1026" s="655">
        <v>195507</v>
      </c>
      <c r="J1026" s="655">
        <v>211144</v>
      </c>
      <c r="K1026" s="655">
        <v>21003</v>
      </c>
      <c r="L1026" s="655">
        <v>22498</v>
      </c>
      <c r="M1026" s="655">
        <v>0</v>
      </c>
      <c r="N1026" s="655">
        <v>102341</v>
      </c>
      <c r="O1026" s="655">
        <v>8207</v>
      </c>
      <c r="P1026" s="655">
        <v>18203</v>
      </c>
      <c r="Q1026" s="655">
        <v>19982</v>
      </c>
      <c r="R1026" s="655">
        <v>0</v>
      </c>
      <c r="S1026" s="655">
        <v>8682</v>
      </c>
      <c r="T1026" s="655">
        <v>1107</v>
      </c>
      <c r="U1026" s="655">
        <v>72549</v>
      </c>
      <c r="V1026" s="655">
        <v>0</v>
      </c>
      <c r="W1026" s="655">
        <v>29007</v>
      </c>
      <c r="X1026" s="655">
        <v>0</v>
      </c>
      <c r="Y1026" s="655">
        <v>0</v>
      </c>
      <c r="Z1026" s="655">
        <v>0</v>
      </c>
      <c r="AA1026" s="655">
        <v>0</v>
      </c>
      <c r="AB1026" s="655">
        <v>0</v>
      </c>
      <c r="AC1026" s="655">
        <v>0</v>
      </c>
      <c r="AD1026" s="655">
        <v>14723</v>
      </c>
      <c r="AE1026" s="655">
        <v>3028352</v>
      </c>
      <c r="AF1026" s="655">
        <v>109582</v>
      </c>
      <c r="AG1026" s="655">
        <v>158568</v>
      </c>
      <c r="AH1026" s="655">
        <v>0</v>
      </c>
      <c r="AI1026" s="805">
        <v>965167</v>
      </c>
      <c r="AJ1026" s="655">
        <v>1398360</v>
      </c>
      <c r="AK1026" s="655">
        <v>5660029</v>
      </c>
      <c r="AL1026" s="805">
        <v>4234136</v>
      </c>
      <c r="AM1026" s="655">
        <v>1425893</v>
      </c>
    </row>
    <row r="1027" spans="1:39" x14ac:dyDescent="0.2">
      <c r="A1027" s="648">
        <v>2016</v>
      </c>
      <c r="B1027" s="648">
        <v>7</v>
      </c>
      <c r="C1027" s="657" t="s">
        <v>101</v>
      </c>
      <c r="D1027" s="648">
        <v>540</v>
      </c>
      <c r="E1027" s="648" t="s">
        <v>1027</v>
      </c>
      <c r="F1027" s="655">
        <v>3787618</v>
      </c>
      <c r="G1027" s="655">
        <v>0</v>
      </c>
      <c r="H1027" s="655">
        <v>206449</v>
      </c>
      <c r="I1027" s="655">
        <v>431304</v>
      </c>
      <c r="J1027" s="655">
        <v>327550</v>
      </c>
      <c r="K1027" s="655">
        <v>36327</v>
      </c>
      <c r="L1027" s="655">
        <v>34412</v>
      </c>
      <c r="M1027" s="655">
        <v>0</v>
      </c>
      <c r="N1027" s="655">
        <v>185311</v>
      </c>
      <c r="O1027" s="655">
        <v>0</v>
      </c>
      <c r="P1027" s="655">
        <v>30763</v>
      </c>
      <c r="Q1027" s="655">
        <v>34365</v>
      </c>
      <c r="R1027" s="655">
        <v>0</v>
      </c>
      <c r="S1027" s="655">
        <v>23599</v>
      </c>
      <c r="T1027" s="655">
        <v>2708</v>
      </c>
      <c r="U1027" s="655">
        <v>182871</v>
      </c>
      <c r="V1027" s="655">
        <v>0</v>
      </c>
      <c r="W1027" s="655">
        <v>60166</v>
      </c>
      <c r="X1027" s="655">
        <v>156813.78</v>
      </c>
      <c r="Y1027" s="655">
        <v>0</v>
      </c>
      <c r="Z1027" s="655">
        <v>0</v>
      </c>
      <c r="AA1027" s="655">
        <v>0</v>
      </c>
      <c r="AB1027" s="655">
        <v>0</v>
      </c>
      <c r="AC1027" s="655">
        <v>0</v>
      </c>
      <c r="AD1027" s="655">
        <v>29783</v>
      </c>
      <c r="AE1027" s="655">
        <v>5470473.7800000003</v>
      </c>
      <c r="AF1027" s="655">
        <v>116028</v>
      </c>
      <c r="AG1027" s="655">
        <v>307479</v>
      </c>
      <c r="AH1027" s="655">
        <v>0</v>
      </c>
      <c r="AI1027" s="805">
        <v>989487</v>
      </c>
      <c r="AJ1027" s="655">
        <v>2096650</v>
      </c>
      <c r="AK1027" s="655">
        <v>8980117.7800000012</v>
      </c>
      <c r="AL1027" s="805">
        <v>6492580</v>
      </c>
      <c r="AM1027" s="655">
        <v>2487537.7800000012</v>
      </c>
    </row>
    <row r="1028" spans="1:39" x14ac:dyDescent="0.2">
      <c r="A1028" s="648">
        <v>2016</v>
      </c>
      <c r="B1028" s="648">
        <v>13</v>
      </c>
      <c r="C1028" s="657" t="s">
        <v>102</v>
      </c>
      <c r="D1028" s="648">
        <v>549</v>
      </c>
      <c r="E1028" s="648" t="s">
        <v>1028</v>
      </c>
      <c r="F1028" s="655">
        <v>3025108</v>
      </c>
      <c r="G1028" s="655">
        <v>10977</v>
      </c>
      <c r="H1028" s="655">
        <v>128385</v>
      </c>
      <c r="I1028" s="655">
        <v>289296</v>
      </c>
      <c r="J1028" s="655">
        <v>280313</v>
      </c>
      <c r="K1028" s="655">
        <v>29608</v>
      </c>
      <c r="L1028" s="655">
        <v>32560</v>
      </c>
      <c r="M1028" s="655">
        <v>0</v>
      </c>
      <c r="N1028" s="655">
        <v>145703</v>
      </c>
      <c r="O1028" s="655">
        <v>13681</v>
      </c>
      <c r="P1028" s="655">
        <v>24841</v>
      </c>
      <c r="Q1028" s="655">
        <v>27473</v>
      </c>
      <c r="R1028" s="655">
        <v>0</v>
      </c>
      <c r="S1028" s="655">
        <v>14963</v>
      </c>
      <c r="T1028" s="655">
        <v>1589</v>
      </c>
      <c r="U1028" s="655">
        <v>122490</v>
      </c>
      <c r="V1028" s="655">
        <v>0</v>
      </c>
      <c r="W1028" s="655">
        <v>68328</v>
      </c>
      <c r="X1028" s="655">
        <v>94339.61</v>
      </c>
      <c r="Y1028" s="655">
        <v>0</v>
      </c>
      <c r="Z1028" s="655">
        <v>0</v>
      </c>
      <c r="AA1028" s="655">
        <v>0</v>
      </c>
      <c r="AB1028" s="655">
        <v>0</v>
      </c>
      <c r="AC1028" s="655">
        <v>-2355</v>
      </c>
      <c r="AD1028" s="655">
        <v>29839</v>
      </c>
      <c r="AE1028" s="655">
        <v>4277460.6100000003</v>
      </c>
      <c r="AF1028" s="655">
        <v>90244</v>
      </c>
      <c r="AG1028" s="655">
        <v>241157</v>
      </c>
      <c r="AH1028" s="655">
        <v>0</v>
      </c>
      <c r="AI1028" s="805">
        <v>479903</v>
      </c>
      <c r="AJ1028" s="655">
        <v>1416185</v>
      </c>
      <c r="AK1028" s="655">
        <v>6504949.6100000003</v>
      </c>
      <c r="AL1028" s="805">
        <v>5118221</v>
      </c>
      <c r="AM1028" s="655">
        <v>1386728.6100000003</v>
      </c>
    </row>
    <row r="1029" spans="1:39" x14ac:dyDescent="0.2">
      <c r="A1029" s="648">
        <v>2016</v>
      </c>
      <c r="B1029" s="648">
        <v>10</v>
      </c>
      <c r="C1029" s="657" t="s">
        <v>103</v>
      </c>
      <c r="D1029" s="648">
        <v>576</v>
      </c>
      <c r="E1029" s="648" t="s">
        <v>1029</v>
      </c>
      <c r="F1029" s="655">
        <v>3483000</v>
      </c>
      <c r="G1029" s="655">
        <v>104431</v>
      </c>
      <c r="H1029" s="655">
        <v>65261</v>
      </c>
      <c r="I1029" s="655">
        <v>311019</v>
      </c>
      <c r="J1029" s="655">
        <v>300909</v>
      </c>
      <c r="K1029" s="655">
        <v>29636</v>
      </c>
      <c r="L1029" s="655">
        <v>29893</v>
      </c>
      <c r="M1029" s="655">
        <v>0</v>
      </c>
      <c r="N1029" s="655">
        <v>166119</v>
      </c>
      <c r="O1029" s="655">
        <v>8209</v>
      </c>
      <c r="P1029" s="655">
        <v>28580</v>
      </c>
      <c r="Q1029" s="655">
        <v>31398</v>
      </c>
      <c r="R1029" s="655">
        <v>0</v>
      </c>
      <c r="S1029" s="655">
        <v>15835</v>
      </c>
      <c r="T1029" s="655">
        <v>1841</v>
      </c>
      <c r="U1029" s="655">
        <v>0</v>
      </c>
      <c r="V1029" s="655">
        <v>0</v>
      </c>
      <c r="W1029" s="655">
        <v>52094</v>
      </c>
      <c r="X1029" s="655">
        <v>156774.98000000001</v>
      </c>
      <c r="Y1029" s="655">
        <v>0</v>
      </c>
      <c r="Z1029" s="655">
        <v>0</v>
      </c>
      <c r="AA1029" s="655">
        <v>0</v>
      </c>
      <c r="AB1029" s="655">
        <v>0</v>
      </c>
      <c r="AC1029" s="655">
        <v>0</v>
      </c>
      <c r="AD1029" s="655">
        <v>34138</v>
      </c>
      <c r="AE1029" s="655">
        <v>4750861.9800000004</v>
      </c>
      <c r="AF1029" s="655">
        <v>96690</v>
      </c>
      <c r="AG1029" s="655">
        <v>257362</v>
      </c>
      <c r="AH1029" s="655">
        <v>0</v>
      </c>
      <c r="AI1029" s="805">
        <v>511549</v>
      </c>
      <c r="AJ1029" s="655">
        <v>1928021</v>
      </c>
      <c r="AK1029" s="655">
        <v>7544483.9800000004</v>
      </c>
      <c r="AL1029" s="805">
        <v>5736756</v>
      </c>
      <c r="AM1029" s="655">
        <v>1807727.9800000004</v>
      </c>
    </row>
    <row r="1030" spans="1:39" x14ac:dyDescent="0.2">
      <c r="A1030" s="648">
        <v>2016</v>
      </c>
      <c r="B1030" s="648">
        <v>9</v>
      </c>
      <c r="C1030" s="657" t="s">
        <v>104</v>
      </c>
      <c r="D1030" s="648">
        <v>585</v>
      </c>
      <c r="E1030" s="648" t="s">
        <v>1030</v>
      </c>
      <c r="F1030" s="655">
        <v>3708661</v>
      </c>
      <c r="G1030" s="655">
        <v>51986</v>
      </c>
      <c r="H1030" s="655">
        <v>47179</v>
      </c>
      <c r="I1030" s="655">
        <v>355779</v>
      </c>
      <c r="J1030" s="655">
        <v>330545</v>
      </c>
      <c r="K1030" s="655">
        <v>36365</v>
      </c>
      <c r="L1030" s="655">
        <v>33147</v>
      </c>
      <c r="M1030" s="655">
        <v>0</v>
      </c>
      <c r="N1030" s="655">
        <v>177709</v>
      </c>
      <c r="O1030" s="655">
        <v>2414</v>
      </c>
      <c r="P1030" s="655">
        <v>38519</v>
      </c>
      <c r="Q1030" s="655">
        <v>42023</v>
      </c>
      <c r="R1030" s="655">
        <v>0</v>
      </c>
      <c r="S1030" s="655">
        <v>16126</v>
      </c>
      <c r="T1030" s="655">
        <v>1893</v>
      </c>
      <c r="U1030" s="655">
        <v>135532</v>
      </c>
      <c r="V1030" s="655">
        <v>0</v>
      </c>
      <c r="W1030" s="655">
        <v>0</v>
      </c>
      <c r="X1030" s="655">
        <v>62783.35</v>
      </c>
      <c r="Y1030" s="655">
        <v>0</v>
      </c>
      <c r="Z1030" s="655">
        <v>0</v>
      </c>
      <c r="AA1030" s="655">
        <v>0</v>
      </c>
      <c r="AB1030" s="655">
        <v>0</v>
      </c>
      <c r="AC1030" s="655">
        <v>0</v>
      </c>
      <c r="AD1030" s="655">
        <v>33230</v>
      </c>
      <c r="AE1030" s="655">
        <v>5007431.3499999996</v>
      </c>
      <c r="AF1030" s="655">
        <v>141812</v>
      </c>
      <c r="AG1030" s="655">
        <v>304688</v>
      </c>
      <c r="AH1030" s="655">
        <v>0</v>
      </c>
      <c r="AI1030" s="805">
        <v>1052030</v>
      </c>
      <c r="AJ1030" s="655">
        <v>1862835</v>
      </c>
      <c r="AK1030" s="655">
        <v>8368796.3499999996</v>
      </c>
      <c r="AL1030" s="805">
        <v>6519448</v>
      </c>
      <c r="AM1030" s="655">
        <v>1849348.3499999996</v>
      </c>
    </row>
    <row r="1031" spans="1:39" x14ac:dyDescent="0.2">
      <c r="A1031" s="648">
        <v>2016</v>
      </c>
      <c r="B1031" s="648">
        <v>7</v>
      </c>
      <c r="C1031" s="657" t="s">
        <v>105</v>
      </c>
      <c r="D1031" s="648">
        <v>594</v>
      </c>
      <c r="E1031" s="648" t="s">
        <v>1031</v>
      </c>
      <c r="F1031" s="655">
        <v>5116933</v>
      </c>
      <c r="G1031" s="655">
        <v>7670</v>
      </c>
      <c r="H1031" s="655">
        <v>131084</v>
      </c>
      <c r="I1031" s="655">
        <v>601362</v>
      </c>
      <c r="J1031" s="655">
        <v>435300</v>
      </c>
      <c r="K1031" s="655">
        <v>46251</v>
      </c>
      <c r="L1031" s="655">
        <v>54271</v>
      </c>
      <c r="M1031" s="655">
        <v>0</v>
      </c>
      <c r="N1031" s="655">
        <v>254128</v>
      </c>
      <c r="O1031" s="655">
        <v>2315</v>
      </c>
      <c r="P1031" s="655">
        <v>42061</v>
      </c>
      <c r="Q1031" s="655">
        <v>46985</v>
      </c>
      <c r="R1031" s="655">
        <v>0</v>
      </c>
      <c r="S1031" s="655">
        <v>32735</v>
      </c>
      <c r="T1031" s="655">
        <v>3758</v>
      </c>
      <c r="U1031" s="655">
        <v>194802</v>
      </c>
      <c r="V1031" s="655">
        <v>0</v>
      </c>
      <c r="W1031" s="655">
        <v>142930</v>
      </c>
      <c r="X1031" s="655">
        <v>136194.57999999999</v>
      </c>
      <c r="Y1031" s="655">
        <v>0</v>
      </c>
      <c r="Z1031" s="655">
        <v>0</v>
      </c>
      <c r="AA1031" s="655">
        <v>0</v>
      </c>
      <c r="AB1031" s="655">
        <v>0</v>
      </c>
      <c r="AC1031" s="655">
        <v>-19113</v>
      </c>
      <c r="AD1031" s="655">
        <v>39506</v>
      </c>
      <c r="AE1031" s="655">
        <v>7190160.5800000001</v>
      </c>
      <c r="AF1031" s="655">
        <v>128920</v>
      </c>
      <c r="AG1031" s="655">
        <v>395260</v>
      </c>
      <c r="AH1031" s="655">
        <v>0</v>
      </c>
      <c r="AI1031" s="805">
        <v>802520</v>
      </c>
      <c r="AJ1031" s="655">
        <v>1177572</v>
      </c>
      <c r="AK1031" s="655">
        <v>9694432.5800000001</v>
      </c>
      <c r="AL1031" s="805">
        <v>8947958</v>
      </c>
      <c r="AM1031" s="655">
        <v>746474.58000000007</v>
      </c>
    </row>
    <row r="1032" spans="1:39" x14ac:dyDescent="0.2">
      <c r="A1032" s="648">
        <v>2016</v>
      </c>
      <c r="B1032" s="648">
        <v>9</v>
      </c>
      <c r="C1032" s="657" t="s">
        <v>106</v>
      </c>
      <c r="D1032" s="648">
        <v>603</v>
      </c>
      <c r="E1032" s="648" t="s">
        <v>1032</v>
      </c>
      <c r="F1032" s="655">
        <v>1251603</v>
      </c>
      <c r="G1032" s="655">
        <v>23388</v>
      </c>
      <c r="H1032" s="655">
        <v>14246</v>
      </c>
      <c r="I1032" s="655">
        <v>119175</v>
      </c>
      <c r="J1032" s="655">
        <v>99530</v>
      </c>
      <c r="K1032" s="655">
        <v>7014</v>
      </c>
      <c r="L1032" s="655">
        <v>12085</v>
      </c>
      <c r="M1032" s="655">
        <v>0</v>
      </c>
      <c r="N1032" s="655">
        <v>59260</v>
      </c>
      <c r="O1032" s="655">
        <v>1399</v>
      </c>
      <c r="P1032" s="655">
        <v>10090</v>
      </c>
      <c r="Q1032" s="655">
        <v>11007</v>
      </c>
      <c r="R1032" s="655">
        <v>0</v>
      </c>
      <c r="S1032" s="655">
        <v>5381</v>
      </c>
      <c r="T1032" s="655">
        <v>632</v>
      </c>
      <c r="U1032" s="655">
        <v>0</v>
      </c>
      <c r="V1032" s="655">
        <v>0</v>
      </c>
      <c r="W1032" s="655">
        <v>76392</v>
      </c>
      <c r="X1032" s="655">
        <v>0</v>
      </c>
      <c r="Y1032" s="655">
        <v>63851.92</v>
      </c>
      <c r="Z1032" s="655">
        <v>0</v>
      </c>
      <c r="AA1032" s="655">
        <v>0</v>
      </c>
      <c r="AB1032" s="655">
        <v>0</v>
      </c>
      <c r="AC1032" s="655">
        <v>0</v>
      </c>
      <c r="AD1032" s="655">
        <v>11567</v>
      </c>
      <c r="AE1032" s="655">
        <v>1615783.08</v>
      </c>
      <c r="AF1032" s="655">
        <v>16115</v>
      </c>
      <c r="AG1032" s="655">
        <v>108068</v>
      </c>
      <c r="AH1032" s="655">
        <v>0</v>
      </c>
      <c r="AI1032" s="805">
        <v>160136</v>
      </c>
      <c r="AJ1032" s="655">
        <v>65324</v>
      </c>
      <c r="AK1032" s="655">
        <v>1965426.08</v>
      </c>
      <c r="AL1032" s="805">
        <v>1912163</v>
      </c>
      <c r="AM1032" s="655">
        <v>53263.080000000075</v>
      </c>
    </row>
    <row r="1033" spans="1:39" x14ac:dyDescent="0.2">
      <c r="A1033" s="648">
        <v>2016</v>
      </c>
      <c r="B1033" s="648">
        <v>10</v>
      </c>
      <c r="C1033" s="657" t="s">
        <v>107</v>
      </c>
      <c r="D1033" s="648">
        <v>609</v>
      </c>
      <c r="E1033" s="648" t="s">
        <v>1033</v>
      </c>
      <c r="F1033" s="655">
        <v>9609585</v>
      </c>
      <c r="G1033" s="655">
        <v>107399</v>
      </c>
      <c r="H1033" s="655">
        <v>117725</v>
      </c>
      <c r="I1033" s="655">
        <v>1032254</v>
      </c>
      <c r="J1033" s="655">
        <v>808962</v>
      </c>
      <c r="K1033" s="655">
        <v>88818</v>
      </c>
      <c r="L1033" s="655">
        <v>82429</v>
      </c>
      <c r="M1033" s="655">
        <v>461995</v>
      </c>
      <c r="N1033" s="655">
        <v>461582</v>
      </c>
      <c r="O1033" s="655">
        <v>6177</v>
      </c>
      <c r="P1033" s="655">
        <v>86055</v>
      </c>
      <c r="Q1033" s="655">
        <v>94542</v>
      </c>
      <c r="R1033" s="655">
        <v>0</v>
      </c>
      <c r="S1033" s="655">
        <v>43119</v>
      </c>
      <c r="T1033" s="655">
        <v>5014</v>
      </c>
      <c r="U1033" s="655">
        <v>114019</v>
      </c>
      <c r="V1033" s="655">
        <v>0</v>
      </c>
      <c r="W1033" s="655">
        <v>161453</v>
      </c>
      <c r="X1033" s="655">
        <v>220063.62</v>
      </c>
      <c r="Y1033" s="655">
        <v>0</v>
      </c>
      <c r="Z1033" s="655">
        <v>0</v>
      </c>
      <c r="AA1033" s="655">
        <v>0</v>
      </c>
      <c r="AB1033" s="655">
        <v>0</v>
      </c>
      <c r="AC1033" s="655">
        <v>0</v>
      </c>
      <c r="AD1033" s="655">
        <v>79586</v>
      </c>
      <c r="AE1033" s="655">
        <v>13421605.619999999</v>
      </c>
      <c r="AF1033" s="655">
        <v>357753</v>
      </c>
      <c r="AG1033" s="655">
        <v>773180</v>
      </c>
      <c r="AH1033" s="655">
        <v>0</v>
      </c>
      <c r="AI1033" s="805">
        <v>1294229</v>
      </c>
      <c r="AJ1033" s="655">
        <v>2953932</v>
      </c>
      <c r="AK1033" s="655">
        <v>18800699.619999997</v>
      </c>
      <c r="AL1033" s="805">
        <v>15771577</v>
      </c>
      <c r="AM1033" s="655">
        <v>3029122.6199999973</v>
      </c>
    </row>
    <row r="1034" spans="1:39" x14ac:dyDescent="0.2">
      <c r="A1034" s="648">
        <v>2016</v>
      </c>
      <c r="B1034" s="648">
        <v>9</v>
      </c>
      <c r="C1034" s="657" t="s">
        <v>108</v>
      </c>
      <c r="D1034" s="648">
        <v>621</v>
      </c>
      <c r="E1034" s="648" t="s">
        <v>1034</v>
      </c>
      <c r="F1034" s="655">
        <v>25971116</v>
      </c>
      <c r="G1034" s="655">
        <v>117382</v>
      </c>
      <c r="H1034" s="655">
        <v>282583</v>
      </c>
      <c r="I1034" s="655">
        <v>2657487</v>
      </c>
      <c r="J1034" s="655">
        <v>2149986</v>
      </c>
      <c r="K1034" s="655">
        <v>246208</v>
      </c>
      <c r="L1034" s="655">
        <v>246287</v>
      </c>
      <c r="M1034" s="655">
        <v>1245498</v>
      </c>
      <c r="N1034" s="655">
        <v>1248462</v>
      </c>
      <c r="O1034" s="655">
        <v>0</v>
      </c>
      <c r="P1034" s="655">
        <v>219922</v>
      </c>
      <c r="Q1034" s="655">
        <v>239926</v>
      </c>
      <c r="R1034" s="655">
        <v>0</v>
      </c>
      <c r="S1034" s="655">
        <v>112319</v>
      </c>
      <c r="T1034" s="655">
        <v>13173</v>
      </c>
      <c r="U1034" s="655">
        <v>1173376</v>
      </c>
      <c r="V1034" s="655">
        <v>127083</v>
      </c>
      <c r="W1034" s="655">
        <v>484175</v>
      </c>
      <c r="X1034" s="655">
        <v>728998.91</v>
      </c>
      <c r="Y1034" s="655">
        <v>0</v>
      </c>
      <c r="Z1034" s="655">
        <v>0</v>
      </c>
      <c r="AA1034" s="655">
        <v>0</v>
      </c>
      <c r="AB1034" s="655">
        <v>0</v>
      </c>
      <c r="AC1034" s="655">
        <v>-6440</v>
      </c>
      <c r="AD1034" s="655">
        <v>185946</v>
      </c>
      <c r="AE1034" s="655">
        <v>37071595.909999996</v>
      </c>
      <c r="AF1034" s="655">
        <v>905663</v>
      </c>
      <c r="AG1034" s="655">
        <v>2004640</v>
      </c>
      <c r="AH1034" s="655">
        <v>0</v>
      </c>
      <c r="AI1034" s="805">
        <v>8252255</v>
      </c>
      <c r="AJ1034" s="655">
        <v>12622660</v>
      </c>
      <c r="AK1034" s="655">
        <v>60856813.909999996</v>
      </c>
      <c r="AL1034" s="805">
        <v>47427085</v>
      </c>
      <c r="AM1034" s="655">
        <v>13429728.909999996</v>
      </c>
    </row>
    <row r="1035" spans="1:39" x14ac:dyDescent="0.2">
      <c r="A1035" s="648">
        <v>2016</v>
      </c>
      <c r="B1035" s="648">
        <v>15</v>
      </c>
      <c r="C1035" s="657" t="s">
        <v>112</v>
      </c>
      <c r="D1035" s="648">
        <v>657</v>
      </c>
      <c r="E1035" s="648" t="s">
        <v>1495</v>
      </c>
      <c r="F1035" s="655">
        <v>5582236</v>
      </c>
      <c r="G1035" s="655">
        <v>0</v>
      </c>
      <c r="H1035" s="655">
        <v>154923</v>
      </c>
      <c r="I1035" s="655">
        <v>686435</v>
      </c>
      <c r="J1035" s="655">
        <v>493334</v>
      </c>
      <c r="K1035" s="655">
        <v>52029</v>
      </c>
      <c r="L1035" s="655">
        <v>63746</v>
      </c>
      <c r="M1035" s="655">
        <v>0</v>
      </c>
      <c r="N1035" s="655">
        <v>273007</v>
      </c>
      <c r="O1035" s="655">
        <v>0</v>
      </c>
      <c r="P1035" s="655">
        <v>46490</v>
      </c>
      <c r="Q1035" s="655">
        <v>51068</v>
      </c>
      <c r="R1035" s="655">
        <v>730</v>
      </c>
      <c r="S1035" s="655">
        <v>27337</v>
      </c>
      <c r="T1035" s="655">
        <v>2956</v>
      </c>
      <c r="U1035" s="655">
        <v>275648</v>
      </c>
      <c r="V1035" s="655">
        <v>0</v>
      </c>
      <c r="W1035" s="655">
        <v>165307</v>
      </c>
      <c r="X1035" s="655">
        <v>249478.88</v>
      </c>
      <c r="Y1035" s="655">
        <v>0</v>
      </c>
      <c r="Z1035" s="655">
        <v>0</v>
      </c>
      <c r="AA1035" s="655">
        <v>0</v>
      </c>
      <c r="AB1035" s="655">
        <v>0</v>
      </c>
      <c r="AC1035" s="655">
        <v>-1846</v>
      </c>
      <c r="AD1035" s="655">
        <v>44907</v>
      </c>
      <c r="AE1035" s="655">
        <v>8077971.8799999999</v>
      </c>
      <c r="AF1035" s="655">
        <v>199826</v>
      </c>
      <c r="AG1035" s="655">
        <v>473095</v>
      </c>
      <c r="AH1035" s="655">
        <v>0</v>
      </c>
      <c r="AI1035" s="805">
        <v>1643484</v>
      </c>
      <c r="AJ1035" s="655">
        <v>1247883</v>
      </c>
      <c r="AK1035" s="655">
        <v>11642259.879999999</v>
      </c>
      <c r="AL1035" s="805">
        <v>10316908</v>
      </c>
      <c r="AM1035" s="655">
        <v>1325351.879999999</v>
      </c>
    </row>
    <row r="1036" spans="1:39" x14ac:dyDescent="0.2">
      <c r="A1036" s="648">
        <v>2016</v>
      </c>
      <c r="B1036" s="648">
        <v>11</v>
      </c>
      <c r="C1036" s="657" t="s">
        <v>109</v>
      </c>
      <c r="D1036" s="648">
        <v>720</v>
      </c>
      <c r="E1036" s="648" t="s">
        <v>1035</v>
      </c>
      <c r="F1036" s="655">
        <v>10939507</v>
      </c>
      <c r="G1036" s="655">
        <v>0</v>
      </c>
      <c r="H1036" s="655">
        <v>63442</v>
      </c>
      <c r="I1036" s="655">
        <v>1070874</v>
      </c>
      <c r="J1036" s="655">
        <v>894406</v>
      </c>
      <c r="K1036" s="655">
        <v>92186</v>
      </c>
      <c r="L1036" s="655">
        <v>108394</v>
      </c>
      <c r="M1036" s="655">
        <v>0</v>
      </c>
      <c r="N1036" s="655">
        <v>512966</v>
      </c>
      <c r="O1036" s="655">
        <v>0</v>
      </c>
      <c r="P1036" s="655">
        <v>90542</v>
      </c>
      <c r="Q1036" s="655">
        <v>99388</v>
      </c>
      <c r="R1036" s="655">
        <v>0</v>
      </c>
      <c r="S1036" s="655">
        <v>42034</v>
      </c>
      <c r="T1036" s="655">
        <v>5347</v>
      </c>
      <c r="U1036" s="655">
        <v>226305</v>
      </c>
      <c r="V1036" s="655">
        <v>0</v>
      </c>
      <c r="W1036" s="655">
        <v>755213</v>
      </c>
      <c r="X1036" s="655">
        <v>72292.2</v>
      </c>
      <c r="Y1036" s="655">
        <v>0</v>
      </c>
      <c r="Z1036" s="655">
        <v>0</v>
      </c>
      <c r="AA1036" s="655">
        <v>0</v>
      </c>
      <c r="AB1036" s="655">
        <v>0</v>
      </c>
      <c r="AC1036" s="655">
        <v>0</v>
      </c>
      <c r="AD1036" s="655">
        <v>39354</v>
      </c>
      <c r="AE1036" s="655">
        <v>14933542.199999999</v>
      </c>
      <c r="AF1036" s="655">
        <v>228833</v>
      </c>
      <c r="AG1036" s="655">
        <v>604627</v>
      </c>
      <c r="AH1036" s="655">
        <v>0</v>
      </c>
      <c r="AI1036" s="805">
        <v>1870260</v>
      </c>
      <c r="AJ1036" s="655">
        <v>5677784</v>
      </c>
      <c r="AK1036" s="655">
        <v>23315046.199999999</v>
      </c>
      <c r="AL1036" s="805">
        <v>16789890</v>
      </c>
      <c r="AM1036" s="655">
        <v>6525156.1999999993</v>
      </c>
    </row>
    <row r="1037" spans="1:39" x14ac:dyDescent="0.2">
      <c r="A1037" s="648">
        <v>2016</v>
      </c>
      <c r="B1037" s="648">
        <v>11</v>
      </c>
      <c r="C1037" s="657" t="s">
        <v>110</v>
      </c>
      <c r="D1037" s="648">
        <v>729</v>
      </c>
      <c r="E1037" s="648" t="s">
        <v>1036</v>
      </c>
      <c r="F1037" s="655">
        <v>13499858</v>
      </c>
      <c r="G1037" s="655">
        <v>277618</v>
      </c>
      <c r="H1037" s="655">
        <v>166739</v>
      </c>
      <c r="I1037" s="655">
        <v>2062591</v>
      </c>
      <c r="J1037" s="655">
        <v>1195168</v>
      </c>
      <c r="K1037" s="655">
        <v>149739</v>
      </c>
      <c r="L1037" s="655">
        <v>136089</v>
      </c>
      <c r="M1037" s="655">
        <v>0</v>
      </c>
      <c r="N1037" s="655">
        <v>664675</v>
      </c>
      <c r="O1037" s="655">
        <v>10901</v>
      </c>
      <c r="P1037" s="655">
        <v>121740</v>
      </c>
      <c r="Q1037" s="655">
        <v>133634</v>
      </c>
      <c r="R1037" s="655">
        <v>0</v>
      </c>
      <c r="S1037" s="655">
        <v>55175</v>
      </c>
      <c r="T1037" s="655">
        <v>7034</v>
      </c>
      <c r="U1037" s="655">
        <v>645297</v>
      </c>
      <c r="V1037" s="655">
        <v>0</v>
      </c>
      <c r="W1037" s="655">
        <v>430342</v>
      </c>
      <c r="X1037" s="655">
        <v>374691.31</v>
      </c>
      <c r="Y1037" s="655">
        <v>0</v>
      </c>
      <c r="Z1037" s="655">
        <v>0</v>
      </c>
      <c r="AA1037" s="655">
        <v>0</v>
      </c>
      <c r="AB1037" s="655">
        <v>0</v>
      </c>
      <c r="AC1037" s="655">
        <v>0</v>
      </c>
      <c r="AD1037" s="655">
        <v>105619</v>
      </c>
      <c r="AE1037" s="655">
        <v>19825672.309999999</v>
      </c>
      <c r="AF1037" s="655">
        <v>325523</v>
      </c>
      <c r="AG1037" s="655">
        <v>905732</v>
      </c>
      <c r="AH1037" s="655">
        <v>0</v>
      </c>
      <c r="AI1037" s="805">
        <v>2874601</v>
      </c>
      <c r="AJ1037" s="655">
        <v>3986030</v>
      </c>
      <c r="AK1037" s="655">
        <v>27917558.309999999</v>
      </c>
      <c r="AL1037" s="805">
        <v>23701747</v>
      </c>
      <c r="AM1037" s="655">
        <v>4215811.3099999987</v>
      </c>
    </row>
    <row r="1038" spans="1:39" x14ac:dyDescent="0.2">
      <c r="A1038" s="648">
        <v>2016</v>
      </c>
      <c r="B1038" s="648">
        <v>12</v>
      </c>
      <c r="C1038" s="657" t="s">
        <v>111</v>
      </c>
      <c r="D1038" s="648">
        <v>747</v>
      </c>
      <c r="E1038" s="648" t="s">
        <v>1037</v>
      </c>
      <c r="F1038" s="655">
        <v>3984273</v>
      </c>
      <c r="G1038" s="655">
        <v>0</v>
      </c>
      <c r="H1038" s="655">
        <v>100152</v>
      </c>
      <c r="I1038" s="655">
        <v>489445</v>
      </c>
      <c r="J1038" s="655">
        <v>339788</v>
      </c>
      <c r="K1038" s="655">
        <v>37210</v>
      </c>
      <c r="L1038" s="655">
        <v>45579</v>
      </c>
      <c r="M1038" s="655">
        <v>0</v>
      </c>
      <c r="N1038" s="655">
        <v>201234</v>
      </c>
      <c r="O1038" s="655">
        <v>0</v>
      </c>
      <c r="P1038" s="655">
        <v>52384</v>
      </c>
      <c r="Q1038" s="655">
        <v>58816</v>
      </c>
      <c r="R1038" s="655">
        <v>0</v>
      </c>
      <c r="S1038" s="655">
        <v>20210</v>
      </c>
      <c r="T1038" s="655">
        <v>2415</v>
      </c>
      <c r="U1038" s="655">
        <v>125914</v>
      </c>
      <c r="V1038" s="655">
        <v>0</v>
      </c>
      <c r="W1038" s="655">
        <v>43206</v>
      </c>
      <c r="X1038" s="655">
        <v>301677.56</v>
      </c>
      <c r="Y1038" s="655">
        <v>0</v>
      </c>
      <c r="Z1038" s="655">
        <v>0</v>
      </c>
      <c r="AA1038" s="655">
        <v>0</v>
      </c>
      <c r="AB1038" s="655">
        <v>0</v>
      </c>
      <c r="AC1038" s="655">
        <v>0</v>
      </c>
      <c r="AD1038" s="655">
        <v>31059</v>
      </c>
      <c r="AE1038" s="655">
        <v>5771244.5599999996</v>
      </c>
      <c r="AF1038" s="655">
        <v>151481</v>
      </c>
      <c r="AG1038" s="655">
        <v>301769</v>
      </c>
      <c r="AH1038" s="655">
        <v>0</v>
      </c>
      <c r="AI1038" s="805">
        <v>744640</v>
      </c>
      <c r="AJ1038" s="655">
        <v>2179299</v>
      </c>
      <c r="AK1038" s="655">
        <v>9148433.5599999987</v>
      </c>
      <c r="AL1038" s="805">
        <v>6890791</v>
      </c>
      <c r="AM1038" s="655">
        <v>2257642.5599999987</v>
      </c>
    </row>
    <row r="1039" spans="1:39" x14ac:dyDescent="0.2">
      <c r="A1039" s="648">
        <v>2016</v>
      </c>
      <c r="B1039" s="648">
        <v>7</v>
      </c>
      <c r="C1039" s="657" t="s">
        <v>113</v>
      </c>
      <c r="D1039" s="648">
        <v>819</v>
      </c>
      <c r="E1039" s="648" t="s">
        <v>1038</v>
      </c>
      <c r="F1039" s="655">
        <v>3997338</v>
      </c>
      <c r="G1039" s="655">
        <v>0</v>
      </c>
      <c r="H1039" s="655">
        <v>123805</v>
      </c>
      <c r="I1039" s="655">
        <v>336387</v>
      </c>
      <c r="J1039" s="655">
        <v>346718</v>
      </c>
      <c r="K1039" s="655">
        <v>35422</v>
      </c>
      <c r="L1039" s="655">
        <v>39775</v>
      </c>
      <c r="M1039" s="655">
        <v>0</v>
      </c>
      <c r="N1039" s="655">
        <v>192208</v>
      </c>
      <c r="O1039" s="655">
        <v>0</v>
      </c>
      <c r="P1039" s="655">
        <v>33786</v>
      </c>
      <c r="Q1039" s="655">
        <v>37742</v>
      </c>
      <c r="R1039" s="655">
        <v>0</v>
      </c>
      <c r="S1039" s="655">
        <v>24478</v>
      </c>
      <c r="T1039" s="655">
        <v>2809</v>
      </c>
      <c r="U1039" s="655">
        <v>0</v>
      </c>
      <c r="V1039" s="655">
        <v>0</v>
      </c>
      <c r="W1039" s="655">
        <v>77821</v>
      </c>
      <c r="X1039" s="655">
        <v>111043.49</v>
      </c>
      <c r="Y1039" s="655">
        <v>0</v>
      </c>
      <c r="Z1039" s="655">
        <v>0</v>
      </c>
      <c r="AA1039" s="655">
        <v>0</v>
      </c>
      <c r="AB1039" s="655">
        <v>0</v>
      </c>
      <c r="AC1039" s="655">
        <v>0</v>
      </c>
      <c r="AD1039" s="655">
        <v>32056</v>
      </c>
      <c r="AE1039" s="655">
        <v>5327276.49</v>
      </c>
      <c r="AF1039" s="655">
        <v>125697</v>
      </c>
      <c r="AG1039" s="655">
        <v>331819</v>
      </c>
      <c r="AH1039" s="655">
        <v>0</v>
      </c>
      <c r="AI1039" s="805">
        <v>905111</v>
      </c>
      <c r="AJ1039" s="655">
        <v>3151455</v>
      </c>
      <c r="AK1039" s="655">
        <v>9841358.4900000002</v>
      </c>
      <c r="AL1039" s="805">
        <v>6680014</v>
      </c>
      <c r="AM1039" s="655">
        <v>3161344.49</v>
      </c>
    </row>
    <row r="1040" spans="1:39" x14ac:dyDescent="0.2">
      <c r="A1040" s="648">
        <v>2016</v>
      </c>
      <c r="B1040" s="648">
        <v>7</v>
      </c>
      <c r="C1040" s="657" t="s">
        <v>114</v>
      </c>
      <c r="D1040" s="648">
        <v>846</v>
      </c>
      <c r="E1040" s="648" t="s">
        <v>1039</v>
      </c>
      <c r="F1040" s="655">
        <v>3501862</v>
      </c>
      <c r="G1040" s="655">
        <v>0</v>
      </c>
      <c r="H1040" s="655">
        <v>62549</v>
      </c>
      <c r="I1040" s="655">
        <v>423906</v>
      </c>
      <c r="J1040" s="655">
        <v>316956</v>
      </c>
      <c r="K1040" s="655">
        <v>31767</v>
      </c>
      <c r="L1040" s="655">
        <v>33859</v>
      </c>
      <c r="M1040" s="655">
        <v>0</v>
      </c>
      <c r="N1040" s="655">
        <v>174196</v>
      </c>
      <c r="O1040" s="655">
        <v>0</v>
      </c>
      <c r="P1040" s="655">
        <v>28854</v>
      </c>
      <c r="Q1040" s="655">
        <v>32232</v>
      </c>
      <c r="R1040" s="655">
        <v>0</v>
      </c>
      <c r="S1040" s="655">
        <v>22184</v>
      </c>
      <c r="T1040" s="655">
        <v>2546</v>
      </c>
      <c r="U1040" s="655">
        <v>83122</v>
      </c>
      <c r="V1040" s="655">
        <v>0</v>
      </c>
      <c r="W1040" s="655">
        <v>60686</v>
      </c>
      <c r="X1040" s="655">
        <v>26730.85</v>
      </c>
      <c r="Y1040" s="655">
        <v>0</v>
      </c>
      <c r="Z1040" s="655">
        <v>0</v>
      </c>
      <c r="AA1040" s="655">
        <v>0</v>
      </c>
      <c r="AB1040" s="655">
        <v>0</v>
      </c>
      <c r="AC1040" s="655">
        <v>0</v>
      </c>
      <c r="AD1040" s="655">
        <v>29369</v>
      </c>
      <c r="AE1040" s="655">
        <v>4772080.8499999996</v>
      </c>
      <c r="AF1040" s="655">
        <v>119251</v>
      </c>
      <c r="AG1040" s="655">
        <v>279448</v>
      </c>
      <c r="AH1040" s="655">
        <v>0</v>
      </c>
      <c r="AI1040" s="805">
        <v>715595</v>
      </c>
      <c r="AJ1040" s="655">
        <v>2956821</v>
      </c>
      <c r="AK1040" s="655">
        <v>8843195.8499999996</v>
      </c>
      <c r="AL1040" s="805">
        <v>5988160</v>
      </c>
      <c r="AM1040" s="655">
        <v>2855035.8499999996</v>
      </c>
    </row>
    <row r="1041" spans="1:39" x14ac:dyDescent="0.2">
      <c r="A1041" s="648">
        <v>2016</v>
      </c>
      <c r="B1041" s="648">
        <v>7</v>
      </c>
      <c r="C1041" s="657" t="s">
        <v>115</v>
      </c>
      <c r="D1041" s="648">
        <v>873</v>
      </c>
      <c r="E1041" s="648" t="s">
        <v>1040</v>
      </c>
      <c r="F1041" s="655">
        <v>3086750</v>
      </c>
      <c r="G1041" s="655">
        <v>0</v>
      </c>
      <c r="H1041" s="655">
        <v>86244</v>
      </c>
      <c r="I1041" s="655">
        <v>378289</v>
      </c>
      <c r="J1041" s="655">
        <v>279197</v>
      </c>
      <c r="K1041" s="655">
        <v>30373</v>
      </c>
      <c r="L1041" s="655">
        <v>28584</v>
      </c>
      <c r="M1041" s="655">
        <v>0</v>
      </c>
      <c r="N1041" s="655">
        <v>151547</v>
      </c>
      <c r="O1041" s="655">
        <v>5225</v>
      </c>
      <c r="P1041" s="655">
        <v>25141</v>
      </c>
      <c r="Q1041" s="655">
        <v>28085</v>
      </c>
      <c r="R1041" s="655">
        <v>0</v>
      </c>
      <c r="S1041" s="655">
        <v>19300</v>
      </c>
      <c r="T1041" s="655">
        <v>2215</v>
      </c>
      <c r="U1041" s="655">
        <v>120139</v>
      </c>
      <c r="V1041" s="655">
        <v>0</v>
      </c>
      <c r="W1041" s="655">
        <v>65550</v>
      </c>
      <c r="X1041" s="655">
        <v>204989.82</v>
      </c>
      <c r="Y1041" s="655">
        <v>0</v>
      </c>
      <c r="Z1041" s="655">
        <v>0</v>
      </c>
      <c r="AA1041" s="655">
        <v>0</v>
      </c>
      <c r="AB1041" s="655">
        <v>0</v>
      </c>
      <c r="AC1041" s="655">
        <v>0</v>
      </c>
      <c r="AD1041" s="655">
        <v>29571</v>
      </c>
      <c r="AE1041" s="655">
        <v>4482057.82</v>
      </c>
      <c r="AF1041" s="655">
        <v>93467</v>
      </c>
      <c r="AG1041" s="655">
        <v>271078</v>
      </c>
      <c r="AH1041" s="655">
        <v>0</v>
      </c>
      <c r="AI1041" s="805">
        <v>695823</v>
      </c>
      <c r="AJ1041" s="655">
        <v>1252428</v>
      </c>
      <c r="AK1041" s="655">
        <v>6794853.8200000003</v>
      </c>
      <c r="AL1041" s="805">
        <v>5707008</v>
      </c>
      <c r="AM1041" s="655">
        <v>1087845.8200000003</v>
      </c>
    </row>
    <row r="1042" spans="1:39" x14ac:dyDescent="0.2">
      <c r="A1042" s="648">
        <v>2016</v>
      </c>
      <c r="B1042" s="648">
        <v>15</v>
      </c>
      <c r="C1042" s="657" t="s">
        <v>116</v>
      </c>
      <c r="D1042" s="648">
        <v>882</v>
      </c>
      <c r="E1042" s="648" t="s">
        <v>1041</v>
      </c>
      <c r="F1042" s="655">
        <v>29612279</v>
      </c>
      <c r="G1042" s="655">
        <v>198840</v>
      </c>
      <c r="H1042" s="655">
        <v>305521</v>
      </c>
      <c r="I1042" s="655">
        <v>4977988</v>
      </c>
      <c r="J1042" s="655">
        <v>2506662</v>
      </c>
      <c r="K1042" s="655">
        <v>275175</v>
      </c>
      <c r="L1042" s="655">
        <v>345048</v>
      </c>
      <c r="M1042" s="655">
        <v>1436421</v>
      </c>
      <c r="N1042" s="655">
        <v>1506442</v>
      </c>
      <c r="O1042" s="655">
        <v>16024</v>
      </c>
      <c r="P1042" s="655">
        <v>260967</v>
      </c>
      <c r="Q1042" s="655">
        <v>286663</v>
      </c>
      <c r="R1042" s="655">
        <v>4026</v>
      </c>
      <c r="S1042" s="655">
        <v>152389</v>
      </c>
      <c r="T1042" s="655">
        <v>16475</v>
      </c>
      <c r="U1042" s="655">
        <v>924676</v>
      </c>
      <c r="V1042" s="655">
        <v>95791</v>
      </c>
      <c r="W1042" s="655">
        <v>648784</v>
      </c>
      <c r="X1042" s="655">
        <v>0</v>
      </c>
      <c r="Y1042" s="655">
        <v>0</v>
      </c>
      <c r="Z1042" s="655">
        <v>0</v>
      </c>
      <c r="AA1042" s="655">
        <v>0</v>
      </c>
      <c r="AB1042" s="655">
        <v>0</v>
      </c>
      <c r="AC1042" s="655">
        <v>6048</v>
      </c>
      <c r="AD1042" s="655">
        <v>231008</v>
      </c>
      <c r="AE1042" s="655">
        <v>43345211</v>
      </c>
      <c r="AF1042" s="655">
        <v>560802</v>
      </c>
      <c r="AG1042" s="655">
        <v>1799995</v>
      </c>
      <c r="AH1042" s="655">
        <v>0</v>
      </c>
      <c r="AI1042" s="805">
        <v>4688474</v>
      </c>
      <c r="AJ1042" s="655">
        <v>17944763</v>
      </c>
      <c r="AK1042" s="655">
        <v>68339245</v>
      </c>
      <c r="AL1042" s="805">
        <v>49678111</v>
      </c>
      <c r="AM1042" s="655">
        <v>18661134</v>
      </c>
    </row>
    <row r="1043" spans="1:39" x14ac:dyDescent="0.2">
      <c r="A1043" s="648">
        <v>2016</v>
      </c>
      <c r="B1043" s="648">
        <v>13</v>
      </c>
      <c r="C1043" s="657" t="s">
        <v>117</v>
      </c>
      <c r="D1043" s="648">
        <v>914</v>
      </c>
      <c r="E1043" s="648" t="s">
        <v>1478</v>
      </c>
      <c r="F1043" s="655">
        <v>2867334</v>
      </c>
      <c r="G1043" s="655">
        <v>15689</v>
      </c>
      <c r="H1043" s="655">
        <v>157677</v>
      </c>
      <c r="I1043" s="655">
        <v>338442</v>
      </c>
      <c r="J1043" s="655">
        <v>266901</v>
      </c>
      <c r="K1043" s="655">
        <v>26758</v>
      </c>
      <c r="L1043" s="655">
        <v>27296</v>
      </c>
      <c r="M1043" s="655">
        <v>0</v>
      </c>
      <c r="N1043" s="655">
        <v>139843</v>
      </c>
      <c r="O1043" s="655">
        <v>1487</v>
      </c>
      <c r="P1043" s="655">
        <v>23258</v>
      </c>
      <c r="Q1043" s="655">
        <v>25724</v>
      </c>
      <c r="R1043" s="655">
        <v>0</v>
      </c>
      <c r="S1043" s="655">
        <v>14361</v>
      </c>
      <c r="T1043" s="655">
        <v>1525</v>
      </c>
      <c r="U1043" s="655">
        <v>77575</v>
      </c>
      <c r="V1043" s="655">
        <v>0</v>
      </c>
      <c r="W1043" s="655">
        <v>179290</v>
      </c>
      <c r="X1043" s="655">
        <v>232315.59</v>
      </c>
      <c r="Y1043" s="655">
        <v>0</v>
      </c>
      <c r="Z1043" s="655">
        <v>0</v>
      </c>
      <c r="AA1043" s="655">
        <v>0</v>
      </c>
      <c r="AB1043" s="655">
        <v>0</v>
      </c>
      <c r="AC1043" s="655">
        <v>-12832</v>
      </c>
      <c r="AD1043" s="655">
        <v>25872</v>
      </c>
      <c r="AE1043" s="655">
        <v>4356771.59</v>
      </c>
      <c r="AF1043" s="655">
        <v>96690</v>
      </c>
      <c r="AG1043" s="655">
        <v>256185</v>
      </c>
      <c r="AH1043" s="655">
        <v>0</v>
      </c>
      <c r="AI1043" s="805">
        <v>3165087</v>
      </c>
      <c r="AJ1043" s="655">
        <v>849198</v>
      </c>
      <c r="AK1043" s="655">
        <v>8723931.5899999999</v>
      </c>
      <c r="AL1043" s="805">
        <v>7760598</v>
      </c>
      <c r="AM1043" s="655">
        <v>963333.58999999985</v>
      </c>
    </row>
    <row r="1044" spans="1:39" x14ac:dyDescent="0.2">
      <c r="A1044" s="648">
        <v>2016</v>
      </c>
      <c r="B1044" s="648">
        <v>7</v>
      </c>
      <c r="C1044" s="657" t="s">
        <v>118</v>
      </c>
      <c r="D1044" s="648">
        <v>916</v>
      </c>
      <c r="E1044" s="648" t="s">
        <v>1042</v>
      </c>
      <c r="F1044" s="655">
        <v>1667232</v>
      </c>
      <c r="G1044" s="655">
        <v>78167</v>
      </c>
      <c r="H1044" s="655">
        <v>179724</v>
      </c>
      <c r="I1044" s="655">
        <v>391998</v>
      </c>
      <c r="J1044" s="655">
        <v>165134</v>
      </c>
      <c r="K1044" s="655">
        <v>18164</v>
      </c>
      <c r="L1044" s="655">
        <v>18548</v>
      </c>
      <c r="M1044" s="655">
        <v>0</v>
      </c>
      <c r="N1044" s="655">
        <v>89232</v>
      </c>
      <c r="O1044" s="655">
        <v>2876</v>
      </c>
      <c r="P1044" s="655">
        <v>14109</v>
      </c>
      <c r="Q1044" s="655">
        <v>15761</v>
      </c>
      <c r="R1044" s="655">
        <v>0</v>
      </c>
      <c r="S1044" s="655">
        <v>11757</v>
      </c>
      <c r="T1044" s="655">
        <v>1350</v>
      </c>
      <c r="U1044" s="655">
        <v>51125</v>
      </c>
      <c r="V1044" s="655">
        <v>0</v>
      </c>
      <c r="W1044" s="655">
        <v>79128</v>
      </c>
      <c r="X1044" s="655">
        <v>0</v>
      </c>
      <c r="Y1044" s="655">
        <v>0</v>
      </c>
      <c r="Z1044" s="655">
        <v>0</v>
      </c>
      <c r="AA1044" s="655">
        <v>0</v>
      </c>
      <c r="AB1044" s="655">
        <v>0</v>
      </c>
      <c r="AC1044" s="655">
        <v>0</v>
      </c>
      <c r="AD1044" s="655">
        <v>14140</v>
      </c>
      <c r="AE1044" s="655">
        <v>2770165</v>
      </c>
      <c r="AF1044" s="655">
        <v>70906</v>
      </c>
      <c r="AG1044" s="655">
        <v>147853</v>
      </c>
      <c r="AH1044" s="655">
        <v>0</v>
      </c>
      <c r="AI1044" s="805">
        <v>588755</v>
      </c>
      <c r="AJ1044" s="655">
        <v>1166016</v>
      </c>
      <c r="AK1044" s="655">
        <v>4743695</v>
      </c>
      <c r="AL1044" s="805">
        <v>3681569</v>
      </c>
      <c r="AM1044" s="655">
        <v>1062126</v>
      </c>
    </row>
    <row r="1045" spans="1:39" x14ac:dyDescent="0.2">
      <c r="A1045" s="648">
        <v>2016</v>
      </c>
      <c r="B1045" s="648">
        <v>9</v>
      </c>
      <c r="C1045" s="657" t="s">
        <v>119</v>
      </c>
      <c r="D1045" s="648">
        <v>918</v>
      </c>
      <c r="E1045" s="648" t="s">
        <v>1043</v>
      </c>
      <c r="F1045" s="655">
        <v>2979941</v>
      </c>
      <c r="G1045" s="655">
        <v>0</v>
      </c>
      <c r="H1045" s="655">
        <v>63912</v>
      </c>
      <c r="I1045" s="655">
        <v>346391</v>
      </c>
      <c r="J1045" s="655">
        <v>282446</v>
      </c>
      <c r="K1045" s="655">
        <v>30839</v>
      </c>
      <c r="L1045" s="655">
        <v>32360</v>
      </c>
      <c r="M1045" s="655">
        <v>0</v>
      </c>
      <c r="N1045" s="655">
        <v>145392</v>
      </c>
      <c r="O1045" s="655">
        <v>1473</v>
      </c>
      <c r="P1045" s="655">
        <v>24068</v>
      </c>
      <c r="Q1045" s="655">
        <v>26257</v>
      </c>
      <c r="R1045" s="655">
        <v>0</v>
      </c>
      <c r="S1045" s="655">
        <v>13080</v>
      </c>
      <c r="T1045" s="655">
        <v>1534</v>
      </c>
      <c r="U1045" s="655">
        <v>0</v>
      </c>
      <c r="V1045" s="655">
        <v>0</v>
      </c>
      <c r="W1045" s="655">
        <v>136605</v>
      </c>
      <c r="X1045" s="655">
        <v>153102.48000000001</v>
      </c>
      <c r="Y1045" s="655">
        <v>0</v>
      </c>
      <c r="Z1045" s="655">
        <v>0</v>
      </c>
      <c r="AA1045" s="655">
        <v>0</v>
      </c>
      <c r="AB1045" s="655">
        <v>0</v>
      </c>
      <c r="AC1045" s="655">
        <v>0</v>
      </c>
      <c r="AD1045" s="655">
        <v>24342</v>
      </c>
      <c r="AE1045" s="655">
        <v>4213058.4800000004</v>
      </c>
      <c r="AF1045" s="655">
        <v>90244</v>
      </c>
      <c r="AG1045" s="655">
        <v>233300</v>
      </c>
      <c r="AH1045" s="655">
        <v>0</v>
      </c>
      <c r="AI1045" s="805">
        <v>649682</v>
      </c>
      <c r="AJ1045" s="655">
        <v>2926275</v>
      </c>
      <c r="AK1045" s="655">
        <v>8112559.4800000004</v>
      </c>
      <c r="AL1045" s="805">
        <v>4986679</v>
      </c>
      <c r="AM1045" s="655">
        <v>3125880.4800000004</v>
      </c>
    </row>
    <row r="1046" spans="1:39" x14ac:dyDescent="0.2">
      <c r="A1046" s="648">
        <v>2016</v>
      </c>
      <c r="B1046" s="648">
        <v>9</v>
      </c>
      <c r="C1046" s="657" t="s">
        <v>120</v>
      </c>
      <c r="D1046" s="648">
        <v>936</v>
      </c>
      <c r="E1046" s="648" t="s">
        <v>1044</v>
      </c>
      <c r="F1046" s="655">
        <v>5615755</v>
      </c>
      <c r="G1046" s="655">
        <v>113072</v>
      </c>
      <c r="H1046" s="655">
        <v>33513</v>
      </c>
      <c r="I1046" s="655">
        <v>703001</v>
      </c>
      <c r="J1046" s="655">
        <v>499896</v>
      </c>
      <c r="K1046" s="655">
        <v>52168</v>
      </c>
      <c r="L1046" s="655">
        <v>62325</v>
      </c>
      <c r="M1046" s="655">
        <v>0</v>
      </c>
      <c r="N1046" s="655">
        <v>278717</v>
      </c>
      <c r="O1046" s="655">
        <v>2937</v>
      </c>
      <c r="P1046" s="655">
        <v>46612</v>
      </c>
      <c r="Q1046" s="655">
        <v>50852</v>
      </c>
      <c r="R1046" s="655">
        <v>0</v>
      </c>
      <c r="S1046" s="655">
        <v>25293</v>
      </c>
      <c r="T1046" s="655">
        <v>2969</v>
      </c>
      <c r="U1046" s="655">
        <v>138651</v>
      </c>
      <c r="V1046" s="655">
        <v>9302</v>
      </c>
      <c r="W1046" s="655">
        <v>121434</v>
      </c>
      <c r="X1046" s="655">
        <v>309363.77</v>
      </c>
      <c r="Y1046" s="655">
        <v>0</v>
      </c>
      <c r="Z1046" s="655">
        <v>0</v>
      </c>
      <c r="AA1046" s="655">
        <v>0</v>
      </c>
      <c r="AB1046" s="655">
        <v>0</v>
      </c>
      <c r="AC1046" s="655">
        <v>-6366</v>
      </c>
      <c r="AD1046" s="655">
        <v>41235</v>
      </c>
      <c r="AE1046" s="655">
        <v>8018259.7699999996</v>
      </c>
      <c r="AF1046" s="655">
        <v>174042</v>
      </c>
      <c r="AG1046" s="655">
        <v>440432</v>
      </c>
      <c r="AH1046" s="655">
        <v>0</v>
      </c>
      <c r="AI1046" s="805">
        <v>2270174</v>
      </c>
      <c r="AJ1046" s="655">
        <v>206807</v>
      </c>
      <c r="AK1046" s="655">
        <v>11109714.77</v>
      </c>
      <c r="AL1046" s="805">
        <v>11344214</v>
      </c>
      <c r="AM1046" s="655">
        <v>-234499.23000000045</v>
      </c>
    </row>
    <row r="1047" spans="1:39" x14ac:dyDescent="0.2">
      <c r="A1047" s="648">
        <v>2016</v>
      </c>
      <c r="B1047" s="648">
        <v>15</v>
      </c>
      <c r="C1047" s="657" t="s">
        <v>121</v>
      </c>
      <c r="D1047" s="648">
        <v>977</v>
      </c>
      <c r="E1047" s="648" t="s">
        <v>1045</v>
      </c>
      <c r="F1047" s="655">
        <v>3585265</v>
      </c>
      <c r="G1047" s="655">
        <v>278961</v>
      </c>
      <c r="H1047" s="655">
        <v>82489</v>
      </c>
      <c r="I1047" s="655">
        <v>397718</v>
      </c>
      <c r="J1047" s="655">
        <v>347186</v>
      </c>
      <c r="K1047" s="655">
        <v>31973</v>
      </c>
      <c r="L1047" s="655">
        <v>43176</v>
      </c>
      <c r="M1047" s="655">
        <v>0</v>
      </c>
      <c r="N1047" s="655">
        <v>173463</v>
      </c>
      <c r="O1047" s="655">
        <v>12939</v>
      </c>
      <c r="P1047" s="655">
        <v>29307</v>
      </c>
      <c r="Q1047" s="655">
        <v>32192</v>
      </c>
      <c r="R1047" s="655">
        <v>463</v>
      </c>
      <c r="S1047" s="655">
        <v>18658</v>
      </c>
      <c r="T1047" s="655">
        <v>2017</v>
      </c>
      <c r="U1047" s="655">
        <v>114448</v>
      </c>
      <c r="V1047" s="655">
        <v>0</v>
      </c>
      <c r="W1047" s="655">
        <v>59708</v>
      </c>
      <c r="X1047" s="655">
        <v>132234.32999999999</v>
      </c>
      <c r="Y1047" s="655">
        <v>0</v>
      </c>
      <c r="Z1047" s="655">
        <v>0</v>
      </c>
      <c r="AA1047" s="655">
        <v>0</v>
      </c>
      <c r="AB1047" s="655">
        <v>0</v>
      </c>
      <c r="AC1047" s="655">
        <v>1592</v>
      </c>
      <c r="AD1047" s="655">
        <v>29808</v>
      </c>
      <c r="AE1047" s="655">
        <v>5313981.33</v>
      </c>
      <c r="AF1047" s="655">
        <v>164373</v>
      </c>
      <c r="AG1047" s="655">
        <v>267250</v>
      </c>
      <c r="AH1047" s="655">
        <v>0</v>
      </c>
      <c r="AI1047" s="805">
        <v>2297977</v>
      </c>
      <c r="AJ1047" s="655">
        <v>2668760</v>
      </c>
      <c r="AK1047" s="655">
        <v>10712341.33</v>
      </c>
      <c r="AL1047" s="805">
        <v>8594235</v>
      </c>
      <c r="AM1047" s="655">
        <v>2118106.33</v>
      </c>
    </row>
    <row r="1048" spans="1:39" x14ac:dyDescent="0.2">
      <c r="A1048" s="648">
        <v>2016</v>
      </c>
      <c r="B1048" s="648">
        <v>11</v>
      </c>
      <c r="C1048" s="657" t="s">
        <v>122</v>
      </c>
      <c r="D1048" s="648">
        <v>981</v>
      </c>
      <c r="E1048" s="648" t="s">
        <v>1046</v>
      </c>
      <c r="F1048" s="655">
        <v>12171982</v>
      </c>
      <c r="G1048" s="655">
        <v>0</v>
      </c>
      <c r="H1048" s="655">
        <v>218893</v>
      </c>
      <c r="I1048" s="655">
        <v>1256519</v>
      </c>
      <c r="J1048" s="655">
        <v>1016019</v>
      </c>
      <c r="K1048" s="655">
        <v>103252</v>
      </c>
      <c r="L1048" s="655">
        <v>123797</v>
      </c>
      <c r="M1048" s="655">
        <v>0</v>
      </c>
      <c r="N1048" s="655">
        <v>573534</v>
      </c>
      <c r="O1048" s="655">
        <v>0</v>
      </c>
      <c r="P1048" s="655">
        <v>100906</v>
      </c>
      <c r="Q1048" s="655">
        <v>110765</v>
      </c>
      <c r="R1048" s="655">
        <v>0</v>
      </c>
      <c r="S1048" s="655">
        <v>46998</v>
      </c>
      <c r="T1048" s="655">
        <v>5979</v>
      </c>
      <c r="U1048" s="655">
        <v>236417</v>
      </c>
      <c r="V1048" s="655">
        <v>0</v>
      </c>
      <c r="W1048" s="655">
        <v>111508</v>
      </c>
      <c r="X1048" s="655">
        <v>232638.53</v>
      </c>
      <c r="Y1048" s="655">
        <v>0</v>
      </c>
      <c r="Z1048" s="655">
        <v>0</v>
      </c>
      <c r="AA1048" s="655">
        <v>0</v>
      </c>
      <c r="AB1048" s="655">
        <v>0</v>
      </c>
      <c r="AC1048" s="655">
        <v>-8339</v>
      </c>
      <c r="AD1048" s="655">
        <v>58812</v>
      </c>
      <c r="AE1048" s="655">
        <v>16242056.529999999</v>
      </c>
      <c r="AF1048" s="655">
        <v>348084</v>
      </c>
      <c r="AG1048" s="655">
        <v>0</v>
      </c>
      <c r="AH1048" s="655">
        <v>0</v>
      </c>
      <c r="AI1048" s="805">
        <v>3421697</v>
      </c>
      <c r="AJ1048" s="655">
        <v>7222749</v>
      </c>
      <c r="AK1048" s="655">
        <v>27234586.530000001</v>
      </c>
      <c r="AL1048" s="805">
        <v>19602406</v>
      </c>
      <c r="AM1048" s="655">
        <v>7632180.5300000012</v>
      </c>
    </row>
    <row r="1049" spans="1:39" x14ac:dyDescent="0.2">
      <c r="A1049" s="648">
        <v>2016</v>
      </c>
      <c r="B1049" s="648">
        <v>11</v>
      </c>
      <c r="C1049" s="657" t="s">
        <v>123</v>
      </c>
      <c r="D1049" s="648">
        <v>999</v>
      </c>
      <c r="E1049" s="648" t="s">
        <v>1047</v>
      </c>
      <c r="F1049" s="655">
        <v>10902120</v>
      </c>
      <c r="G1049" s="655">
        <v>0</v>
      </c>
      <c r="H1049" s="655">
        <v>231637</v>
      </c>
      <c r="I1049" s="655">
        <v>1412512</v>
      </c>
      <c r="J1049" s="655">
        <v>909158</v>
      </c>
      <c r="K1049" s="655">
        <v>104675</v>
      </c>
      <c r="L1049" s="655">
        <v>105047</v>
      </c>
      <c r="M1049" s="655">
        <v>0</v>
      </c>
      <c r="N1049" s="655">
        <v>525960</v>
      </c>
      <c r="O1049" s="655">
        <v>0</v>
      </c>
      <c r="P1049" s="655">
        <v>133472</v>
      </c>
      <c r="Q1049" s="655">
        <v>146512</v>
      </c>
      <c r="R1049" s="655">
        <v>0</v>
      </c>
      <c r="S1049" s="655">
        <v>43099</v>
      </c>
      <c r="T1049" s="655">
        <v>5483</v>
      </c>
      <c r="U1049" s="655">
        <v>4215</v>
      </c>
      <c r="V1049" s="655">
        <v>0</v>
      </c>
      <c r="W1049" s="655">
        <v>173397</v>
      </c>
      <c r="X1049" s="655">
        <v>294647.27</v>
      </c>
      <c r="Y1049" s="655">
        <v>0</v>
      </c>
      <c r="Z1049" s="655">
        <v>0</v>
      </c>
      <c r="AA1049" s="655">
        <v>0</v>
      </c>
      <c r="AB1049" s="655">
        <v>0</v>
      </c>
      <c r="AC1049" s="655">
        <v>-8594</v>
      </c>
      <c r="AD1049" s="655">
        <v>92884</v>
      </c>
      <c r="AE1049" s="655">
        <v>14890456.27</v>
      </c>
      <c r="AF1049" s="655">
        <v>551133</v>
      </c>
      <c r="AG1049" s="655">
        <v>930387</v>
      </c>
      <c r="AH1049" s="655">
        <v>0</v>
      </c>
      <c r="AI1049" s="805">
        <v>2422399</v>
      </c>
      <c r="AJ1049" s="655">
        <v>3585881</v>
      </c>
      <c r="AK1049" s="655">
        <v>22380256.27</v>
      </c>
      <c r="AL1049" s="805">
        <v>18199006</v>
      </c>
      <c r="AM1049" s="655">
        <v>4181250.2699999996</v>
      </c>
    </row>
    <row r="1050" spans="1:39" x14ac:dyDescent="0.2">
      <c r="A1050" s="648">
        <v>2016</v>
      </c>
      <c r="B1050" s="648">
        <v>7</v>
      </c>
      <c r="C1050" s="657" t="s">
        <v>124</v>
      </c>
      <c r="D1050" s="648">
        <v>1044</v>
      </c>
      <c r="E1050" s="648" t="s">
        <v>1048</v>
      </c>
      <c r="F1050" s="655">
        <v>31666807</v>
      </c>
      <c r="G1050" s="655">
        <v>0</v>
      </c>
      <c r="H1050" s="655">
        <v>466358</v>
      </c>
      <c r="I1050" s="655">
        <v>3889933</v>
      </c>
      <c r="J1050" s="655">
        <v>2670602</v>
      </c>
      <c r="K1050" s="655">
        <v>317748</v>
      </c>
      <c r="L1050" s="655">
        <v>315883</v>
      </c>
      <c r="M1050" s="655">
        <v>0</v>
      </c>
      <c r="N1050" s="655">
        <v>1579693</v>
      </c>
      <c r="O1050" s="655">
        <v>0</v>
      </c>
      <c r="P1050" s="655">
        <v>277293</v>
      </c>
      <c r="Q1050" s="655">
        <v>309759</v>
      </c>
      <c r="R1050" s="655">
        <v>0</v>
      </c>
      <c r="S1050" s="655">
        <v>201174</v>
      </c>
      <c r="T1050" s="655">
        <v>23087</v>
      </c>
      <c r="U1050" s="655">
        <v>738732</v>
      </c>
      <c r="V1050" s="655">
        <v>102442</v>
      </c>
      <c r="W1050" s="655">
        <v>942912</v>
      </c>
      <c r="X1050" s="655">
        <v>807533.94</v>
      </c>
      <c r="Y1050" s="655">
        <v>0</v>
      </c>
      <c r="Z1050" s="655">
        <v>0</v>
      </c>
      <c r="AA1050" s="655">
        <v>0</v>
      </c>
      <c r="AB1050" s="655">
        <v>0</v>
      </c>
      <c r="AC1050" s="655">
        <v>0</v>
      </c>
      <c r="AD1050" s="655">
        <v>198163</v>
      </c>
      <c r="AE1050" s="655">
        <v>44111793.939999998</v>
      </c>
      <c r="AF1050" s="655">
        <v>412544</v>
      </c>
      <c r="AG1050" s="655">
        <v>2444994</v>
      </c>
      <c r="AH1050" s="655">
        <v>0</v>
      </c>
      <c r="AI1050" s="805">
        <v>5873635</v>
      </c>
      <c r="AJ1050" s="655">
        <v>8630990</v>
      </c>
      <c r="AK1050" s="655">
        <v>61473956.939999998</v>
      </c>
      <c r="AL1050" s="805">
        <v>52864787</v>
      </c>
      <c r="AM1050" s="655">
        <v>8609169.9399999976</v>
      </c>
    </row>
    <row r="1051" spans="1:39" x14ac:dyDescent="0.2">
      <c r="A1051" s="648">
        <v>2016</v>
      </c>
      <c r="B1051" s="648">
        <v>10</v>
      </c>
      <c r="C1051" s="657" t="s">
        <v>125</v>
      </c>
      <c r="D1051" s="648">
        <v>1053</v>
      </c>
      <c r="E1051" s="648" t="s">
        <v>1049</v>
      </c>
      <c r="F1051" s="655">
        <v>108565466</v>
      </c>
      <c r="G1051" s="655">
        <v>0</v>
      </c>
      <c r="H1051" s="655">
        <v>1491727</v>
      </c>
      <c r="I1051" s="655">
        <v>16830764</v>
      </c>
      <c r="J1051" s="655">
        <v>9169285</v>
      </c>
      <c r="K1051" s="655">
        <v>1083634</v>
      </c>
      <c r="L1051" s="655">
        <v>1182666</v>
      </c>
      <c r="M1051" s="655">
        <v>5266250</v>
      </c>
      <c r="N1051" s="655">
        <v>5493818</v>
      </c>
      <c r="O1051" s="655">
        <v>0</v>
      </c>
      <c r="P1051" s="655">
        <v>1000710</v>
      </c>
      <c r="Q1051" s="655">
        <v>1099396</v>
      </c>
      <c r="R1051" s="655">
        <v>0</v>
      </c>
      <c r="S1051" s="655">
        <v>512206</v>
      </c>
      <c r="T1051" s="655">
        <v>59527</v>
      </c>
      <c r="U1051" s="655">
        <v>5360904</v>
      </c>
      <c r="V1051" s="655">
        <v>610058</v>
      </c>
      <c r="W1051" s="655">
        <v>1966397</v>
      </c>
      <c r="X1051" s="655">
        <v>3797010.03</v>
      </c>
      <c r="Y1051" s="655">
        <v>0</v>
      </c>
      <c r="Z1051" s="655">
        <v>0</v>
      </c>
      <c r="AA1051" s="655">
        <v>0</v>
      </c>
      <c r="AB1051" s="655">
        <v>0</v>
      </c>
      <c r="AC1051" s="655">
        <v>-10186</v>
      </c>
      <c r="AD1051" s="655">
        <v>846317</v>
      </c>
      <c r="AE1051" s="655">
        <v>162633315.03</v>
      </c>
      <c r="AF1051" s="655">
        <v>1650176</v>
      </c>
      <c r="AG1051" s="655">
        <v>8051215</v>
      </c>
      <c r="AH1051" s="655">
        <v>0</v>
      </c>
      <c r="AI1051" s="805">
        <v>23403411</v>
      </c>
      <c r="AJ1051" s="655">
        <v>5790286</v>
      </c>
      <c r="AK1051" s="655">
        <v>201528403.03</v>
      </c>
      <c r="AL1051" s="805">
        <v>194425893</v>
      </c>
      <c r="AM1051" s="655">
        <v>7102510.0300000012</v>
      </c>
    </row>
    <row r="1052" spans="1:39" x14ac:dyDescent="0.2">
      <c r="A1052" s="648">
        <v>2016</v>
      </c>
      <c r="B1052" s="648">
        <v>10</v>
      </c>
      <c r="C1052" s="657" t="s">
        <v>126</v>
      </c>
      <c r="D1052" s="648">
        <v>1062</v>
      </c>
      <c r="E1052" s="648" t="s">
        <v>637</v>
      </c>
      <c r="F1052" s="655">
        <v>8493250</v>
      </c>
      <c r="G1052" s="655">
        <v>0</v>
      </c>
      <c r="H1052" s="655">
        <v>103587</v>
      </c>
      <c r="I1052" s="655">
        <v>729623</v>
      </c>
      <c r="J1052" s="655">
        <v>724772</v>
      </c>
      <c r="K1052" s="655">
        <v>80334</v>
      </c>
      <c r="L1052" s="655">
        <v>82627</v>
      </c>
      <c r="M1052" s="655">
        <v>0</v>
      </c>
      <c r="N1052" s="655">
        <v>404069</v>
      </c>
      <c r="O1052" s="655">
        <v>0</v>
      </c>
      <c r="P1052" s="655">
        <v>69920</v>
      </c>
      <c r="Q1052" s="655">
        <v>76815</v>
      </c>
      <c r="R1052" s="655">
        <v>0</v>
      </c>
      <c r="S1052" s="655">
        <v>37673</v>
      </c>
      <c r="T1052" s="655">
        <v>4378</v>
      </c>
      <c r="U1052" s="655">
        <v>0</v>
      </c>
      <c r="V1052" s="655">
        <v>0</v>
      </c>
      <c r="W1052" s="655">
        <v>273310</v>
      </c>
      <c r="X1052" s="655">
        <v>336238.07</v>
      </c>
      <c r="Y1052" s="655">
        <v>0</v>
      </c>
      <c r="Z1052" s="655">
        <v>0</v>
      </c>
      <c r="AA1052" s="655">
        <v>0</v>
      </c>
      <c r="AB1052" s="655">
        <v>0</v>
      </c>
      <c r="AC1052" s="655">
        <v>0</v>
      </c>
      <c r="AD1052" s="655">
        <v>46594</v>
      </c>
      <c r="AE1052" s="655">
        <v>11370002.07</v>
      </c>
      <c r="AF1052" s="655">
        <v>341638</v>
      </c>
      <c r="AG1052" s="655">
        <v>514776</v>
      </c>
      <c r="AH1052" s="655">
        <v>0</v>
      </c>
      <c r="AI1052" s="805">
        <v>2763472</v>
      </c>
      <c r="AJ1052" s="655">
        <v>967805</v>
      </c>
      <c r="AK1052" s="655">
        <v>15957693.07</v>
      </c>
      <c r="AL1052" s="805">
        <v>15211978</v>
      </c>
      <c r="AM1052" s="655">
        <v>745715.0700000003</v>
      </c>
    </row>
    <row r="1053" spans="1:39" x14ac:dyDescent="0.2">
      <c r="A1053" s="648">
        <v>2016</v>
      </c>
      <c r="B1053" s="648">
        <v>15</v>
      </c>
      <c r="C1053" s="657" t="s">
        <v>127</v>
      </c>
      <c r="D1053" s="648">
        <v>1071</v>
      </c>
      <c r="E1053" s="648" t="s">
        <v>1051</v>
      </c>
      <c r="F1053" s="655">
        <v>8865014</v>
      </c>
      <c r="G1053" s="655">
        <v>25259</v>
      </c>
      <c r="H1053" s="655">
        <v>92195</v>
      </c>
      <c r="I1053" s="655">
        <v>966253</v>
      </c>
      <c r="J1053" s="655">
        <v>757553</v>
      </c>
      <c r="K1053" s="655">
        <v>86906</v>
      </c>
      <c r="L1053" s="655">
        <v>91744</v>
      </c>
      <c r="M1053" s="655">
        <v>0</v>
      </c>
      <c r="N1053" s="655">
        <v>424278</v>
      </c>
      <c r="O1053" s="655">
        <v>13798</v>
      </c>
      <c r="P1053" s="655">
        <v>71844</v>
      </c>
      <c r="Q1053" s="655">
        <v>78918</v>
      </c>
      <c r="R1053" s="655">
        <v>1134</v>
      </c>
      <c r="S1053" s="655">
        <v>42520</v>
      </c>
      <c r="T1053" s="655">
        <v>4597</v>
      </c>
      <c r="U1053" s="655">
        <v>271819</v>
      </c>
      <c r="V1053" s="655">
        <v>0</v>
      </c>
      <c r="W1053" s="655">
        <v>80369</v>
      </c>
      <c r="X1053" s="655">
        <v>175693.08</v>
      </c>
      <c r="Y1053" s="655">
        <v>0</v>
      </c>
      <c r="Z1053" s="655">
        <v>0</v>
      </c>
      <c r="AA1053" s="655">
        <v>0</v>
      </c>
      <c r="AB1053" s="655">
        <v>0</v>
      </c>
      <c r="AC1053" s="655">
        <v>0</v>
      </c>
      <c r="AD1053" s="655">
        <v>76839</v>
      </c>
      <c r="AE1053" s="655">
        <v>11973055.08</v>
      </c>
      <c r="AF1053" s="655">
        <v>232056</v>
      </c>
      <c r="AG1053" s="655">
        <v>101384</v>
      </c>
      <c r="AH1053" s="655">
        <v>0</v>
      </c>
      <c r="AI1053" s="805">
        <v>1511240</v>
      </c>
      <c r="AJ1053" s="655">
        <v>3714872</v>
      </c>
      <c r="AK1053" s="655">
        <v>17532607.079999998</v>
      </c>
      <c r="AL1053" s="805">
        <v>14913829</v>
      </c>
      <c r="AM1053" s="655">
        <v>2618778.0799999982</v>
      </c>
    </row>
    <row r="1054" spans="1:39" x14ac:dyDescent="0.2">
      <c r="A1054" s="648">
        <v>2016</v>
      </c>
      <c r="B1054" s="648">
        <v>15</v>
      </c>
      <c r="C1054" s="657" t="s">
        <v>128</v>
      </c>
      <c r="D1054" s="648">
        <v>1079</v>
      </c>
      <c r="E1054" s="648" t="s">
        <v>1052</v>
      </c>
      <c r="F1054" s="655">
        <v>5311504</v>
      </c>
      <c r="G1054" s="655">
        <v>0</v>
      </c>
      <c r="H1054" s="655">
        <v>59194</v>
      </c>
      <c r="I1054" s="655">
        <v>575886</v>
      </c>
      <c r="J1054" s="655">
        <v>480062</v>
      </c>
      <c r="K1054" s="655">
        <v>61915</v>
      </c>
      <c r="L1054" s="655">
        <v>52176</v>
      </c>
      <c r="M1054" s="655">
        <v>0</v>
      </c>
      <c r="N1054" s="655">
        <v>256402</v>
      </c>
      <c r="O1054" s="655">
        <v>0</v>
      </c>
      <c r="P1054" s="655">
        <v>44329</v>
      </c>
      <c r="Q1054" s="655">
        <v>48694</v>
      </c>
      <c r="R1054" s="655">
        <v>685</v>
      </c>
      <c r="S1054" s="655">
        <v>25674</v>
      </c>
      <c r="T1054" s="655">
        <v>2777</v>
      </c>
      <c r="U1054" s="655">
        <v>100882</v>
      </c>
      <c r="V1054" s="655">
        <v>0</v>
      </c>
      <c r="W1054" s="655">
        <v>37559</v>
      </c>
      <c r="X1054" s="655">
        <v>302081.62</v>
      </c>
      <c r="Y1054" s="655">
        <v>0</v>
      </c>
      <c r="Z1054" s="655">
        <v>0</v>
      </c>
      <c r="AA1054" s="655">
        <v>0</v>
      </c>
      <c r="AB1054" s="655">
        <v>0</v>
      </c>
      <c r="AC1054" s="655">
        <v>0</v>
      </c>
      <c r="AD1054" s="655">
        <v>46695</v>
      </c>
      <c r="AE1054" s="655">
        <v>7313125.6200000001</v>
      </c>
      <c r="AF1054" s="655">
        <v>0</v>
      </c>
      <c r="AG1054" s="655">
        <v>388802</v>
      </c>
      <c r="AH1054" s="655">
        <v>0</v>
      </c>
      <c r="AI1054" s="805">
        <v>2712551</v>
      </c>
      <c r="AJ1054" s="655">
        <v>1603785</v>
      </c>
      <c r="AK1054" s="655">
        <v>12018263.620000001</v>
      </c>
      <c r="AL1054" s="805">
        <v>10230364</v>
      </c>
      <c r="AM1054" s="655">
        <v>1787899.620000001</v>
      </c>
    </row>
    <row r="1055" spans="1:39" x14ac:dyDescent="0.2">
      <c r="A1055" s="648">
        <v>2016</v>
      </c>
      <c r="B1055" s="648">
        <v>1</v>
      </c>
      <c r="C1055" s="657" t="s">
        <v>129</v>
      </c>
      <c r="D1055" s="648">
        <v>1080</v>
      </c>
      <c r="E1055" s="648" t="s">
        <v>1053</v>
      </c>
      <c r="F1055" s="655">
        <v>2901345</v>
      </c>
      <c r="G1055" s="655">
        <v>101950</v>
      </c>
      <c r="H1055" s="655">
        <v>51729</v>
      </c>
      <c r="I1055" s="655">
        <v>461856</v>
      </c>
      <c r="J1055" s="655">
        <v>263589</v>
      </c>
      <c r="K1055" s="655">
        <v>27143</v>
      </c>
      <c r="L1055" s="655">
        <v>26625</v>
      </c>
      <c r="M1055" s="655">
        <v>0</v>
      </c>
      <c r="N1055" s="655">
        <v>155257</v>
      </c>
      <c r="O1055" s="655">
        <v>13739</v>
      </c>
      <c r="P1055" s="655">
        <v>23908</v>
      </c>
      <c r="Q1055" s="655">
        <v>26681</v>
      </c>
      <c r="R1055" s="655">
        <v>0</v>
      </c>
      <c r="S1055" s="655">
        <v>15764</v>
      </c>
      <c r="T1055" s="655">
        <v>1684</v>
      </c>
      <c r="U1055" s="655">
        <v>35419</v>
      </c>
      <c r="V1055" s="655">
        <v>0</v>
      </c>
      <c r="W1055" s="655">
        <v>71444</v>
      </c>
      <c r="X1055" s="655">
        <v>204197.9</v>
      </c>
      <c r="Y1055" s="655">
        <v>0</v>
      </c>
      <c r="Z1055" s="655">
        <v>0</v>
      </c>
      <c r="AA1055" s="655">
        <v>0</v>
      </c>
      <c r="AB1055" s="655">
        <v>0</v>
      </c>
      <c r="AC1055" s="655">
        <v>0</v>
      </c>
      <c r="AD1055" s="655">
        <v>29988</v>
      </c>
      <c r="AE1055" s="655">
        <v>4352342.9000000004</v>
      </c>
      <c r="AF1055" s="655">
        <v>87021</v>
      </c>
      <c r="AG1055" s="655">
        <v>236930</v>
      </c>
      <c r="AH1055" s="655">
        <v>0</v>
      </c>
      <c r="AI1055" s="805">
        <v>808621</v>
      </c>
      <c r="AJ1055" s="655">
        <v>1453433</v>
      </c>
      <c r="AK1055" s="655">
        <v>6938347.9000000004</v>
      </c>
      <c r="AL1055" s="805">
        <v>5359032</v>
      </c>
      <c r="AM1055" s="655">
        <v>1579315.9000000004</v>
      </c>
    </row>
    <row r="1056" spans="1:39" x14ac:dyDescent="0.2">
      <c r="A1056" s="648">
        <v>2016</v>
      </c>
      <c r="B1056" s="648">
        <v>9</v>
      </c>
      <c r="C1056" s="657" t="s">
        <v>130</v>
      </c>
      <c r="D1056" s="648">
        <v>1082</v>
      </c>
      <c r="E1056" s="648" t="s">
        <v>1722</v>
      </c>
      <c r="F1056" s="655">
        <v>9388599</v>
      </c>
      <c r="G1056" s="655">
        <v>111867</v>
      </c>
      <c r="H1056" s="655">
        <v>125123</v>
      </c>
      <c r="I1056" s="655">
        <v>1070423</v>
      </c>
      <c r="J1056" s="655">
        <v>832480</v>
      </c>
      <c r="K1056" s="655">
        <v>89942</v>
      </c>
      <c r="L1056" s="655">
        <v>84273</v>
      </c>
      <c r="M1056" s="655">
        <v>0</v>
      </c>
      <c r="N1056" s="655">
        <v>461342</v>
      </c>
      <c r="O1056" s="655">
        <v>654</v>
      </c>
      <c r="P1056" s="655">
        <v>86077</v>
      </c>
      <c r="Q1056" s="655">
        <v>93907</v>
      </c>
      <c r="R1056" s="655">
        <v>0</v>
      </c>
      <c r="S1056" s="655">
        <v>41505</v>
      </c>
      <c r="T1056" s="655">
        <v>4869</v>
      </c>
      <c r="U1056" s="655">
        <v>222187</v>
      </c>
      <c r="V1056" s="655">
        <v>4105</v>
      </c>
      <c r="W1056" s="655">
        <v>63660</v>
      </c>
      <c r="X1056" s="655">
        <v>301596.45</v>
      </c>
      <c r="Y1056" s="655">
        <v>0</v>
      </c>
      <c r="Z1056" s="655">
        <v>0</v>
      </c>
      <c r="AA1056" s="655">
        <v>0</v>
      </c>
      <c r="AB1056" s="655">
        <v>0</v>
      </c>
      <c r="AC1056" s="655">
        <v>-1592</v>
      </c>
      <c r="AD1056" s="655">
        <v>77370</v>
      </c>
      <c r="AE1056" s="655">
        <v>12903647.449999999</v>
      </c>
      <c r="AF1056" s="655">
        <v>360976</v>
      </c>
      <c r="AG1056" s="655">
        <v>712820</v>
      </c>
      <c r="AH1056" s="655">
        <v>0</v>
      </c>
      <c r="AI1056" s="805">
        <v>2102607</v>
      </c>
      <c r="AJ1056" s="655">
        <v>1471627</v>
      </c>
      <c r="AK1056" s="655">
        <v>17551677.449999999</v>
      </c>
      <c r="AL1056" s="805">
        <v>16426023</v>
      </c>
      <c r="AM1056" s="655">
        <v>1125654.4499999993</v>
      </c>
    </row>
    <row r="1057" spans="1:39" x14ac:dyDescent="0.2">
      <c r="A1057" s="648">
        <v>2016</v>
      </c>
      <c r="B1057" s="648">
        <v>10</v>
      </c>
      <c r="C1057" s="657" t="s">
        <v>131</v>
      </c>
      <c r="D1057" s="648">
        <v>1089</v>
      </c>
      <c r="E1057" s="648" t="s">
        <v>1054</v>
      </c>
      <c r="F1057" s="655">
        <v>3247644</v>
      </c>
      <c r="G1057" s="655">
        <v>0</v>
      </c>
      <c r="H1057" s="655">
        <v>166417</v>
      </c>
      <c r="I1057" s="655">
        <v>300363</v>
      </c>
      <c r="J1057" s="655">
        <v>299560</v>
      </c>
      <c r="K1057" s="655">
        <v>29172</v>
      </c>
      <c r="L1057" s="655">
        <v>33360</v>
      </c>
      <c r="M1057" s="655">
        <v>0</v>
      </c>
      <c r="N1057" s="655">
        <v>153987</v>
      </c>
      <c r="O1057" s="655">
        <v>0</v>
      </c>
      <c r="P1057" s="655">
        <v>26629</v>
      </c>
      <c r="Q1057" s="655">
        <v>29255</v>
      </c>
      <c r="R1057" s="655">
        <v>0</v>
      </c>
      <c r="S1057" s="655">
        <v>14357</v>
      </c>
      <c r="T1057" s="655">
        <v>1668</v>
      </c>
      <c r="U1057" s="655">
        <v>83113</v>
      </c>
      <c r="V1057" s="655">
        <v>0</v>
      </c>
      <c r="W1057" s="655">
        <v>82121</v>
      </c>
      <c r="X1057" s="655">
        <v>35526.400000000001</v>
      </c>
      <c r="Y1057" s="655">
        <v>0</v>
      </c>
      <c r="Z1057" s="655">
        <v>0</v>
      </c>
      <c r="AA1057" s="655">
        <v>0</v>
      </c>
      <c r="AB1057" s="655">
        <v>0</v>
      </c>
      <c r="AC1057" s="655">
        <v>0</v>
      </c>
      <c r="AD1057" s="655">
        <v>23775</v>
      </c>
      <c r="AE1057" s="655">
        <v>4479397.4000000004</v>
      </c>
      <c r="AF1057" s="655">
        <v>80575</v>
      </c>
      <c r="AG1057" s="655">
        <v>114252</v>
      </c>
      <c r="AH1057" s="655">
        <v>0</v>
      </c>
      <c r="AI1057" s="805">
        <v>597268</v>
      </c>
      <c r="AJ1057" s="655">
        <v>629852</v>
      </c>
      <c r="AK1057" s="655">
        <v>5901344.4000000004</v>
      </c>
      <c r="AL1057" s="805">
        <v>5608211</v>
      </c>
      <c r="AM1057" s="655">
        <v>293133.40000000037</v>
      </c>
    </row>
    <row r="1058" spans="1:39" x14ac:dyDescent="0.2">
      <c r="A1058" s="648">
        <v>2016</v>
      </c>
      <c r="B1058" s="648">
        <v>13</v>
      </c>
      <c r="C1058" s="657" t="s">
        <v>132</v>
      </c>
      <c r="D1058" s="648">
        <v>1093</v>
      </c>
      <c r="E1058" s="648" t="s">
        <v>1055</v>
      </c>
      <c r="F1058" s="655">
        <v>4432270</v>
      </c>
      <c r="G1058" s="655">
        <v>0</v>
      </c>
      <c r="H1058" s="655">
        <v>114984</v>
      </c>
      <c r="I1058" s="655">
        <v>575499</v>
      </c>
      <c r="J1058" s="655">
        <v>398732</v>
      </c>
      <c r="K1058" s="655">
        <v>41050</v>
      </c>
      <c r="L1058" s="655">
        <v>53743</v>
      </c>
      <c r="M1058" s="655">
        <v>0</v>
      </c>
      <c r="N1058" s="655">
        <v>220144</v>
      </c>
      <c r="O1058" s="655">
        <v>0</v>
      </c>
      <c r="P1058" s="655">
        <v>36285</v>
      </c>
      <c r="Q1058" s="655">
        <v>40131</v>
      </c>
      <c r="R1058" s="655">
        <v>0</v>
      </c>
      <c r="S1058" s="655">
        <v>22607</v>
      </c>
      <c r="T1058" s="655">
        <v>2401</v>
      </c>
      <c r="U1058" s="655">
        <v>68900</v>
      </c>
      <c r="V1058" s="655">
        <v>0</v>
      </c>
      <c r="W1058" s="655">
        <v>97400</v>
      </c>
      <c r="X1058" s="655">
        <v>151802.47</v>
      </c>
      <c r="Y1058" s="655">
        <v>0</v>
      </c>
      <c r="Z1058" s="655">
        <v>0</v>
      </c>
      <c r="AA1058" s="655">
        <v>0</v>
      </c>
      <c r="AB1058" s="655">
        <v>0</v>
      </c>
      <c r="AC1058" s="655">
        <v>0</v>
      </c>
      <c r="AD1058" s="655">
        <v>35545</v>
      </c>
      <c r="AE1058" s="655">
        <v>6220403.4699999997</v>
      </c>
      <c r="AF1058" s="655">
        <v>112805</v>
      </c>
      <c r="AG1058" s="655">
        <v>259376</v>
      </c>
      <c r="AH1058" s="655">
        <v>0</v>
      </c>
      <c r="AI1058" s="805">
        <v>1977987</v>
      </c>
      <c r="AJ1058" s="655">
        <v>855553</v>
      </c>
      <c r="AK1058" s="655">
        <v>9426124.4699999988</v>
      </c>
      <c r="AL1058" s="805">
        <v>8196170</v>
      </c>
      <c r="AM1058" s="655">
        <v>1229954.4699999988</v>
      </c>
    </row>
    <row r="1059" spans="1:39" x14ac:dyDescent="0.2">
      <c r="A1059" s="648">
        <v>2016</v>
      </c>
      <c r="B1059" s="648">
        <v>12</v>
      </c>
      <c r="C1059" s="657" t="s">
        <v>133</v>
      </c>
      <c r="D1059" s="648">
        <v>1095</v>
      </c>
      <c r="E1059" s="648" t="s">
        <v>1057</v>
      </c>
      <c r="F1059" s="655">
        <v>4663681</v>
      </c>
      <c r="G1059" s="655">
        <v>0</v>
      </c>
      <c r="H1059" s="655">
        <v>64679</v>
      </c>
      <c r="I1059" s="655">
        <v>447546</v>
      </c>
      <c r="J1059" s="655">
        <v>390386</v>
      </c>
      <c r="K1059" s="655">
        <v>45009</v>
      </c>
      <c r="L1059" s="655">
        <v>41254</v>
      </c>
      <c r="M1059" s="655">
        <v>0</v>
      </c>
      <c r="N1059" s="655">
        <v>229910</v>
      </c>
      <c r="O1059" s="655">
        <v>0</v>
      </c>
      <c r="P1059" s="655">
        <v>44166</v>
      </c>
      <c r="Q1059" s="655">
        <v>49588</v>
      </c>
      <c r="R1059" s="655">
        <v>0</v>
      </c>
      <c r="S1059" s="655">
        <v>23090</v>
      </c>
      <c r="T1059" s="655">
        <v>2759</v>
      </c>
      <c r="U1059" s="655">
        <v>192816</v>
      </c>
      <c r="V1059" s="655">
        <v>85194</v>
      </c>
      <c r="W1059" s="655">
        <v>288265</v>
      </c>
      <c r="X1059" s="655">
        <v>320664.13</v>
      </c>
      <c r="Y1059" s="655">
        <v>0</v>
      </c>
      <c r="Z1059" s="655">
        <v>0</v>
      </c>
      <c r="AA1059" s="655">
        <v>0</v>
      </c>
      <c r="AB1059" s="655">
        <v>0</v>
      </c>
      <c r="AC1059" s="655">
        <v>-4202</v>
      </c>
      <c r="AD1059" s="655">
        <v>34843</v>
      </c>
      <c r="AE1059" s="655">
        <v>6849962.1299999999</v>
      </c>
      <c r="AF1059" s="655">
        <v>132143</v>
      </c>
      <c r="AG1059" s="655">
        <v>363301</v>
      </c>
      <c r="AH1059" s="655">
        <v>0</v>
      </c>
      <c r="AI1059" s="805">
        <v>1030388</v>
      </c>
      <c r="AJ1059" s="655">
        <v>1326651</v>
      </c>
      <c r="AK1059" s="655">
        <v>9702445.129999999</v>
      </c>
      <c r="AL1059" s="805">
        <v>8246253</v>
      </c>
      <c r="AM1059" s="655">
        <v>1456192.129999999</v>
      </c>
    </row>
    <row r="1060" spans="1:39" x14ac:dyDescent="0.2">
      <c r="A1060" s="648">
        <v>2016</v>
      </c>
      <c r="B1060" s="648">
        <v>15</v>
      </c>
      <c r="C1060" s="657" t="s">
        <v>134</v>
      </c>
      <c r="D1060" s="648">
        <v>1107</v>
      </c>
      <c r="E1060" s="648" t="s">
        <v>1058</v>
      </c>
      <c r="F1060" s="655">
        <v>8769783</v>
      </c>
      <c r="G1060" s="655">
        <v>0</v>
      </c>
      <c r="H1060" s="655">
        <v>177922</v>
      </c>
      <c r="I1060" s="655">
        <v>1084604</v>
      </c>
      <c r="J1060" s="655">
        <v>742724</v>
      </c>
      <c r="K1060" s="655">
        <v>79195</v>
      </c>
      <c r="L1060" s="655">
        <v>102963</v>
      </c>
      <c r="M1060" s="655">
        <v>0</v>
      </c>
      <c r="N1060" s="655">
        <v>429169</v>
      </c>
      <c r="O1060" s="655">
        <v>11212</v>
      </c>
      <c r="P1060" s="655">
        <v>71738</v>
      </c>
      <c r="Q1060" s="655">
        <v>78802</v>
      </c>
      <c r="R1060" s="655">
        <v>1145</v>
      </c>
      <c r="S1060" s="655">
        <v>42973</v>
      </c>
      <c r="T1060" s="655">
        <v>4647</v>
      </c>
      <c r="U1060" s="655">
        <v>221662</v>
      </c>
      <c r="V1060" s="655">
        <v>0</v>
      </c>
      <c r="W1060" s="655">
        <v>92110</v>
      </c>
      <c r="X1060" s="655">
        <v>0</v>
      </c>
      <c r="Y1060" s="655">
        <v>0</v>
      </c>
      <c r="Z1060" s="655">
        <v>0</v>
      </c>
      <c r="AA1060" s="655">
        <v>0</v>
      </c>
      <c r="AB1060" s="655">
        <v>0</v>
      </c>
      <c r="AC1060" s="655">
        <v>0</v>
      </c>
      <c r="AD1060" s="655">
        <v>69564</v>
      </c>
      <c r="AE1060" s="655">
        <v>11841085</v>
      </c>
      <c r="AF1060" s="655">
        <v>183711</v>
      </c>
      <c r="AG1060" s="655">
        <v>543200</v>
      </c>
      <c r="AH1060" s="655">
        <v>0</v>
      </c>
      <c r="AI1060" s="805">
        <v>1700678</v>
      </c>
      <c r="AJ1060" s="655">
        <v>4042766</v>
      </c>
      <c r="AK1060" s="655">
        <v>18311440</v>
      </c>
      <c r="AL1060" s="805">
        <v>13900539</v>
      </c>
      <c r="AM1060" s="655">
        <v>4410901</v>
      </c>
    </row>
    <row r="1061" spans="1:39" x14ac:dyDescent="0.2">
      <c r="A1061" s="648">
        <v>2016</v>
      </c>
      <c r="B1061" s="648">
        <v>7</v>
      </c>
      <c r="C1061" s="657" t="s">
        <v>135</v>
      </c>
      <c r="D1061" s="648">
        <v>1116</v>
      </c>
      <c r="E1061" s="648" t="s">
        <v>1059</v>
      </c>
      <c r="F1061" s="655">
        <v>10034204</v>
      </c>
      <c r="G1061" s="655">
        <v>280766</v>
      </c>
      <c r="H1061" s="655">
        <v>175610</v>
      </c>
      <c r="I1061" s="655">
        <v>1376605</v>
      </c>
      <c r="J1061" s="655">
        <v>869363</v>
      </c>
      <c r="K1061" s="655">
        <v>102955</v>
      </c>
      <c r="L1061" s="655">
        <v>101000</v>
      </c>
      <c r="M1061" s="655">
        <v>0</v>
      </c>
      <c r="N1061" s="655">
        <v>502823</v>
      </c>
      <c r="O1061" s="655">
        <v>9058</v>
      </c>
      <c r="P1061" s="655">
        <v>91547</v>
      </c>
      <c r="Q1061" s="655">
        <v>102266</v>
      </c>
      <c r="R1061" s="655">
        <v>0</v>
      </c>
      <c r="S1061" s="655">
        <v>65341</v>
      </c>
      <c r="T1061" s="655">
        <v>7501</v>
      </c>
      <c r="U1061" s="655">
        <v>398749</v>
      </c>
      <c r="V1061" s="655">
        <v>60552</v>
      </c>
      <c r="W1061" s="655">
        <v>70817</v>
      </c>
      <c r="X1061" s="655">
        <v>214647.77</v>
      </c>
      <c r="Y1061" s="655">
        <v>0</v>
      </c>
      <c r="Z1061" s="655">
        <v>0</v>
      </c>
      <c r="AA1061" s="655">
        <v>0</v>
      </c>
      <c r="AB1061" s="655">
        <v>0</v>
      </c>
      <c r="AC1061" s="655">
        <v>44918</v>
      </c>
      <c r="AD1061" s="655">
        <v>82982</v>
      </c>
      <c r="AE1061" s="655">
        <v>14425740.77</v>
      </c>
      <c r="AF1061" s="655">
        <v>80575</v>
      </c>
      <c r="AG1061" s="655">
        <v>552295</v>
      </c>
      <c r="AH1061" s="655">
        <v>0</v>
      </c>
      <c r="AI1061" s="805">
        <v>2051078</v>
      </c>
      <c r="AJ1061" s="655">
        <v>4497316</v>
      </c>
      <c r="AK1061" s="655">
        <v>21607004.77</v>
      </c>
      <c r="AL1061" s="805">
        <v>16962755</v>
      </c>
      <c r="AM1061" s="655">
        <v>4644249.7699999996</v>
      </c>
    </row>
    <row r="1062" spans="1:39" x14ac:dyDescent="0.2">
      <c r="A1062" s="648">
        <v>2016</v>
      </c>
      <c r="B1062" s="648">
        <v>12</v>
      </c>
      <c r="C1062" s="657" t="s">
        <v>136</v>
      </c>
      <c r="D1062" s="648">
        <v>1134</v>
      </c>
      <c r="E1062" s="648" t="s">
        <v>1060</v>
      </c>
      <c r="F1062" s="655">
        <v>1868453</v>
      </c>
      <c r="G1062" s="655">
        <v>24336</v>
      </c>
      <c r="H1062" s="655">
        <v>100519</v>
      </c>
      <c r="I1062" s="655">
        <v>298978</v>
      </c>
      <c r="J1062" s="655">
        <v>180787</v>
      </c>
      <c r="K1062" s="655">
        <v>18855</v>
      </c>
      <c r="L1062" s="655">
        <v>20669</v>
      </c>
      <c r="M1062" s="655">
        <v>0</v>
      </c>
      <c r="N1062" s="655">
        <v>97238</v>
      </c>
      <c r="O1062" s="655">
        <v>2443</v>
      </c>
      <c r="P1062" s="655">
        <v>15376</v>
      </c>
      <c r="Q1062" s="655">
        <v>17264</v>
      </c>
      <c r="R1062" s="655">
        <v>0</v>
      </c>
      <c r="S1062" s="655">
        <v>9862</v>
      </c>
      <c r="T1062" s="655">
        <v>1180</v>
      </c>
      <c r="U1062" s="655">
        <v>0</v>
      </c>
      <c r="V1062" s="655">
        <v>0</v>
      </c>
      <c r="W1062" s="655">
        <v>53474</v>
      </c>
      <c r="X1062" s="655">
        <v>0</v>
      </c>
      <c r="Y1062" s="655">
        <v>0</v>
      </c>
      <c r="Z1062" s="655">
        <v>0</v>
      </c>
      <c r="AA1062" s="655">
        <v>0</v>
      </c>
      <c r="AB1062" s="655">
        <v>0</v>
      </c>
      <c r="AC1062" s="655">
        <v>0</v>
      </c>
      <c r="AD1062" s="655">
        <v>17747</v>
      </c>
      <c r="AE1062" s="655">
        <v>2691687</v>
      </c>
      <c r="AF1062" s="655">
        <v>64460</v>
      </c>
      <c r="AG1062" s="655">
        <v>162023</v>
      </c>
      <c r="AH1062" s="655">
        <v>0</v>
      </c>
      <c r="AI1062" s="805">
        <v>563744</v>
      </c>
      <c r="AJ1062" s="655">
        <v>231927</v>
      </c>
      <c r="AK1062" s="655">
        <v>3713841</v>
      </c>
      <c r="AL1062" s="805">
        <v>3391537</v>
      </c>
      <c r="AM1062" s="655">
        <v>322304</v>
      </c>
    </row>
    <row r="1063" spans="1:39" x14ac:dyDescent="0.2">
      <c r="A1063" s="648">
        <v>2016</v>
      </c>
      <c r="B1063" s="648">
        <v>12</v>
      </c>
      <c r="C1063" s="657" t="s">
        <v>137</v>
      </c>
      <c r="D1063" s="648">
        <v>1152</v>
      </c>
      <c r="E1063" s="648" t="s">
        <v>1061</v>
      </c>
      <c r="F1063" s="655">
        <v>6212431</v>
      </c>
      <c r="G1063" s="655">
        <v>107358</v>
      </c>
      <c r="H1063" s="655">
        <v>83311</v>
      </c>
      <c r="I1063" s="655">
        <v>1023797</v>
      </c>
      <c r="J1063" s="655">
        <v>547655</v>
      </c>
      <c r="K1063" s="655">
        <v>61568</v>
      </c>
      <c r="L1063" s="655">
        <v>65751</v>
      </c>
      <c r="M1063" s="655">
        <v>0</v>
      </c>
      <c r="N1063" s="655">
        <v>322941</v>
      </c>
      <c r="O1063" s="655">
        <v>653</v>
      </c>
      <c r="P1063" s="655">
        <v>50687</v>
      </c>
      <c r="Q1063" s="655">
        <v>56911</v>
      </c>
      <c r="R1063" s="655">
        <v>0</v>
      </c>
      <c r="S1063" s="655">
        <v>32488</v>
      </c>
      <c r="T1063" s="655">
        <v>3886</v>
      </c>
      <c r="U1063" s="655">
        <v>94272</v>
      </c>
      <c r="V1063" s="655">
        <v>0</v>
      </c>
      <c r="W1063" s="655">
        <v>33091</v>
      </c>
      <c r="X1063" s="655">
        <v>0</v>
      </c>
      <c r="Y1063" s="655">
        <v>0</v>
      </c>
      <c r="Z1063" s="655">
        <v>0</v>
      </c>
      <c r="AA1063" s="655">
        <v>0</v>
      </c>
      <c r="AB1063" s="655">
        <v>0</v>
      </c>
      <c r="AC1063" s="655">
        <v>-6417</v>
      </c>
      <c r="AD1063" s="655">
        <v>53299</v>
      </c>
      <c r="AE1063" s="655">
        <v>8637084</v>
      </c>
      <c r="AF1063" s="655">
        <v>128920</v>
      </c>
      <c r="AG1063" s="655">
        <v>361391</v>
      </c>
      <c r="AH1063" s="655">
        <v>0</v>
      </c>
      <c r="AI1063" s="805">
        <v>1149047</v>
      </c>
      <c r="AJ1063" s="655">
        <v>2065938</v>
      </c>
      <c r="AK1063" s="655">
        <v>12342380</v>
      </c>
      <c r="AL1063" s="805">
        <v>10388974</v>
      </c>
      <c r="AM1063" s="655">
        <v>1953406</v>
      </c>
    </row>
    <row r="1064" spans="1:39" x14ac:dyDescent="0.2">
      <c r="A1064" s="648">
        <v>2016</v>
      </c>
      <c r="B1064" s="648">
        <v>13</v>
      </c>
      <c r="C1064" s="657" t="s">
        <v>138</v>
      </c>
      <c r="D1064" s="648">
        <v>1197</v>
      </c>
      <c r="E1064" s="648" t="s">
        <v>1067</v>
      </c>
      <c r="F1064" s="655">
        <v>5980599</v>
      </c>
      <c r="G1064" s="655">
        <v>54923</v>
      </c>
      <c r="H1064" s="655">
        <v>53424</v>
      </c>
      <c r="I1064" s="655">
        <v>508525</v>
      </c>
      <c r="J1064" s="655">
        <v>497097</v>
      </c>
      <c r="K1064" s="655">
        <v>46464</v>
      </c>
      <c r="L1064" s="655">
        <v>54518</v>
      </c>
      <c r="M1064" s="655">
        <v>0</v>
      </c>
      <c r="N1064" s="655">
        <v>285266</v>
      </c>
      <c r="O1064" s="655">
        <v>3441</v>
      </c>
      <c r="P1064" s="655">
        <v>52476</v>
      </c>
      <c r="Q1064" s="655">
        <v>58038</v>
      </c>
      <c r="R1064" s="655">
        <v>0</v>
      </c>
      <c r="S1064" s="655">
        <v>29646</v>
      </c>
      <c r="T1064" s="655">
        <v>3146</v>
      </c>
      <c r="U1064" s="655">
        <v>119831</v>
      </c>
      <c r="V1064" s="655">
        <v>0</v>
      </c>
      <c r="W1064" s="655">
        <v>356464</v>
      </c>
      <c r="X1064" s="655">
        <v>120152.92</v>
      </c>
      <c r="Y1064" s="655">
        <v>0</v>
      </c>
      <c r="Z1064" s="655">
        <v>0</v>
      </c>
      <c r="AA1064" s="655">
        <v>0</v>
      </c>
      <c r="AB1064" s="655">
        <v>0</v>
      </c>
      <c r="AC1064" s="655">
        <v>0</v>
      </c>
      <c r="AD1064" s="655">
        <v>50182</v>
      </c>
      <c r="AE1064" s="655">
        <v>8173828.9199999999</v>
      </c>
      <c r="AF1064" s="655">
        <v>0</v>
      </c>
      <c r="AG1064" s="655">
        <v>266746</v>
      </c>
      <c r="AH1064" s="655">
        <v>0</v>
      </c>
      <c r="AI1064" s="805">
        <v>2086623</v>
      </c>
      <c r="AJ1064" s="655">
        <v>1650081</v>
      </c>
      <c r="AK1064" s="655">
        <v>12177278.92</v>
      </c>
      <c r="AL1064" s="805">
        <v>9962354</v>
      </c>
      <c r="AM1064" s="655">
        <v>2214924.92</v>
      </c>
    </row>
    <row r="1065" spans="1:39" x14ac:dyDescent="0.2">
      <c r="A1065" s="648">
        <v>2016</v>
      </c>
      <c r="B1065" s="648">
        <v>5</v>
      </c>
      <c r="C1065" s="657" t="s">
        <v>139</v>
      </c>
      <c r="D1065" s="648">
        <v>1206</v>
      </c>
      <c r="E1065" s="648" t="s">
        <v>1636</v>
      </c>
      <c r="F1065" s="655">
        <v>6180930</v>
      </c>
      <c r="G1065" s="655">
        <v>0</v>
      </c>
      <c r="H1065" s="655">
        <v>563380</v>
      </c>
      <c r="I1065" s="655">
        <v>898072</v>
      </c>
      <c r="J1065" s="655">
        <v>539479</v>
      </c>
      <c r="K1065" s="655">
        <v>60770</v>
      </c>
      <c r="L1065" s="655">
        <v>66282</v>
      </c>
      <c r="M1065" s="655">
        <v>0</v>
      </c>
      <c r="N1065" s="655">
        <v>320385</v>
      </c>
      <c r="O1065" s="655">
        <v>0</v>
      </c>
      <c r="P1065" s="655">
        <v>50807</v>
      </c>
      <c r="Q1065" s="655">
        <v>57066</v>
      </c>
      <c r="R1065" s="655">
        <v>959</v>
      </c>
      <c r="S1065" s="655">
        <v>34123</v>
      </c>
      <c r="T1065" s="655">
        <v>4063</v>
      </c>
      <c r="U1065" s="655">
        <v>256500</v>
      </c>
      <c r="V1065" s="655">
        <v>60397</v>
      </c>
      <c r="W1065" s="655">
        <v>131035</v>
      </c>
      <c r="X1065" s="655">
        <v>471930.67</v>
      </c>
      <c r="Y1065" s="655">
        <v>0</v>
      </c>
      <c r="Z1065" s="655">
        <v>0</v>
      </c>
      <c r="AA1065" s="655">
        <v>0</v>
      </c>
      <c r="AB1065" s="655">
        <v>0</v>
      </c>
      <c r="AC1065" s="655">
        <v>-19203</v>
      </c>
      <c r="AD1065" s="655">
        <v>52020</v>
      </c>
      <c r="AE1065" s="655">
        <v>9624955.6699999999</v>
      </c>
      <c r="AF1065" s="655">
        <v>206272</v>
      </c>
      <c r="AG1065" s="655">
        <v>516355</v>
      </c>
      <c r="AH1065" s="655">
        <v>0</v>
      </c>
      <c r="AI1065" s="805">
        <v>1221493</v>
      </c>
      <c r="AJ1065" s="655">
        <v>2560957</v>
      </c>
      <c r="AK1065" s="655">
        <v>14130032.67</v>
      </c>
      <c r="AL1065" s="805">
        <v>11201682</v>
      </c>
      <c r="AM1065" s="655">
        <v>2928350.67</v>
      </c>
    </row>
    <row r="1066" spans="1:39" x14ac:dyDescent="0.2">
      <c r="A1066" s="648">
        <v>2016</v>
      </c>
      <c r="B1066" s="648">
        <v>13</v>
      </c>
      <c r="C1066" s="657" t="s">
        <v>140</v>
      </c>
      <c r="D1066" s="648">
        <v>1211</v>
      </c>
      <c r="E1066" s="648" t="s">
        <v>1068</v>
      </c>
      <c r="F1066" s="655">
        <v>9174592</v>
      </c>
      <c r="G1066" s="655">
        <v>136199</v>
      </c>
      <c r="H1066" s="655">
        <v>303078</v>
      </c>
      <c r="I1066" s="655">
        <v>1333484</v>
      </c>
      <c r="J1066" s="655">
        <v>794022</v>
      </c>
      <c r="K1066" s="655">
        <v>81571</v>
      </c>
      <c r="L1066" s="655">
        <v>104553</v>
      </c>
      <c r="M1066" s="655">
        <v>0</v>
      </c>
      <c r="N1066" s="655">
        <v>461941</v>
      </c>
      <c r="O1066" s="655">
        <v>2506</v>
      </c>
      <c r="P1066" s="655">
        <v>75049</v>
      </c>
      <c r="Q1066" s="655">
        <v>83004</v>
      </c>
      <c r="R1066" s="655">
        <v>0</v>
      </c>
      <c r="S1066" s="655">
        <v>47693</v>
      </c>
      <c r="T1066" s="655">
        <v>5061</v>
      </c>
      <c r="U1066" s="655">
        <v>0</v>
      </c>
      <c r="V1066" s="655">
        <v>0</v>
      </c>
      <c r="W1066" s="655">
        <v>163102</v>
      </c>
      <c r="X1066" s="655">
        <v>491925.83</v>
      </c>
      <c r="Y1066" s="655">
        <v>0</v>
      </c>
      <c r="Z1066" s="655">
        <v>0</v>
      </c>
      <c r="AA1066" s="655">
        <v>0</v>
      </c>
      <c r="AB1066" s="655">
        <v>0</v>
      </c>
      <c r="AC1066" s="655">
        <v>-4456</v>
      </c>
      <c r="AD1066" s="655">
        <v>66523</v>
      </c>
      <c r="AE1066" s="655">
        <v>13186801.83</v>
      </c>
      <c r="AF1066" s="655">
        <v>212718</v>
      </c>
      <c r="AG1066" s="655">
        <v>595332</v>
      </c>
      <c r="AH1066" s="655">
        <v>0</v>
      </c>
      <c r="AI1066" s="805">
        <v>984286</v>
      </c>
      <c r="AJ1066" s="655">
        <v>4069495</v>
      </c>
      <c r="AK1066" s="655">
        <v>19048632.829999998</v>
      </c>
      <c r="AL1066" s="805">
        <v>14530547</v>
      </c>
      <c r="AM1066" s="655">
        <v>4518085.8299999982</v>
      </c>
    </row>
    <row r="1067" spans="1:39" x14ac:dyDescent="0.2">
      <c r="A1067" s="648">
        <v>2016</v>
      </c>
      <c r="B1067" s="648">
        <v>7</v>
      </c>
      <c r="C1067" s="657" t="s">
        <v>141</v>
      </c>
      <c r="D1067" s="648">
        <v>1215</v>
      </c>
      <c r="E1067" s="648" t="s">
        <v>1069</v>
      </c>
      <c r="F1067" s="655">
        <v>2210978</v>
      </c>
      <c r="G1067" s="655">
        <v>0</v>
      </c>
      <c r="H1067" s="655">
        <v>54430</v>
      </c>
      <c r="I1067" s="655">
        <v>291166</v>
      </c>
      <c r="J1067" s="655">
        <v>221036</v>
      </c>
      <c r="K1067" s="655">
        <v>23592</v>
      </c>
      <c r="L1067" s="655">
        <v>24178</v>
      </c>
      <c r="M1067" s="655">
        <v>0</v>
      </c>
      <c r="N1067" s="655">
        <v>111284</v>
      </c>
      <c r="O1067" s="655">
        <v>6510</v>
      </c>
      <c r="P1067" s="655">
        <v>18564</v>
      </c>
      <c r="Q1067" s="655">
        <v>20738</v>
      </c>
      <c r="R1067" s="655">
        <v>0</v>
      </c>
      <c r="S1067" s="655">
        <v>14172</v>
      </c>
      <c r="T1067" s="655">
        <v>1626</v>
      </c>
      <c r="U1067" s="655">
        <v>68464</v>
      </c>
      <c r="V1067" s="655">
        <v>0</v>
      </c>
      <c r="W1067" s="655">
        <v>52346</v>
      </c>
      <c r="X1067" s="655">
        <v>23796.44</v>
      </c>
      <c r="Y1067" s="655">
        <v>0</v>
      </c>
      <c r="Z1067" s="655">
        <v>0</v>
      </c>
      <c r="AA1067" s="655">
        <v>0</v>
      </c>
      <c r="AB1067" s="655">
        <v>0</v>
      </c>
      <c r="AC1067" s="655">
        <v>0</v>
      </c>
      <c r="AD1067" s="655">
        <v>18545</v>
      </c>
      <c r="AE1067" s="655">
        <v>3124335.44</v>
      </c>
      <c r="AF1067" s="655">
        <v>83798</v>
      </c>
      <c r="AG1067" s="655">
        <v>157577</v>
      </c>
      <c r="AH1067" s="655">
        <v>0</v>
      </c>
      <c r="AI1067" s="805">
        <v>357822</v>
      </c>
      <c r="AJ1067" s="655">
        <v>497077</v>
      </c>
      <c r="AK1067" s="655">
        <v>4220609.4399999995</v>
      </c>
      <c r="AL1067" s="805">
        <v>3688667</v>
      </c>
      <c r="AM1067" s="655">
        <v>531942.43999999948</v>
      </c>
    </row>
    <row r="1068" spans="1:39" x14ac:dyDescent="0.2">
      <c r="A1068" s="648">
        <v>2016</v>
      </c>
      <c r="B1068" s="648">
        <v>5</v>
      </c>
      <c r="C1068" s="657" t="s">
        <v>142</v>
      </c>
      <c r="D1068" s="648">
        <v>1218</v>
      </c>
      <c r="E1068" s="648" t="s">
        <v>1070</v>
      </c>
      <c r="F1068" s="655">
        <v>2498120</v>
      </c>
      <c r="G1068" s="655">
        <v>0</v>
      </c>
      <c r="H1068" s="655">
        <v>93719</v>
      </c>
      <c r="I1068" s="655">
        <v>212143</v>
      </c>
      <c r="J1068" s="655">
        <v>232731</v>
      </c>
      <c r="K1068" s="655">
        <v>25559</v>
      </c>
      <c r="L1068" s="655">
        <v>23142</v>
      </c>
      <c r="M1068" s="655">
        <v>0</v>
      </c>
      <c r="N1068" s="655">
        <v>120927</v>
      </c>
      <c r="O1068" s="655">
        <v>4106</v>
      </c>
      <c r="P1068" s="655">
        <v>20546</v>
      </c>
      <c r="Q1068" s="655">
        <v>23077</v>
      </c>
      <c r="R1068" s="655">
        <v>361</v>
      </c>
      <c r="S1068" s="655">
        <v>12879</v>
      </c>
      <c r="T1068" s="655">
        <v>1534</v>
      </c>
      <c r="U1068" s="655">
        <v>123386</v>
      </c>
      <c r="V1068" s="655">
        <v>0</v>
      </c>
      <c r="W1068" s="655">
        <v>101856</v>
      </c>
      <c r="X1068" s="655">
        <v>146482.81</v>
      </c>
      <c r="Y1068" s="655">
        <v>0</v>
      </c>
      <c r="Z1068" s="655">
        <v>0</v>
      </c>
      <c r="AA1068" s="655">
        <v>0</v>
      </c>
      <c r="AB1068" s="655">
        <v>0</v>
      </c>
      <c r="AC1068" s="655">
        <v>0</v>
      </c>
      <c r="AD1068" s="655">
        <v>23296</v>
      </c>
      <c r="AE1068" s="655">
        <v>3617272.81</v>
      </c>
      <c r="AF1068" s="655">
        <v>45122</v>
      </c>
      <c r="AG1068" s="655">
        <v>217486</v>
      </c>
      <c r="AH1068" s="655">
        <v>0</v>
      </c>
      <c r="AI1068" s="805">
        <v>565191</v>
      </c>
      <c r="AJ1068" s="655">
        <v>664546</v>
      </c>
      <c r="AK1068" s="655">
        <v>5109617.8100000005</v>
      </c>
      <c r="AL1068" s="805">
        <v>4336664</v>
      </c>
      <c r="AM1068" s="655">
        <v>772953.81000000052</v>
      </c>
    </row>
    <row r="1069" spans="1:39" x14ac:dyDescent="0.2">
      <c r="A1069" s="648">
        <v>2016</v>
      </c>
      <c r="B1069" s="648">
        <v>10</v>
      </c>
      <c r="C1069" s="657" t="s">
        <v>143</v>
      </c>
      <c r="D1069" s="648">
        <v>1221</v>
      </c>
      <c r="E1069" s="648" t="s">
        <v>2006</v>
      </c>
      <c r="F1069" s="655">
        <v>11924287</v>
      </c>
      <c r="G1069" s="655">
        <v>0</v>
      </c>
      <c r="H1069" s="655">
        <v>189774</v>
      </c>
      <c r="I1069" s="655">
        <v>1474979</v>
      </c>
      <c r="J1069" s="655">
        <v>1026423</v>
      </c>
      <c r="K1069" s="655">
        <v>111388</v>
      </c>
      <c r="L1069" s="655">
        <v>99890</v>
      </c>
      <c r="M1069" s="655">
        <v>0</v>
      </c>
      <c r="N1069" s="655">
        <v>583784</v>
      </c>
      <c r="O1069" s="655">
        <v>0</v>
      </c>
      <c r="P1069" s="655">
        <v>98394</v>
      </c>
      <c r="Q1069" s="655">
        <v>108097</v>
      </c>
      <c r="R1069" s="655">
        <v>0</v>
      </c>
      <c r="S1069" s="655">
        <v>54428</v>
      </c>
      <c r="T1069" s="655">
        <v>6325</v>
      </c>
      <c r="U1069" s="655">
        <v>220383</v>
      </c>
      <c r="V1069" s="655">
        <v>783484</v>
      </c>
      <c r="W1069" s="655">
        <v>366881</v>
      </c>
      <c r="X1069" s="655">
        <v>956958.22</v>
      </c>
      <c r="Y1069" s="655">
        <v>0</v>
      </c>
      <c r="Z1069" s="655">
        <v>0</v>
      </c>
      <c r="AA1069" s="655">
        <v>0</v>
      </c>
      <c r="AB1069" s="655">
        <v>0</v>
      </c>
      <c r="AC1069" s="655">
        <v>0</v>
      </c>
      <c r="AD1069" s="655">
        <v>54531</v>
      </c>
      <c r="AE1069" s="655">
        <v>17950944.219999999</v>
      </c>
      <c r="AF1069" s="655">
        <v>186934</v>
      </c>
      <c r="AG1069" s="655">
        <v>921509</v>
      </c>
      <c r="AH1069" s="655">
        <v>0</v>
      </c>
      <c r="AI1069" s="805">
        <v>4007562</v>
      </c>
      <c r="AJ1069" s="655">
        <v>6998005</v>
      </c>
      <c r="AK1069" s="655">
        <v>30064954.219999999</v>
      </c>
      <c r="AL1069" s="805">
        <v>23655938</v>
      </c>
      <c r="AM1069" s="655">
        <v>6409016.2199999988</v>
      </c>
    </row>
    <row r="1070" spans="1:39" x14ac:dyDescent="0.2">
      <c r="A1070" s="648">
        <v>2016</v>
      </c>
      <c r="B1070" s="648">
        <v>7</v>
      </c>
      <c r="C1070" s="657" t="s">
        <v>144</v>
      </c>
      <c r="D1070" s="648">
        <v>1233</v>
      </c>
      <c r="E1070" s="648" t="s">
        <v>1071</v>
      </c>
      <c r="F1070" s="655">
        <v>7796437</v>
      </c>
      <c r="G1070" s="655">
        <v>155123</v>
      </c>
      <c r="H1070" s="655">
        <v>167944</v>
      </c>
      <c r="I1070" s="655">
        <v>1018339</v>
      </c>
      <c r="J1070" s="655">
        <v>652050</v>
      </c>
      <c r="K1070" s="655">
        <v>71481</v>
      </c>
      <c r="L1070" s="655">
        <v>74388</v>
      </c>
      <c r="M1070" s="655">
        <v>0</v>
      </c>
      <c r="N1070" s="655">
        <v>392043</v>
      </c>
      <c r="O1070" s="655">
        <v>9937</v>
      </c>
      <c r="P1070" s="655">
        <v>66194</v>
      </c>
      <c r="Q1070" s="655">
        <v>73944</v>
      </c>
      <c r="R1070" s="655">
        <v>0</v>
      </c>
      <c r="S1070" s="655">
        <v>50375</v>
      </c>
      <c r="T1070" s="655">
        <v>5783</v>
      </c>
      <c r="U1070" s="655">
        <v>196342</v>
      </c>
      <c r="V1070" s="655">
        <v>0</v>
      </c>
      <c r="W1070" s="655">
        <v>115604</v>
      </c>
      <c r="X1070" s="655">
        <v>435843.7</v>
      </c>
      <c r="Y1070" s="655">
        <v>0</v>
      </c>
      <c r="Z1070" s="655">
        <v>0</v>
      </c>
      <c r="AA1070" s="655">
        <v>0</v>
      </c>
      <c r="AB1070" s="655">
        <v>0</v>
      </c>
      <c r="AC1070" s="655">
        <v>-11904</v>
      </c>
      <c r="AD1070" s="655">
        <v>69828</v>
      </c>
      <c r="AE1070" s="655">
        <v>11200095.699999999</v>
      </c>
      <c r="AF1070" s="655">
        <v>222387</v>
      </c>
      <c r="AG1070" s="655">
        <v>675406</v>
      </c>
      <c r="AH1070" s="655">
        <v>0</v>
      </c>
      <c r="AI1070" s="805">
        <v>1801944</v>
      </c>
      <c r="AJ1070" s="655">
        <v>2247626</v>
      </c>
      <c r="AK1070" s="655">
        <v>16147458.699999999</v>
      </c>
      <c r="AL1070" s="805">
        <v>14435378</v>
      </c>
      <c r="AM1070" s="655">
        <v>1712080.6999999993</v>
      </c>
    </row>
    <row r="1071" spans="1:39" x14ac:dyDescent="0.2">
      <c r="A1071" s="648">
        <v>2016</v>
      </c>
      <c r="B1071" s="648">
        <v>9</v>
      </c>
      <c r="C1071" s="657" t="s">
        <v>145</v>
      </c>
      <c r="D1071" s="648">
        <v>1278</v>
      </c>
      <c r="E1071" s="648" t="s">
        <v>1072</v>
      </c>
      <c r="F1071" s="655">
        <v>24887731</v>
      </c>
      <c r="G1071" s="655">
        <v>106854</v>
      </c>
      <c r="H1071" s="655">
        <v>319439</v>
      </c>
      <c r="I1071" s="655">
        <v>4402874</v>
      </c>
      <c r="J1071" s="655">
        <v>2134740</v>
      </c>
      <c r="K1071" s="655">
        <v>246194</v>
      </c>
      <c r="L1071" s="655">
        <v>287712</v>
      </c>
      <c r="M1071" s="655">
        <v>0</v>
      </c>
      <c r="N1071" s="655">
        <v>1282840</v>
      </c>
      <c r="O1071" s="655">
        <v>49749</v>
      </c>
      <c r="P1071" s="655">
        <v>209569</v>
      </c>
      <c r="Q1071" s="655">
        <v>228632</v>
      </c>
      <c r="R1071" s="655">
        <v>0</v>
      </c>
      <c r="S1071" s="655">
        <v>115731</v>
      </c>
      <c r="T1071" s="655">
        <v>13583</v>
      </c>
      <c r="U1071" s="655">
        <v>933184</v>
      </c>
      <c r="V1071" s="655">
        <v>116747</v>
      </c>
      <c r="W1071" s="655">
        <v>509587</v>
      </c>
      <c r="X1071" s="655">
        <v>2141134.64</v>
      </c>
      <c r="Y1071" s="655">
        <v>0</v>
      </c>
      <c r="Z1071" s="655">
        <v>0</v>
      </c>
      <c r="AA1071" s="655">
        <v>0</v>
      </c>
      <c r="AB1071" s="655">
        <v>0</v>
      </c>
      <c r="AC1071" s="655">
        <v>6412</v>
      </c>
      <c r="AD1071" s="655">
        <v>219420</v>
      </c>
      <c r="AE1071" s="655">
        <v>37773292.640000001</v>
      </c>
      <c r="AF1071" s="655">
        <v>757405</v>
      </c>
      <c r="AG1071" s="655">
        <v>1668889</v>
      </c>
      <c r="AH1071" s="655">
        <v>0</v>
      </c>
      <c r="AI1071" s="805">
        <v>4975306</v>
      </c>
      <c r="AJ1071" s="655">
        <v>3024901</v>
      </c>
      <c r="AK1071" s="655">
        <v>48199793.640000001</v>
      </c>
      <c r="AL1071" s="805">
        <v>44162300</v>
      </c>
      <c r="AM1071" s="655">
        <v>4037493.6400000006</v>
      </c>
    </row>
    <row r="1072" spans="1:39" x14ac:dyDescent="0.2">
      <c r="A1072" s="648">
        <v>2016</v>
      </c>
      <c r="B1072" s="648">
        <v>11</v>
      </c>
      <c r="C1072" s="657" t="s">
        <v>146</v>
      </c>
      <c r="D1072" s="648">
        <v>1332</v>
      </c>
      <c r="E1072" s="648" t="s">
        <v>1073</v>
      </c>
      <c r="F1072" s="655">
        <v>4810650</v>
      </c>
      <c r="G1072" s="655">
        <v>0</v>
      </c>
      <c r="H1072" s="655">
        <v>51613</v>
      </c>
      <c r="I1072" s="655">
        <v>411964</v>
      </c>
      <c r="J1072" s="655">
        <v>414249</v>
      </c>
      <c r="K1072" s="655">
        <v>40278</v>
      </c>
      <c r="L1072" s="655">
        <v>47442</v>
      </c>
      <c r="M1072" s="655">
        <v>0</v>
      </c>
      <c r="N1072" s="655">
        <v>223059</v>
      </c>
      <c r="O1072" s="655">
        <v>11829</v>
      </c>
      <c r="P1072" s="655">
        <v>39458</v>
      </c>
      <c r="Q1072" s="655">
        <v>43313</v>
      </c>
      <c r="R1072" s="655">
        <v>0</v>
      </c>
      <c r="S1072" s="655">
        <v>18278</v>
      </c>
      <c r="T1072" s="655">
        <v>2325</v>
      </c>
      <c r="U1072" s="655">
        <v>175766</v>
      </c>
      <c r="V1072" s="655">
        <v>28016</v>
      </c>
      <c r="W1072" s="655">
        <v>89124</v>
      </c>
      <c r="X1072" s="655">
        <v>318442.12</v>
      </c>
      <c r="Y1072" s="655">
        <v>0</v>
      </c>
      <c r="Z1072" s="655">
        <v>0</v>
      </c>
      <c r="AA1072" s="655">
        <v>0</v>
      </c>
      <c r="AB1072" s="655">
        <v>0</v>
      </c>
      <c r="AC1072" s="655">
        <v>0</v>
      </c>
      <c r="AD1072" s="655">
        <v>41179</v>
      </c>
      <c r="AE1072" s="655">
        <v>6684627.1200000001</v>
      </c>
      <c r="AF1072" s="655">
        <v>125697</v>
      </c>
      <c r="AG1072" s="655">
        <v>319331</v>
      </c>
      <c r="AH1072" s="655">
        <v>0</v>
      </c>
      <c r="AI1072" s="805">
        <v>544737</v>
      </c>
      <c r="AJ1072" s="655">
        <v>722797</v>
      </c>
      <c r="AK1072" s="655">
        <v>8397189.120000001</v>
      </c>
      <c r="AL1072" s="805">
        <v>7718524</v>
      </c>
      <c r="AM1072" s="655">
        <v>678665.12000000104</v>
      </c>
    </row>
    <row r="1073" spans="1:39" x14ac:dyDescent="0.2">
      <c r="A1073" s="648">
        <v>2016</v>
      </c>
      <c r="B1073" s="648">
        <v>10</v>
      </c>
      <c r="C1073" s="657" t="s">
        <v>147</v>
      </c>
      <c r="D1073" s="648">
        <v>1337</v>
      </c>
      <c r="E1073" s="648" t="s">
        <v>1074</v>
      </c>
      <c r="F1073" s="655">
        <v>30946601</v>
      </c>
      <c r="G1073" s="655">
        <v>0</v>
      </c>
      <c r="H1073" s="655">
        <v>367396</v>
      </c>
      <c r="I1073" s="655">
        <v>2981404</v>
      </c>
      <c r="J1073" s="655">
        <v>2527962</v>
      </c>
      <c r="K1073" s="655">
        <v>313595</v>
      </c>
      <c r="L1073" s="655">
        <v>327565</v>
      </c>
      <c r="M1073" s="655">
        <v>0</v>
      </c>
      <c r="N1073" s="655">
        <v>1486442</v>
      </c>
      <c r="O1073" s="655">
        <v>0</v>
      </c>
      <c r="P1073" s="655">
        <v>260961</v>
      </c>
      <c r="Q1073" s="655">
        <v>286696</v>
      </c>
      <c r="R1073" s="655">
        <v>0</v>
      </c>
      <c r="S1073" s="655">
        <v>138586</v>
      </c>
      <c r="T1073" s="655">
        <v>16106</v>
      </c>
      <c r="U1073" s="655">
        <v>1343473</v>
      </c>
      <c r="V1073" s="655">
        <v>210956</v>
      </c>
      <c r="W1073" s="655">
        <v>985464</v>
      </c>
      <c r="X1073" s="655">
        <v>2274555.34</v>
      </c>
      <c r="Y1073" s="655">
        <v>0</v>
      </c>
      <c r="Z1073" s="655">
        <v>0</v>
      </c>
      <c r="AA1073" s="655">
        <v>0</v>
      </c>
      <c r="AB1073" s="655">
        <v>0</v>
      </c>
      <c r="AC1073" s="655">
        <v>0</v>
      </c>
      <c r="AD1073" s="655">
        <v>142066</v>
      </c>
      <c r="AE1073" s="655">
        <v>44325696.340000004</v>
      </c>
      <c r="AF1073" s="655">
        <v>883102</v>
      </c>
      <c r="AG1073" s="655">
        <v>2467682</v>
      </c>
      <c r="AH1073" s="655">
        <v>0</v>
      </c>
      <c r="AI1073" s="805">
        <v>9067365</v>
      </c>
      <c r="AJ1073" s="655">
        <v>7555945</v>
      </c>
      <c r="AK1073" s="655">
        <v>64299790.340000004</v>
      </c>
      <c r="AL1073" s="805">
        <v>57968118</v>
      </c>
      <c r="AM1073" s="655">
        <v>6331672.3400000036</v>
      </c>
    </row>
    <row r="1074" spans="1:39" x14ac:dyDescent="0.2">
      <c r="A1074" s="648">
        <v>2016</v>
      </c>
      <c r="B1074" s="648">
        <v>11</v>
      </c>
      <c r="C1074" s="657" t="s">
        <v>148</v>
      </c>
      <c r="D1074" s="648">
        <v>1350</v>
      </c>
      <c r="E1074" s="648" t="s">
        <v>1075</v>
      </c>
      <c r="F1074" s="655">
        <v>3085700</v>
      </c>
      <c r="G1074" s="655">
        <v>50688</v>
      </c>
      <c r="H1074" s="655">
        <v>21336</v>
      </c>
      <c r="I1074" s="655">
        <v>310310</v>
      </c>
      <c r="J1074" s="655">
        <v>276734</v>
      </c>
      <c r="K1074" s="655">
        <v>28092</v>
      </c>
      <c r="L1074" s="655">
        <v>30697</v>
      </c>
      <c r="M1074" s="655">
        <v>0</v>
      </c>
      <c r="N1074" s="655">
        <v>145044</v>
      </c>
      <c r="O1074" s="655">
        <v>2671</v>
      </c>
      <c r="P1074" s="655">
        <v>25358</v>
      </c>
      <c r="Q1074" s="655">
        <v>27836</v>
      </c>
      <c r="R1074" s="655">
        <v>0</v>
      </c>
      <c r="S1074" s="655">
        <v>12064</v>
      </c>
      <c r="T1074" s="655">
        <v>1538</v>
      </c>
      <c r="U1074" s="655">
        <v>18874</v>
      </c>
      <c r="V1074" s="655">
        <v>0</v>
      </c>
      <c r="W1074" s="655">
        <v>121370</v>
      </c>
      <c r="X1074" s="655">
        <v>111161.05</v>
      </c>
      <c r="Y1074" s="655">
        <v>0</v>
      </c>
      <c r="Z1074" s="655">
        <v>0</v>
      </c>
      <c r="AA1074" s="655">
        <v>0</v>
      </c>
      <c r="AB1074" s="655">
        <v>0</v>
      </c>
      <c r="AC1074" s="655">
        <v>-6366</v>
      </c>
      <c r="AD1074" s="655">
        <v>23962</v>
      </c>
      <c r="AE1074" s="655">
        <v>4239145.05</v>
      </c>
      <c r="AF1074" s="655">
        <v>64460</v>
      </c>
      <c r="AG1074" s="655">
        <v>232689</v>
      </c>
      <c r="AH1074" s="655">
        <v>0</v>
      </c>
      <c r="AI1074" s="805">
        <v>560616</v>
      </c>
      <c r="AJ1074" s="655">
        <v>3446516</v>
      </c>
      <c r="AK1074" s="655">
        <v>8543426.0500000007</v>
      </c>
      <c r="AL1074" s="805">
        <v>5157588</v>
      </c>
      <c r="AM1074" s="655">
        <v>3385838.0500000007</v>
      </c>
    </row>
    <row r="1075" spans="1:39" x14ac:dyDescent="0.2">
      <c r="A1075" s="648">
        <v>2016</v>
      </c>
      <c r="B1075" s="648">
        <v>11</v>
      </c>
      <c r="C1075" s="657" t="s">
        <v>149</v>
      </c>
      <c r="D1075" s="648">
        <v>1359</v>
      </c>
      <c r="E1075" s="648" t="s">
        <v>1076</v>
      </c>
      <c r="F1075" s="655">
        <v>3380699</v>
      </c>
      <c r="G1075" s="655">
        <v>26427</v>
      </c>
      <c r="H1075" s="655">
        <v>20287</v>
      </c>
      <c r="I1075" s="655">
        <v>279914</v>
      </c>
      <c r="J1075" s="655">
        <v>315943</v>
      </c>
      <c r="K1075" s="655">
        <v>31424</v>
      </c>
      <c r="L1075" s="655">
        <v>33311</v>
      </c>
      <c r="M1075" s="655">
        <v>163407</v>
      </c>
      <c r="N1075" s="655">
        <v>155790</v>
      </c>
      <c r="O1075" s="655">
        <v>0</v>
      </c>
      <c r="P1075" s="655">
        <v>27515</v>
      </c>
      <c r="Q1075" s="655">
        <v>30203</v>
      </c>
      <c r="R1075" s="655">
        <v>0</v>
      </c>
      <c r="S1075" s="655">
        <v>12766</v>
      </c>
      <c r="T1075" s="655">
        <v>1624</v>
      </c>
      <c r="U1075" s="655">
        <v>82834</v>
      </c>
      <c r="V1075" s="655">
        <v>0</v>
      </c>
      <c r="W1075" s="655">
        <v>186524</v>
      </c>
      <c r="X1075" s="655">
        <v>63307.360000000001</v>
      </c>
      <c r="Y1075" s="655">
        <v>0</v>
      </c>
      <c r="Z1075" s="655">
        <v>0</v>
      </c>
      <c r="AA1075" s="655">
        <v>0</v>
      </c>
      <c r="AB1075" s="655">
        <v>0</v>
      </c>
      <c r="AC1075" s="655">
        <v>0</v>
      </c>
      <c r="AD1075" s="655">
        <v>26655</v>
      </c>
      <c r="AE1075" s="655">
        <v>4785320.3600000003</v>
      </c>
      <c r="AF1075" s="655">
        <v>67683</v>
      </c>
      <c r="AG1075" s="655">
        <v>282144</v>
      </c>
      <c r="AH1075" s="655">
        <v>0</v>
      </c>
      <c r="AI1075" s="805">
        <v>471687</v>
      </c>
      <c r="AJ1075" s="655">
        <v>261949</v>
      </c>
      <c r="AK1075" s="655">
        <v>5868783.3600000003</v>
      </c>
      <c r="AL1075" s="805">
        <v>5555569</v>
      </c>
      <c r="AM1075" s="655">
        <v>313214.36000000034</v>
      </c>
    </row>
    <row r="1076" spans="1:39" x14ac:dyDescent="0.2">
      <c r="A1076" s="648">
        <v>2016</v>
      </c>
      <c r="B1076" s="648">
        <v>9</v>
      </c>
      <c r="C1076" s="657" t="s">
        <v>150</v>
      </c>
      <c r="D1076" s="648">
        <v>1368</v>
      </c>
      <c r="E1076" s="648" t="s">
        <v>1077</v>
      </c>
      <c r="F1076" s="655">
        <v>5260581</v>
      </c>
      <c r="G1076" s="655">
        <v>0</v>
      </c>
      <c r="H1076" s="655">
        <v>280730</v>
      </c>
      <c r="I1076" s="655">
        <v>772811</v>
      </c>
      <c r="J1076" s="655">
        <v>482013</v>
      </c>
      <c r="K1076" s="655">
        <v>57511</v>
      </c>
      <c r="L1076" s="655">
        <v>59518</v>
      </c>
      <c r="M1076" s="655">
        <v>0</v>
      </c>
      <c r="N1076" s="655">
        <v>266130</v>
      </c>
      <c r="O1076" s="655">
        <v>32943</v>
      </c>
      <c r="P1076" s="655">
        <v>42881</v>
      </c>
      <c r="Q1076" s="655">
        <v>46781</v>
      </c>
      <c r="R1076" s="655">
        <v>0</v>
      </c>
      <c r="S1076" s="655">
        <v>23943</v>
      </c>
      <c r="T1076" s="655">
        <v>2808</v>
      </c>
      <c r="U1076" s="655">
        <v>0</v>
      </c>
      <c r="V1076" s="655">
        <v>366654</v>
      </c>
      <c r="W1076" s="655">
        <v>205782</v>
      </c>
      <c r="X1076" s="655">
        <v>74557.53</v>
      </c>
      <c r="Y1076" s="655">
        <v>0</v>
      </c>
      <c r="Z1076" s="655">
        <v>0</v>
      </c>
      <c r="AA1076" s="655">
        <v>0</v>
      </c>
      <c r="AB1076" s="655">
        <v>0</v>
      </c>
      <c r="AC1076" s="655">
        <v>-4456</v>
      </c>
      <c r="AD1076" s="655">
        <v>48308</v>
      </c>
      <c r="AE1076" s="655">
        <v>7922879.5300000003</v>
      </c>
      <c r="AF1076" s="655">
        <v>141812</v>
      </c>
      <c r="AG1076" s="655">
        <v>370818</v>
      </c>
      <c r="AH1076" s="655">
        <v>0</v>
      </c>
      <c r="AI1076" s="805">
        <v>787203</v>
      </c>
      <c r="AJ1076" s="655">
        <v>-366654</v>
      </c>
      <c r="AK1076" s="655">
        <v>8856058.5300000012</v>
      </c>
      <c r="AL1076" s="805">
        <v>8382203</v>
      </c>
      <c r="AM1076" s="655">
        <v>473855.53000000119</v>
      </c>
    </row>
    <row r="1077" spans="1:39" x14ac:dyDescent="0.2">
      <c r="A1077" s="648">
        <v>2016</v>
      </c>
      <c r="B1077" s="648">
        <v>11</v>
      </c>
      <c r="C1077" s="657" t="s">
        <v>151</v>
      </c>
      <c r="D1077" s="648">
        <v>1413</v>
      </c>
      <c r="E1077" s="648" t="s">
        <v>638</v>
      </c>
      <c r="F1077" s="655">
        <v>2574567</v>
      </c>
      <c r="G1077" s="655">
        <v>63921</v>
      </c>
      <c r="H1077" s="655">
        <v>98546</v>
      </c>
      <c r="I1077" s="655">
        <v>279279</v>
      </c>
      <c r="J1077" s="655">
        <v>250780</v>
      </c>
      <c r="K1077" s="655">
        <v>26733</v>
      </c>
      <c r="L1077" s="655">
        <v>28683</v>
      </c>
      <c r="M1077" s="655">
        <v>0</v>
      </c>
      <c r="N1077" s="655">
        <v>119171</v>
      </c>
      <c r="O1077" s="655">
        <v>16919</v>
      </c>
      <c r="P1077" s="655">
        <v>20676</v>
      </c>
      <c r="Q1077" s="655">
        <v>22696</v>
      </c>
      <c r="R1077" s="655">
        <v>0</v>
      </c>
      <c r="S1077" s="655">
        <v>9950</v>
      </c>
      <c r="T1077" s="655">
        <v>1268</v>
      </c>
      <c r="U1077" s="655">
        <v>81559</v>
      </c>
      <c r="V1077" s="655">
        <v>0</v>
      </c>
      <c r="W1077" s="655">
        <v>68039</v>
      </c>
      <c r="X1077" s="655">
        <v>193656.85</v>
      </c>
      <c r="Y1077" s="655">
        <v>0</v>
      </c>
      <c r="Z1077" s="655">
        <v>0</v>
      </c>
      <c r="AA1077" s="655">
        <v>0</v>
      </c>
      <c r="AB1077" s="655">
        <v>0</v>
      </c>
      <c r="AC1077" s="655">
        <v>0</v>
      </c>
      <c r="AD1077" s="655">
        <v>24283</v>
      </c>
      <c r="AE1077" s="655">
        <v>3832160.85</v>
      </c>
      <c r="AF1077" s="655">
        <v>109582</v>
      </c>
      <c r="AG1077" s="655">
        <v>222609</v>
      </c>
      <c r="AH1077" s="655">
        <v>0</v>
      </c>
      <c r="AI1077" s="805">
        <v>438390</v>
      </c>
      <c r="AJ1077" s="655">
        <v>708580</v>
      </c>
      <c r="AK1077" s="655">
        <v>5311321.8499999996</v>
      </c>
      <c r="AL1077" s="805">
        <v>4269082</v>
      </c>
      <c r="AM1077" s="655">
        <v>1042239.8499999996</v>
      </c>
    </row>
    <row r="1078" spans="1:39" x14ac:dyDescent="0.2">
      <c r="A1078" s="648">
        <v>2016</v>
      </c>
      <c r="B1078" s="648">
        <v>13</v>
      </c>
      <c r="C1078" s="657" t="s">
        <v>152</v>
      </c>
      <c r="D1078" s="648">
        <v>1431</v>
      </c>
      <c r="E1078" s="648" t="s">
        <v>1078</v>
      </c>
      <c r="F1078" s="655">
        <v>2639405</v>
      </c>
      <c r="G1078" s="655">
        <v>67388</v>
      </c>
      <c r="H1078" s="655">
        <v>182713</v>
      </c>
      <c r="I1078" s="655">
        <v>370685</v>
      </c>
      <c r="J1078" s="655">
        <v>263954</v>
      </c>
      <c r="K1078" s="655">
        <v>26474</v>
      </c>
      <c r="L1078" s="655">
        <v>31468</v>
      </c>
      <c r="M1078" s="655">
        <v>0</v>
      </c>
      <c r="N1078" s="655">
        <v>131367</v>
      </c>
      <c r="O1078" s="655">
        <v>20183</v>
      </c>
      <c r="P1078" s="655">
        <v>21465</v>
      </c>
      <c r="Q1078" s="655">
        <v>23740</v>
      </c>
      <c r="R1078" s="655">
        <v>0</v>
      </c>
      <c r="S1078" s="655">
        <v>13490</v>
      </c>
      <c r="T1078" s="655">
        <v>1432</v>
      </c>
      <c r="U1078" s="655">
        <v>117310</v>
      </c>
      <c r="V1078" s="655">
        <v>0</v>
      </c>
      <c r="W1078" s="655">
        <v>97395</v>
      </c>
      <c r="X1078" s="655">
        <v>211447.74</v>
      </c>
      <c r="Y1078" s="655">
        <v>0</v>
      </c>
      <c r="Z1078" s="655">
        <v>0</v>
      </c>
      <c r="AA1078" s="655">
        <v>0</v>
      </c>
      <c r="AB1078" s="655">
        <v>0</v>
      </c>
      <c r="AC1078" s="655">
        <v>55793</v>
      </c>
      <c r="AD1078" s="655">
        <v>28933</v>
      </c>
      <c r="AE1078" s="655">
        <v>4246776.74</v>
      </c>
      <c r="AF1078" s="655">
        <v>83798</v>
      </c>
      <c r="AG1078" s="655">
        <v>225394</v>
      </c>
      <c r="AH1078" s="655">
        <v>0</v>
      </c>
      <c r="AI1078" s="805">
        <v>1396291</v>
      </c>
      <c r="AJ1078" s="655">
        <v>2526405</v>
      </c>
      <c r="AK1078" s="655">
        <v>8478664.7400000002</v>
      </c>
      <c r="AL1078" s="805">
        <v>5974758</v>
      </c>
      <c r="AM1078" s="655">
        <v>2503906.7400000002</v>
      </c>
    </row>
    <row r="1079" spans="1:39" x14ac:dyDescent="0.2">
      <c r="A1079" s="648">
        <v>2016</v>
      </c>
      <c r="B1079" s="648">
        <v>13</v>
      </c>
      <c r="C1079" s="657" t="s">
        <v>153</v>
      </c>
      <c r="D1079" s="648">
        <v>1476</v>
      </c>
      <c r="E1079" s="648" t="s">
        <v>1079</v>
      </c>
      <c r="F1079" s="655">
        <v>59296273</v>
      </c>
      <c r="G1079" s="655">
        <v>0</v>
      </c>
      <c r="H1079" s="655">
        <v>1401201</v>
      </c>
      <c r="I1079" s="655">
        <v>11659374</v>
      </c>
      <c r="J1079" s="655">
        <v>4847914</v>
      </c>
      <c r="K1079" s="655">
        <v>563383</v>
      </c>
      <c r="L1079" s="655">
        <v>725845</v>
      </c>
      <c r="M1079" s="655">
        <v>2845857</v>
      </c>
      <c r="N1079" s="655">
        <v>3086217</v>
      </c>
      <c r="O1079" s="655">
        <v>0</v>
      </c>
      <c r="P1079" s="655">
        <v>500555</v>
      </c>
      <c r="Q1079" s="655">
        <v>553610</v>
      </c>
      <c r="R1079" s="655">
        <v>0</v>
      </c>
      <c r="S1079" s="655">
        <v>316932</v>
      </c>
      <c r="T1079" s="655">
        <v>33654</v>
      </c>
      <c r="U1079" s="655">
        <v>1878374</v>
      </c>
      <c r="V1079" s="655">
        <v>0</v>
      </c>
      <c r="W1079" s="655">
        <v>1145052</v>
      </c>
      <c r="X1079" s="655">
        <v>2660209.54</v>
      </c>
      <c r="Y1079" s="655">
        <v>0</v>
      </c>
      <c r="Z1079" s="655">
        <v>0</v>
      </c>
      <c r="AA1079" s="655">
        <v>0</v>
      </c>
      <c r="AB1079" s="655">
        <v>0</v>
      </c>
      <c r="AC1079" s="655">
        <v>-6435</v>
      </c>
      <c r="AD1079" s="655">
        <v>450650</v>
      </c>
      <c r="AE1079" s="655">
        <v>91057365.540000007</v>
      </c>
      <c r="AF1079" s="655">
        <v>1121604</v>
      </c>
      <c r="AG1079" s="655">
        <v>3901102</v>
      </c>
      <c r="AH1079" s="655">
        <v>0</v>
      </c>
      <c r="AI1079" s="805">
        <v>12761464</v>
      </c>
      <c r="AJ1079" s="655">
        <v>14420425</v>
      </c>
      <c r="AK1079" s="655">
        <v>123261960.54000001</v>
      </c>
      <c r="AL1079" s="805">
        <v>111842856</v>
      </c>
      <c r="AM1079" s="655">
        <v>11419104.540000007</v>
      </c>
    </row>
    <row r="1080" spans="1:39" x14ac:dyDescent="0.2">
      <c r="A1080" s="648">
        <v>2016</v>
      </c>
      <c r="B1080" s="648">
        <v>13</v>
      </c>
      <c r="C1080" s="657" t="s">
        <v>154</v>
      </c>
      <c r="D1080" s="648">
        <v>1503</v>
      </c>
      <c r="E1080" s="648" t="s">
        <v>1080</v>
      </c>
      <c r="F1080" s="655">
        <v>9595690</v>
      </c>
      <c r="G1080" s="655">
        <v>161707</v>
      </c>
      <c r="H1080" s="655">
        <v>442652</v>
      </c>
      <c r="I1080" s="655">
        <v>1076362</v>
      </c>
      <c r="J1080" s="655">
        <v>852033</v>
      </c>
      <c r="K1080" s="655">
        <v>93005</v>
      </c>
      <c r="L1080" s="655">
        <v>106699</v>
      </c>
      <c r="M1080" s="655">
        <v>0</v>
      </c>
      <c r="N1080" s="655">
        <v>468362</v>
      </c>
      <c r="O1080" s="655">
        <v>6165</v>
      </c>
      <c r="P1080" s="655">
        <v>84384</v>
      </c>
      <c r="Q1080" s="655">
        <v>93328</v>
      </c>
      <c r="R1080" s="655">
        <v>0</v>
      </c>
      <c r="S1080" s="655">
        <v>48728</v>
      </c>
      <c r="T1080" s="655">
        <v>5171</v>
      </c>
      <c r="U1080" s="655">
        <v>134323</v>
      </c>
      <c r="V1080" s="655">
        <v>91321</v>
      </c>
      <c r="W1080" s="655">
        <v>162912</v>
      </c>
      <c r="X1080" s="655">
        <v>629597.91</v>
      </c>
      <c r="Y1080" s="655">
        <v>0</v>
      </c>
      <c r="Z1080" s="655">
        <v>0</v>
      </c>
      <c r="AA1080" s="655">
        <v>0</v>
      </c>
      <c r="AB1080" s="655">
        <v>0</v>
      </c>
      <c r="AC1080" s="655">
        <v>-18363</v>
      </c>
      <c r="AD1080" s="655">
        <v>73855</v>
      </c>
      <c r="AE1080" s="655">
        <v>13960221.91</v>
      </c>
      <c r="AF1080" s="655">
        <v>435105</v>
      </c>
      <c r="AG1080" s="655">
        <v>0</v>
      </c>
      <c r="AH1080" s="655">
        <v>0</v>
      </c>
      <c r="AI1080" s="805">
        <v>1879536</v>
      </c>
      <c r="AJ1080" s="655">
        <v>2972595</v>
      </c>
      <c r="AK1080" s="655">
        <v>19247457.91</v>
      </c>
      <c r="AL1080" s="805">
        <v>16903840</v>
      </c>
      <c r="AM1080" s="655">
        <v>2343617.91</v>
      </c>
    </row>
    <row r="1081" spans="1:39" x14ac:dyDescent="0.2">
      <c r="A1081" s="648">
        <v>2016</v>
      </c>
      <c r="B1081" s="648">
        <v>11</v>
      </c>
      <c r="C1081" s="657" t="s">
        <v>155</v>
      </c>
      <c r="D1081" s="648">
        <v>1576</v>
      </c>
      <c r="E1081" s="648" t="s">
        <v>1081</v>
      </c>
      <c r="F1081" s="655">
        <v>15157769</v>
      </c>
      <c r="G1081" s="655">
        <v>0</v>
      </c>
      <c r="H1081" s="655">
        <v>164708</v>
      </c>
      <c r="I1081" s="655">
        <v>1107358</v>
      </c>
      <c r="J1081" s="655">
        <v>1244414</v>
      </c>
      <c r="K1081" s="655">
        <v>130743</v>
      </c>
      <c r="L1081" s="655">
        <v>147416</v>
      </c>
      <c r="M1081" s="655">
        <v>0</v>
      </c>
      <c r="N1081" s="655">
        <v>694687</v>
      </c>
      <c r="O1081" s="655">
        <v>0</v>
      </c>
      <c r="P1081" s="655">
        <v>127106</v>
      </c>
      <c r="Q1081" s="655">
        <v>139524</v>
      </c>
      <c r="R1081" s="655">
        <v>0</v>
      </c>
      <c r="S1081" s="655">
        <v>56925</v>
      </c>
      <c r="T1081" s="655">
        <v>7242</v>
      </c>
      <c r="U1081" s="655">
        <v>748482</v>
      </c>
      <c r="V1081" s="655">
        <v>92527</v>
      </c>
      <c r="W1081" s="655">
        <v>847649</v>
      </c>
      <c r="X1081" s="655">
        <v>885262.34</v>
      </c>
      <c r="Y1081" s="655">
        <v>0</v>
      </c>
      <c r="Z1081" s="655">
        <v>0</v>
      </c>
      <c r="AA1081" s="655">
        <v>0</v>
      </c>
      <c r="AB1081" s="655">
        <v>0</v>
      </c>
      <c r="AC1081" s="655">
        <v>-6366</v>
      </c>
      <c r="AD1081" s="655">
        <v>64515</v>
      </c>
      <c r="AE1081" s="655">
        <v>21480931.34</v>
      </c>
      <c r="AF1081" s="655">
        <v>525349</v>
      </c>
      <c r="AG1081" s="655">
        <v>1106517</v>
      </c>
      <c r="AH1081" s="655">
        <v>0</v>
      </c>
      <c r="AI1081" s="805">
        <v>4687703</v>
      </c>
      <c r="AJ1081" s="655">
        <v>9986179</v>
      </c>
      <c r="AK1081" s="655">
        <v>37786679.340000004</v>
      </c>
      <c r="AL1081" s="805">
        <v>26270714</v>
      </c>
      <c r="AM1081" s="655">
        <v>11515965.340000004</v>
      </c>
    </row>
    <row r="1082" spans="1:39" x14ac:dyDescent="0.2">
      <c r="A1082" s="648">
        <v>2016</v>
      </c>
      <c r="B1082" s="648">
        <v>15</v>
      </c>
      <c r="C1082" s="657" t="s">
        <v>156</v>
      </c>
      <c r="D1082" s="648">
        <v>1602</v>
      </c>
      <c r="E1082" s="648" t="s">
        <v>1082</v>
      </c>
      <c r="F1082" s="655">
        <v>3192059</v>
      </c>
      <c r="G1082" s="655">
        <v>0</v>
      </c>
      <c r="H1082" s="655">
        <v>25417</v>
      </c>
      <c r="I1082" s="655">
        <v>231218</v>
      </c>
      <c r="J1082" s="655">
        <v>282472</v>
      </c>
      <c r="K1082" s="655">
        <v>30603</v>
      </c>
      <c r="L1082" s="655">
        <v>34154</v>
      </c>
      <c r="M1082" s="655">
        <v>0</v>
      </c>
      <c r="N1082" s="655">
        <v>149087</v>
      </c>
      <c r="O1082" s="655">
        <v>0</v>
      </c>
      <c r="P1082" s="655">
        <v>26250</v>
      </c>
      <c r="Q1082" s="655">
        <v>28834</v>
      </c>
      <c r="R1082" s="655">
        <v>399</v>
      </c>
      <c r="S1082" s="655">
        <v>14928</v>
      </c>
      <c r="T1082" s="655">
        <v>1614</v>
      </c>
      <c r="U1082" s="655">
        <v>120816</v>
      </c>
      <c r="V1082" s="655">
        <v>0</v>
      </c>
      <c r="W1082" s="655">
        <v>105070</v>
      </c>
      <c r="X1082" s="655">
        <v>156694.71</v>
      </c>
      <c r="Y1082" s="655">
        <v>0</v>
      </c>
      <c r="Z1082" s="655">
        <v>0</v>
      </c>
      <c r="AA1082" s="655">
        <v>0</v>
      </c>
      <c r="AB1082" s="655">
        <v>0</v>
      </c>
      <c r="AC1082" s="655">
        <v>-12732</v>
      </c>
      <c r="AD1082" s="655">
        <v>20792</v>
      </c>
      <c r="AE1082" s="655">
        <v>4366091.71</v>
      </c>
      <c r="AF1082" s="655">
        <v>109582</v>
      </c>
      <c r="AG1082" s="655">
        <v>220316</v>
      </c>
      <c r="AH1082" s="655">
        <v>0</v>
      </c>
      <c r="AI1082" s="805">
        <v>1417025</v>
      </c>
      <c r="AJ1082" s="655">
        <v>783602</v>
      </c>
      <c r="AK1082" s="655">
        <v>6896616.71</v>
      </c>
      <c r="AL1082" s="805">
        <v>6214377</v>
      </c>
      <c r="AM1082" s="655">
        <v>682239.71</v>
      </c>
    </row>
    <row r="1083" spans="1:39" x14ac:dyDescent="0.2">
      <c r="A1083" s="648">
        <v>2016</v>
      </c>
      <c r="B1083" s="648">
        <v>9</v>
      </c>
      <c r="C1083" s="657" t="s">
        <v>157</v>
      </c>
      <c r="D1083" s="648">
        <v>1611</v>
      </c>
      <c r="E1083" s="648" t="s">
        <v>1083</v>
      </c>
      <c r="F1083" s="655">
        <v>101996992</v>
      </c>
      <c r="G1083" s="655">
        <v>756048</v>
      </c>
      <c r="H1083" s="655">
        <v>1468006</v>
      </c>
      <c r="I1083" s="655">
        <v>15837113</v>
      </c>
      <c r="J1083" s="655">
        <v>8592685</v>
      </c>
      <c r="K1083" s="655">
        <v>1062851</v>
      </c>
      <c r="L1083" s="655">
        <v>1255737</v>
      </c>
      <c r="M1083" s="655">
        <v>4947629</v>
      </c>
      <c r="N1083" s="655">
        <v>5197606</v>
      </c>
      <c r="O1083" s="655">
        <v>0</v>
      </c>
      <c r="P1083" s="655">
        <v>940225</v>
      </c>
      <c r="Q1083" s="655">
        <v>1025748</v>
      </c>
      <c r="R1083" s="655">
        <v>0</v>
      </c>
      <c r="S1083" s="655">
        <v>467607</v>
      </c>
      <c r="T1083" s="655">
        <v>54841</v>
      </c>
      <c r="U1083" s="655">
        <v>5036556</v>
      </c>
      <c r="V1083" s="655">
        <v>1183170</v>
      </c>
      <c r="W1083" s="655">
        <v>1074177</v>
      </c>
      <c r="X1083" s="655">
        <v>1408821.91</v>
      </c>
      <c r="Y1083" s="655">
        <v>0</v>
      </c>
      <c r="Z1083" s="655">
        <v>0</v>
      </c>
      <c r="AA1083" s="655">
        <v>0</v>
      </c>
      <c r="AB1083" s="655">
        <v>0</v>
      </c>
      <c r="AC1083" s="655">
        <v>-114588</v>
      </c>
      <c r="AD1083" s="655">
        <v>800370</v>
      </c>
      <c r="AE1083" s="655">
        <v>151390854.91</v>
      </c>
      <c r="AF1083" s="655">
        <v>2572074</v>
      </c>
      <c r="AG1083" s="655">
        <v>7238952</v>
      </c>
      <c r="AH1083" s="655">
        <v>0</v>
      </c>
      <c r="AI1083" s="805">
        <v>20495859</v>
      </c>
      <c r="AJ1083" s="655">
        <v>8054737</v>
      </c>
      <c r="AK1083" s="655">
        <v>189752476.91</v>
      </c>
      <c r="AL1083" s="805">
        <v>192159099</v>
      </c>
      <c r="AM1083" s="655">
        <v>-2406622.0900000036</v>
      </c>
    </row>
    <row r="1084" spans="1:39" x14ac:dyDescent="0.2">
      <c r="A1084" s="648">
        <v>2016</v>
      </c>
      <c r="B1084" s="648">
        <v>15</v>
      </c>
      <c r="C1084" s="657" t="s">
        <v>158</v>
      </c>
      <c r="D1084" s="648">
        <v>1619</v>
      </c>
      <c r="E1084" s="648" t="s">
        <v>1084</v>
      </c>
      <c r="F1084" s="655">
        <v>7538597</v>
      </c>
      <c r="G1084" s="655">
        <v>61261</v>
      </c>
      <c r="H1084" s="655">
        <v>137036</v>
      </c>
      <c r="I1084" s="655">
        <v>589551</v>
      </c>
      <c r="J1084" s="655">
        <v>654534</v>
      </c>
      <c r="K1084" s="655">
        <v>72006</v>
      </c>
      <c r="L1084" s="655">
        <v>72415</v>
      </c>
      <c r="M1084" s="655">
        <v>0</v>
      </c>
      <c r="N1084" s="655">
        <v>353989</v>
      </c>
      <c r="O1084" s="655">
        <v>0</v>
      </c>
      <c r="P1084" s="655">
        <v>61671</v>
      </c>
      <c r="Q1084" s="655">
        <v>67743</v>
      </c>
      <c r="R1084" s="655">
        <v>946</v>
      </c>
      <c r="S1084" s="655">
        <v>35446</v>
      </c>
      <c r="T1084" s="655">
        <v>3833</v>
      </c>
      <c r="U1084" s="655">
        <v>372252</v>
      </c>
      <c r="V1084" s="655">
        <v>0</v>
      </c>
      <c r="W1084" s="655">
        <v>51440</v>
      </c>
      <c r="X1084" s="655">
        <v>254331.67</v>
      </c>
      <c r="Y1084" s="655">
        <v>0</v>
      </c>
      <c r="Z1084" s="655">
        <v>0</v>
      </c>
      <c r="AA1084" s="655">
        <v>0</v>
      </c>
      <c r="AB1084" s="655">
        <v>0</v>
      </c>
      <c r="AC1084" s="655">
        <v>-6366</v>
      </c>
      <c r="AD1084" s="655">
        <v>56419</v>
      </c>
      <c r="AE1084" s="655">
        <v>10264266.67</v>
      </c>
      <c r="AF1084" s="655">
        <v>203049</v>
      </c>
      <c r="AG1084" s="655">
        <v>530622</v>
      </c>
      <c r="AH1084" s="655">
        <v>0</v>
      </c>
      <c r="AI1084" s="805">
        <v>2485866</v>
      </c>
      <c r="AJ1084" s="655">
        <v>4189620</v>
      </c>
      <c r="AK1084" s="655">
        <v>17673423.670000002</v>
      </c>
      <c r="AL1084" s="805">
        <v>13408994</v>
      </c>
      <c r="AM1084" s="655">
        <v>4264429.6700000018</v>
      </c>
    </row>
    <row r="1085" spans="1:39" x14ac:dyDescent="0.2">
      <c r="A1085" s="648">
        <v>2016</v>
      </c>
      <c r="B1085" s="648">
        <v>1</v>
      </c>
      <c r="C1085" s="657" t="s">
        <v>159</v>
      </c>
      <c r="D1085" s="648">
        <v>1638</v>
      </c>
      <c r="E1085" s="648" t="s">
        <v>1085</v>
      </c>
      <c r="F1085" s="655">
        <v>9009762</v>
      </c>
      <c r="G1085" s="655">
        <v>0</v>
      </c>
      <c r="H1085" s="655">
        <v>178490</v>
      </c>
      <c r="I1085" s="655">
        <v>785342</v>
      </c>
      <c r="J1085" s="655">
        <v>785286</v>
      </c>
      <c r="K1085" s="655">
        <v>95732</v>
      </c>
      <c r="L1085" s="655">
        <v>85816</v>
      </c>
      <c r="M1085" s="655">
        <v>0</v>
      </c>
      <c r="N1085" s="655">
        <v>451196</v>
      </c>
      <c r="O1085" s="655">
        <v>0</v>
      </c>
      <c r="P1085" s="655">
        <v>79992</v>
      </c>
      <c r="Q1085" s="655">
        <v>89272</v>
      </c>
      <c r="R1085" s="655">
        <v>0</v>
      </c>
      <c r="S1085" s="655">
        <v>44396</v>
      </c>
      <c r="T1085" s="655">
        <v>4746</v>
      </c>
      <c r="U1085" s="655">
        <v>444909</v>
      </c>
      <c r="V1085" s="655">
        <v>19140</v>
      </c>
      <c r="W1085" s="655">
        <v>38936</v>
      </c>
      <c r="X1085" s="655">
        <v>493216.82</v>
      </c>
      <c r="Y1085" s="655">
        <v>0</v>
      </c>
      <c r="Z1085" s="655">
        <v>0</v>
      </c>
      <c r="AA1085" s="655">
        <v>0</v>
      </c>
      <c r="AB1085" s="655">
        <v>0</v>
      </c>
      <c r="AC1085" s="655">
        <v>5104</v>
      </c>
      <c r="AD1085" s="655">
        <v>75026</v>
      </c>
      <c r="AE1085" s="655">
        <v>12536309.82</v>
      </c>
      <c r="AF1085" s="655">
        <v>325523</v>
      </c>
      <c r="AG1085" s="655">
        <v>726367</v>
      </c>
      <c r="AH1085" s="655">
        <v>0</v>
      </c>
      <c r="AI1085" s="805">
        <v>5113891</v>
      </c>
      <c r="AJ1085" s="655">
        <v>2213571</v>
      </c>
      <c r="AK1085" s="655">
        <v>20915661.82</v>
      </c>
      <c r="AL1085" s="805">
        <v>18555265</v>
      </c>
      <c r="AM1085" s="655">
        <v>2360396.8200000003</v>
      </c>
    </row>
    <row r="1086" spans="1:39" x14ac:dyDescent="0.2">
      <c r="A1086" s="648">
        <v>2016</v>
      </c>
      <c r="B1086" s="648">
        <v>9</v>
      </c>
      <c r="C1086" s="657" t="s">
        <v>160</v>
      </c>
      <c r="D1086" s="648">
        <v>1675</v>
      </c>
      <c r="E1086" s="648" t="s">
        <v>1086</v>
      </c>
      <c r="F1086" s="655">
        <v>1284474</v>
      </c>
      <c r="G1086" s="655">
        <v>116085</v>
      </c>
      <c r="H1086" s="655">
        <v>26272</v>
      </c>
      <c r="I1086" s="655">
        <v>131228</v>
      </c>
      <c r="J1086" s="655">
        <v>102436</v>
      </c>
      <c r="K1086" s="655">
        <v>8181</v>
      </c>
      <c r="L1086" s="655">
        <v>13598</v>
      </c>
      <c r="M1086" s="655">
        <v>65470</v>
      </c>
      <c r="N1086" s="655">
        <v>60795</v>
      </c>
      <c r="O1086" s="655">
        <v>14218</v>
      </c>
      <c r="P1086" s="655">
        <v>10195</v>
      </c>
      <c r="Q1086" s="655">
        <v>11122</v>
      </c>
      <c r="R1086" s="655">
        <v>0</v>
      </c>
      <c r="S1086" s="655">
        <v>5976</v>
      </c>
      <c r="T1086" s="655">
        <v>701</v>
      </c>
      <c r="U1086" s="655">
        <v>0</v>
      </c>
      <c r="V1086" s="655">
        <v>0</v>
      </c>
      <c r="W1086" s="655">
        <v>0</v>
      </c>
      <c r="X1086" s="655">
        <v>0</v>
      </c>
      <c r="Y1086" s="655">
        <v>69930.66</v>
      </c>
      <c r="Z1086" s="655">
        <v>0</v>
      </c>
      <c r="AA1086" s="655">
        <v>0</v>
      </c>
      <c r="AB1086" s="655">
        <v>0</v>
      </c>
      <c r="AC1086" s="655">
        <v>916</v>
      </c>
      <c r="AD1086" s="655">
        <v>13150</v>
      </c>
      <c r="AE1086" s="655">
        <v>1768586.34</v>
      </c>
      <c r="AF1086" s="655">
        <v>70906</v>
      </c>
      <c r="AG1086" s="655">
        <v>114104</v>
      </c>
      <c r="AH1086" s="655">
        <v>112045</v>
      </c>
      <c r="AI1086" s="805">
        <v>452759</v>
      </c>
      <c r="AJ1086" s="655">
        <v>4571306</v>
      </c>
      <c r="AK1086" s="655">
        <v>7089706.3399999999</v>
      </c>
      <c r="AL1086" s="805">
        <v>2449461</v>
      </c>
      <c r="AM1086" s="655">
        <v>4640245.34</v>
      </c>
    </row>
    <row r="1087" spans="1:39" x14ac:dyDescent="0.2">
      <c r="A1087" s="648">
        <v>2016</v>
      </c>
      <c r="B1087" s="648">
        <v>12</v>
      </c>
      <c r="C1087" s="657" t="s">
        <v>161</v>
      </c>
      <c r="D1087" s="648">
        <v>1701</v>
      </c>
      <c r="E1087" s="648" t="s">
        <v>1087</v>
      </c>
      <c r="F1087" s="655">
        <v>12913916</v>
      </c>
      <c r="G1087" s="655">
        <v>247598</v>
      </c>
      <c r="H1087" s="655">
        <v>1179296</v>
      </c>
      <c r="I1087" s="655">
        <v>1374029</v>
      </c>
      <c r="J1087" s="655">
        <v>1050213</v>
      </c>
      <c r="K1087" s="655">
        <v>128941</v>
      </c>
      <c r="L1087" s="655">
        <v>158520</v>
      </c>
      <c r="M1087" s="655">
        <v>0</v>
      </c>
      <c r="N1087" s="655">
        <v>642692</v>
      </c>
      <c r="O1087" s="655">
        <v>10013</v>
      </c>
      <c r="P1087" s="655">
        <v>116591</v>
      </c>
      <c r="Q1087" s="655">
        <v>130906</v>
      </c>
      <c r="R1087" s="655">
        <v>0</v>
      </c>
      <c r="S1087" s="655">
        <v>65530</v>
      </c>
      <c r="T1087" s="655">
        <v>7838</v>
      </c>
      <c r="U1087" s="655">
        <v>0</v>
      </c>
      <c r="V1087" s="655">
        <v>0</v>
      </c>
      <c r="W1087" s="655">
        <v>51016</v>
      </c>
      <c r="X1087" s="655">
        <v>306638.78999999998</v>
      </c>
      <c r="Y1087" s="655">
        <v>0</v>
      </c>
      <c r="Z1087" s="655">
        <v>0</v>
      </c>
      <c r="AA1087" s="655">
        <v>0</v>
      </c>
      <c r="AB1087" s="655">
        <v>0</v>
      </c>
      <c r="AC1087" s="655">
        <v>0</v>
      </c>
      <c r="AD1087" s="655">
        <v>77738</v>
      </c>
      <c r="AE1087" s="655">
        <v>18305999.789999999</v>
      </c>
      <c r="AF1087" s="655">
        <v>286847</v>
      </c>
      <c r="AG1087" s="655">
        <v>776266</v>
      </c>
      <c r="AH1087" s="655">
        <v>0</v>
      </c>
      <c r="AI1087" s="805">
        <v>2671748</v>
      </c>
      <c r="AJ1087" s="655">
        <v>6555261</v>
      </c>
      <c r="AK1087" s="655">
        <v>28596121.789999999</v>
      </c>
      <c r="AL1087" s="805">
        <v>22553889</v>
      </c>
      <c r="AM1087" s="655">
        <v>6042232.7899999991</v>
      </c>
    </row>
    <row r="1088" spans="1:39" x14ac:dyDescent="0.2">
      <c r="A1088" s="648">
        <v>2016</v>
      </c>
      <c r="B1088" s="648">
        <v>7</v>
      </c>
      <c r="C1088" s="657" t="s">
        <v>162</v>
      </c>
      <c r="D1088" s="648">
        <v>1719</v>
      </c>
      <c r="E1088" s="648" t="s">
        <v>1088</v>
      </c>
      <c r="F1088" s="655">
        <v>4479970</v>
      </c>
      <c r="G1088" s="655">
        <v>15006</v>
      </c>
      <c r="H1088" s="655">
        <v>53399</v>
      </c>
      <c r="I1088" s="655">
        <v>413962</v>
      </c>
      <c r="J1088" s="655">
        <v>388797</v>
      </c>
      <c r="K1088" s="655">
        <v>36627</v>
      </c>
      <c r="L1088" s="655">
        <v>35938</v>
      </c>
      <c r="M1088" s="655">
        <v>0</v>
      </c>
      <c r="N1088" s="655">
        <v>217661</v>
      </c>
      <c r="O1088" s="655">
        <v>2172</v>
      </c>
      <c r="P1088" s="655">
        <v>37287</v>
      </c>
      <c r="Q1088" s="655">
        <v>41653</v>
      </c>
      <c r="R1088" s="655">
        <v>0</v>
      </c>
      <c r="S1088" s="655">
        <v>27731</v>
      </c>
      <c r="T1088" s="655">
        <v>3183</v>
      </c>
      <c r="U1088" s="655">
        <v>10521</v>
      </c>
      <c r="V1088" s="655">
        <v>0</v>
      </c>
      <c r="W1088" s="655">
        <v>148258</v>
      </c>
      <c r="X1088" s="655">
        <v>29227.84</v>
      </c>
      <c r="Y1088" s="655">
        <v>0</v>
      </c>
      <c r="Z1088" s="655">
        <v>0</v>
      </c>
      <c r="AA1088" s="655">
        <v>0</v>
      </c>
      <c r="AB1088" s="655">
        <v>0</v>
      </c>
      <c r="AC1088" s="655">
        <v>-6366</v>
      </c>
      <c r="AD1088" s="655">
        <v>32842</v>
      </c>
      <c r="AE1088" s="655">
        <v>5902184.8399999999</v>
      </c>
      <c r="AF1088" s="655">
        <v>112805</v>
      </c>
      <c r="AG1088" s="655">
        <v>328628</v>
      </c>
      <c r="AH1088" s="655">
        <v>0</v>
      </c>
      <c r="AI1088" s="805">
        <v>837334</v>
      </c>
      <c r="AJ1088" s="655">
        <v>1441642</v>
      </c>
      <c r="AK1088" s="655">
        <v>8622593.8399999999</v>
      </c>
      <c r="AL1088" s="805">
        <v>6930264</v>
      </c>
      <c r="AM1088" s="655">
        <v>1692329.8399999999</v>
      </c>
    </row>
    <row r="1089" spans="1:39" x14ac:dyDescent="0.2">
      <c r="A1089" s="648">
        <v>2016</v>
      </c>
      <c r="B1089" s="648">
        <v>11</v>
      </c>
      <c r="C1089" s="657" t="s">
        <v>163</v>
      </c>
      <c r="D1089" s="648">
        <v>1737</v>
      </c>
      <c r="E1089" s="648" t="s">
        <v>1089</v>
      </c>
      <c r="F1089" s="655">
        <v>211028195</v>
      </c>
      <c r="G1089" s="655">
        <v>0</v>
      </c>
      <c r="H1089" s="655">
        <v>9848751</v>
      </c>
      <c r="I1089" s="655">
        <v>40959120</v>
      </c>
      <c r="J1089" s="655">
        <v>18906688</v>
      </c>
      <c r="K1089" s="655">
        <v>2363619</v>
      </c>
      <c r="L1089" s="655">
        <v>2859280</v>
      </c>
      <c r="M1089" s="655">
        <v>0</v>
      </c>
      <c r="N1089" s="655">
        <v>10650081</v>
      </c>
      <c r="O1089" s="655">
        <v>0</v>
      </c>
      <c r="P1089" s="655">
        <v>1832564</v>
      </c>
      <c r="Q1089" s="655">
        <v>2011606</v>
      </c>
      <c r="R1089" s="655">
        <v>0</v>
      </c>
      <c r="S1089" s="655">
        <v>872710</v>
      </c>
      <c r="T1089" s="655">
        <v>111023</v>
      </c>
      <c r="U1089" s="655">
        <v>10421825</v>
      </c>
      <c r="V1089" s="655">
        <v>0</v>
      </c>
      <c r="W1089" s="655">
        <v>4138518</v>
      </c>
      <c r="X1089" s="655">
        <v>0</v>
      </c>
      <c r="Y1089" s="655">
        <v>1232367.32</v>
      </c>
      <c r="Z1089" s="655">
        <v>0</v>
      </c>
      <c r="AA1089" s="655">
        <v>0</v>
      </c>
      <c r="AB1089" s="655">
        <v>0</v>
      </c>
      <c r="AC1089" s="655">
        <v>-53660</v>
      </c>
      <c r="AD1089" s="655">
        <v>1502988</v>
      </c>
      <c r="AE1089" s="655">
        <v>313214964.68000001</v>
      </c>
      <c r="AF1089" s="655">
        <v>4868073</v>
      </c>
      <c r="AG1089" s="655">
        <v>13039432</v>
      </c>
      <c r="AH1089" s="655">
        <v>0</v>
      </c>
      <c r="AI1089" s="805">
        <v>70514492</v>
      </c>
      <c r="AJ1089" s="655">
        <v>54000553</v>
      </c>
      <c r="AK1089" s="655">
        <v>455637514.68000001</v>
      </c>
      <c r="AL1089" s="805">
        <v>411816878</v>
      </c>
      <c r="AM1089" s="655">
        <v>43820636.680000007</v>
      </c>
    </row>
    <row r="1090" spans="1:39" x14ac:dyDescent="0.2">
      <c r="A1090" s="648">
        <v>2016</v>
      </c>
      <c r="B1090" s="648">
        <v>13</v>
      </c>
      <c r="C1090" s="657" t="s">
        <v>164</v>
      </c>
      <c r="D1090" s="648">
        <v>1782</v>
      </c>
      <c r="E1090" s="648" t="s">
        <v>1090</v>
      </c>
      <c r="F1090" s="655">
        <v>574673</v>
      </c>
      <c r="G1090" s="655">
        <v>75845</v>
      </c>
      <c r="H1090" s="655">
        <v>36534</v>
      </c>
      <c r="I1090" s="655">
        <v>95305</v>
      </c>
      <c r="J1090" s="655">
        <v>81986</v>
      </c>
      <c r="K1090" s="655">
        <v>9174</v>
      </c>
      <c r="L1090" s="655">
        <v>10112</v>
      </c>
      <c r="M1090" s="655">
        <v>0</v>
      </c>
      <c r="N1090" s="655">
        <v>29402</v>
      </c>
      <c r="O1090" s="655">
        <v>5025</v>
      </c>
      <c r="P1090" s="655">
        <v>4694</v>
      </c>
      <c r="Q1090" s="655">
        <v>5191</v>
      </c>
      <c r="R1090" s="655">
        <v>0</v>
      </c>
      <c r="S1090" s="655">
        <v>3358</v>
      </c>
      <c r="T1090" s="655">
        <v>356</v>
      </c>
      <c r="U1090" s="655">
        <v>28378</v>
      </c>
      <c r="V1090" s="655">
        <v>0</v>
      </c>
      <c r="W1090" s="655">
        <v>51656</v>
      </c>
      <c r="X1090" s="655">
        <v>97645.51</v>
      </c>
      <c r="Y1090" s="655">
        <v>0</v>
      </c>
      <c r="Z1090" s="655">
        <v>0</v>
      </c>
      <c r="AA1090" s="655">
        <v>0</v>
      </c>
      <c r="AB1090" s="655">
        <v>0</v>
      </c>
      <c r="AC1090" s="655">
        <v>0</v>
      </c>
      <c r="AD1090" s="655">
        <v>6461</v>
      </c>
      <c r="AE1090" s="655">
        <v>1102873.51</v>
      </c>
      <c r="AF1090" s="655">
        <v>0</v>
      </c>
      <c r="AG1090" s="655">
        <v>52451</v>
      </c>
      <c r="AH1090" s="655">
        <v>0</v>
      </c>
      <c r="AI1090" s="805">
        <v>491395</v>
      </c>
      <c r="AJ1090" s="655">
        <v>292245</v>
      </c>
      <c r="AK1090" s="655">
        <v>1938964.51</v>
      </c>
      <c r="AL1090" s="805">
        <v>1542490</v>
      </c>
      <c r="AM1090" s="655">
        <v>396474.51</v>
      </c>
    </row>
    <row r="1091" spans="1:39" x14ac:dyDescent="0.2">
      <c r="A1091" s="648">
        <v>2016</v>
      </c>
      <c r="B1091" s="648">
        <v>7</v>
      </c>
      <c r="C1091" s="657" t="s">
        <v>165</v>
      </c>
      <c r="D1091" s="648">
        <v>1791</v>
      </c>
      <c r="E1091" s="648" t="s">
        <v>2007</v>
      </c>
      <c r="F1091" s="655">
        <v>5608020</v>
      </c>
      <c r="G1091" s="655">
        <v>53296</v>
      </c>
      <c r="H1091" s="655">
        <v>110188</v>
      </c>
      <c r="I1091" s="655">
        <v>706546</v>
      </c>
      <c r="J1091" s="655">
        <v>502827</v>
      </c>
      <c r="K1091" s="655">
        <v>52887</v>
      </c>
      <c r="L1091" s="655">
        <v>49799</v>
      </c>
      <c r="M1091" s="655">
        <v>0</v>
      </c>
      <c r="N1091" s="655">
        <v>280844</v>
      </c>
      <c r="O1091" s="655">
        <v>1033</v>
      </c>
      <c r="P1091" s="655">
        <v>46463</v>
      </c>
      <c r="Q1091" s="655">
        <v>51903</v>
      </c>
      <c r="R1091" s="655">
        <v>0</v>
      </c>
      <c r="S1091" s="655">
        <v>35981</v>
      </c>
      <c r="T1091" s="655">
        <v>4131</v>
      </c>
      <c r="U1091" s="655">
        <v>102679</v>
      </c>
      <c r="V1091" s="655">
        <v>0</v>
      </c>
      <c r="W1091" s="655">
        <v>192864</v>
      </c>
      <c r="X1091" s="655">
        <v>59410.52</v>
      </c>
      <c r="Y1091" s="655">
        <v>0</v>
      </c>
      <c r="Z1091" s="655">
        <v>0</v>
      </c>
      <c r="AA1091" s="655">
        <v>0</v>
      </c>
      <c r="AB1091" s="655">
        <v>0</v>
      </c>
      <c r="AC1091" s="655">
        <v>0</v>
      </c>
      <c r="AD1091" s="655">
        <v>36304</v>
      </c>
      <c r="AE1091" s="655">
        <v>7822567.5199999996</v>
      </c>
      <c r="AF1091" s="655">
        <v>177265</v>
      </c>
      <c r="AG1091" s="655">
        <v>412597</v>
      </c>
      <c r="AH1091" s="655">
        <v>0</v>
      </c>
      <c r="AI1091" s="805">
        <v>862441</v>
      </c>
      <c r="AJ1091" s="655">
        <v>1762770</v>
      </c>
      <c r="AK1091" s="655">
        <v>11037640.52</v>
      </c>
      <c r="AL1091" s="805">
        <v>9075103</v>
      </c>
      <c r="AM1091" s="655">
        <v>1962537.5199999996</v>
      </c>
    </row>
    <row r="1092" spans="1:39" x14ac:dyDescent="0.2">
      <c r="A1092" s="648">
        <v>2016</v>
      </c>
      <c r="B1092" s="648">
        <v>1</v>
      </c>
      <c r="C1092" s="657" t="s">
        <v>166</v>
      </c>
      <c r="D1092" s="648">
        <v>1863</v>
      </c>
      <c r="E1092" s="648" t="s">
        <v>1092</v>
      </c>
      <c r="F1092" s="655">
        <v>68619266</v>
      </c>
      <c r="G1092" s="655">
        <v>0</v>
      </c>
      <c r="H1092" s="655">
        <v>743689</v>
      </c>
      <c r="I1092" s="655">
        <v>11847643</v>
      </c>
      <c r="J1092" s="655">
        <v>6118525</v>
      </c>
      <c r="K1092" s="655">
        <v>727239</v>
      </c>
      <c r="L1092" s="655">
        <v>731705</v>
      </c>
      <c r="M1092" s="655">
        <v>3324945</v>
      </c>
      <c r="N1092" s="655">
        <v>3710606</v>
      </c>
      <c r="O1092" s="655">
        <v>0</v>
      </c>
      <c r="P1092" s="655">
        <v>652553</v>
      </c>
      <c r="Q1092" s="655">
        <v>728260</v>
      </c>
      <c r="R1092" s="655">
        <v>0</v>
      </c>
      <c r="S1092" s="655">
        <v>365113</v>
      </c>
      <c r="T1092" s="655">
        <v>39030</v>
      </c>
      <c r="U1092" s="655">
        <v>3388747</v>
      </c>
      <c r="V1092" s="655">
        <v>337531</v>
      </c>
      <c r="W1092" s="655">
        <v>295760</v>
      </c>
      <c r="X1092" s="655">
        <v>4995271.7</v>
      </c>
      <c r="Y1092" s="655">
        <v>0</v>
      </c>
      <c r="Z1092" s="655">
        <v>0</v>
      </c>
      <c r="AA1092" s="655">
        <v>0</v>
      </c>
      <c r="AB1092" s="655">
        <v>0</v>
      </c>
      <c r="AC1092" s="655">
        <v>-38238</v>
      </c>
      <c r="AD1092" s="655">
        <v>514177</v>
      </c>
      <c r="AE1092" s="655">
        <v>106073468.7</v>
      </c>
      <c r="AF1092" s="655">
        <v>2265809</v>
      </c>
      <c r="AG1092" s="655">
        <v>5110077</v>
      </c>
      <c r="AH1092" s="655">
        <v>0</v>
      </c>
      <c r="AI1092" s="805">
        <v>12217296</v>
      </c>
      <c r="AJ1092" s="655">
        <v>11129370</v>
      </c>
      <c r="AK1092" s="655">
        <v>136796020.69999999</v>
      </c>
      <c r="AL1092" s="805">
        <v>126168080</v>
      </c>
      <c r="AM1092" s="655">
        <v>10627940.699999988</v>
      </c>
    </row>
    <row r="1093" spans="1:39" x14ac:dyDescent="0.2">
      <c r="A1093" s="648">
        <v>2016</v>
      </c>
      <c r="B1093" s="648">
        <v>7</v>
      </c>
      <c r="C1093" s="657" t="s">
        <v>167</v>
      </c>
      <c r="D1093" s="648">
        <v>1908</v>
      </c>
      <c r="E1093" s="648" t="s">
        <v>1093</v>
      </c>
      <c r="F1093" s="655">
        <v>2977407</v>
      </c>
      <c r="G1093" s="655">
        <v>5955</v>
      </c>
      <c r="H1093" s="655">
        <v>22335</v>
      </c>
      <c r="I1093" s="655">
        <v>394689</v>
      </c>
      <c r="J1093" s="655">
        <v>270184</v>
      </c>
      <c r="K1093" s="655">
        <v>28074</v>
      </c>
      <c r="L1093" s="655">
        <v>30171</v>
      </c>
      <c r="M1093" s="655">
        <v>0</v>
      </c>
      <c r="N1093" s="655">
        <v>149976</v>
      </c>
      <c r="O1093" s="655">
        <v>3706</v>
      </c>
      <c r="P1093" s="655">
        <v>25353</v>
      </c>
      <c r="Q1093" s="655">
        <v>28322</v>
      </c>
      <c r="R1093" s="655">
        <v>0</v>
      </c>
      <c r="S1093" s="655">
        <v>19287</v>
      </c>
      <c r="T1093" s="655">
        <v>2214</v>
      </c>
      <c r="U1093" s="655">
        <v>0</v>
      </c>
      <c r="V1093" s="655">
        <v>0</v>
      </c>
      <c r="W1093" s="655">
        <v>21008</v>
      </c>
      <c r="X1093" s="655">
        <v>11891.51</v>
      </c>
      <c r="Y1093" s="655">
        <v>0</v>
      </c>
      <c r="Z1093" s="655">
        <v>0</v>
      </c>
      <c r="AA1093" s="655">
        <v>0</v>
      </c>
      <c r="AB1093" s="655">
        <v>0</v>
      </c>
      <c r="AC1093" s="655">
        <v>0</v>
      </c>
      <c r="AD1093" s="655">
        <v>22973</v>
      </c>
      <c r="AE1093" s="655">
        <v>3967599.51</v>
      </c>
      <c r="AF1093" s="655">
        <v>87021</v>
      </c>
      <c r="AG1093" s="655">
        <v>228197</v>
      </c>
      <c r="AH1093" s="655">
        <v>0</v>
      </c>
      <c r="AI1093" s="805">
        <v>672418</v>
      </c>
      <c r="AJ1093" s="655">
        <v>936350</v>
      </c>
      <c r="AK1093" s="655">
        <v>5891585.5099999998</v>
      </c>
      <c r="AL1093" s="805">
        <v>4880632</v>
      </c>
      <c r="AM1093" s="655">
        <v>1010953.5099999998</v>
      </c>
    </row>
    <row r="1094" spans="1:39" x14ac:dyDescent="0.2">
      <c r="A1094" s="648">
        <v>2016</v>
      </c>
      <c r="B1094" s="648">
        <v>13</v>
      </c>
      <c r="C1094" s="657" t="s">
        <v>168</v>
      </c>
      <c r="D1094" s="648">
        <v>1917</v>
      </c>
      <c r="E1094" s="648" t="s">
        <v>1094</v>
      </c>
      <c r="F1094" s="655">
        <v>2826852</v>
      </c>
      <c r="G1094" s="655">
        <v>0</v>
      </c>
      <c r="H1094" s="655">
        <v>86090</v>
      </c>
      <c r="I1094" s="655">
        <v>437646</v>
      </c>
      <c r="J1094" s="655">
        <v>275130</v>
      </c>
      <c r="K1094" s="655">
        <v>33012</v>
      </c>
      <c r="L1094" s="655">
        <v>31142</v>
      </c>
      <c r="M1094" s="655">
        <v>0</v>
      </c>
      <c r="N1094" s="655">
        <v>143331</v>
      </c>
      <c r="O1094" s="655">
        <v>0</v>
      </c>
      <c r="P1094" s="655">
        <v>23206</v>
      </c>
      <c r="Q1094" s="655">
        <v>25665</v>
      </c>
      <c r="R1094" s="655">
        <v>0</v>
      </c>
      <c r="S1094" s="655">
        <v>14719</v>
      </c>
      <c r="T1094" s="655">
        <v>1563</v>
      </c>
      <c r="U1094" s="655">
        <v>52346</v>
      </c>
      <c r="V1094" s="655">
        <v>0</v>
      </c>
      <c r="W1094" s="655">
        <v>19098</v>
      </c>
      <c r="X1094" s="655">
        <v>0</v>
      </c>
      <c r="Y1094" s="655">
        <v>0</v>
      </c>
      <c r="Z1094" s="655">
        <v>0</v>
      </c>
      <c r="AA1094" s="655">
        <v>0</v>
      </c>
      <c r="AB1094" s="655">
        <v>0</v>
      </c>
      <c r="AC1094" s="655">
        <v>0</v>
      </c>
      <c r="AD1094" s="655">
        <v>25701</v>
      </c>
      <c r="AE1094" s="655">
        <v>3944099</v>
      </c>
      <c r="AF1094" s="655">
        <v>90244</v>
      </c>
      <c r="AG1094" s="655">
        <v>230841</v>
      </c>
      <c r="AH1094" s="655">
        <v>0</v>
      </c>
      <c r="AI1094" s="805">
        <v>670463</v>
      </c>
      <c r="AJ1094" s="655">
        <v>712233</v>
      </c>
      <c r="AK1094" s="655">
        <v>5647880</v>
      </c>
      <c r="AL1094" s="805">
        <v>4790271</v>
      </c>
      <c r="AM1094" s="655">
        <v>857609</v>
      </c>
    </row>
    <row r="1095" spans="1:39" x14ac:dyDescent="0.2">
      <c r="A1095" s="648">
        <v>2016</v>
      </c>
      <c r="B1095" s="648">
        <v>9</v>
      </c>
      <c r="C1095" s="657" t="s">
        <v>169</v>
      </c>
      <c r="D1095" s="648">
        <v>1926</v>
      </c>
      <c r="E1095" s="648" t="s">
        <v>1095</v>
      </c>
      <c r="F1095" s="655">
        <v>3749130</v>
      </c>
      <c r="G1095" s="655">
        <v>0</v>
      </c>
      <c r="H1095" s="655">
        <v>119518</v>
      </c>
      <c r="I1095" s="655">
        <v>371148</v>
      </c>
      <c r="J1095" s="655">
        <v>380261</v>
      </c>
      <c r="K1095" s="655">
        <v>43024</v>
      </c>
      <c r="L1095" s="655">
        <v>34211</v>
      </c>
      <c r="M1095" s="655">
        <v>0</v>
      </c>
      <c r="N1095" s="655">
        <v>180456</v>
      </c>
      <c r="O1095" s="655">
        <v>0</v>
      </c>
      <c r="P1095" s="655">
        <v>30374</v>
      </c>
      <c r="Q1095" s="655">
        <v>33137</v>
      </c>
      <c r="R1095" s="655">
        <v>0</v>
      </c>
      <c r="S1095" s="655">
        <v>16235</v>
      </c>
      <c r="T1095" s="655">
        <v>1904</v>
      </c>
      <c r="U1095" s="655">
        <v>124404</v>
      </c>
      <c r="V1095" s="655">
        <v>0</v>
      </c>
      <c r="W1095" s="655">
        <v>37559</v>
      </c>
      <c r="X1095" s="655">
        <v>77904.19</v>
      </c>
      <c r="Y1095" s="655">
        <v>0</v>
      </c>
      <c r="Z1095" s="655">
        <v>0</v>
      </c>
      <c r="AA1095" s="655">
        <v>0</v>
      </c>
      <c r="AB1095" s="655">
        <v>0</v>
      </c>
      <c r="AC1095" s="655">
        <v>0</v>
      </c>
      <c r="AD1095" s="655">
        <v>27628</v>
      </c>
      <c r="AE1095" s="655">
        <v>5171637.1900000004</v>
      </c>
      <c r="AF1095" s="655">
        <v>93467</v>
      </c>
      <c r="AG1095" s="655">
        <v>147322</v>
      </c>
      <c r="AH1095" s="655">
        <v>0</v>
      </c>
      <c r="AI1095" s="805">
        <v>1247201</v>
      </c>
      <c r="AJ1095" s="655">
        <v>2136982</v>
      </c>
      <c r="AK1095" s="655">
        <v>8796609.1900000013</v>
      </c>
      <c r="AL1095" s="805">
        <v>6701082</v>
      </c>
      <c r="AM1095" s="655">
        <v>2095527.1900000013</v>
      </c>
    </row>
    <row r="1096" spans="1:39" x14ac:dyDescent="0.2">
      <c r="A1096" s="648">
        <v>2016</v>
      </c>
      <c r="B1096" s="648">
        <v>7</v>
      </c>
      <c r="C1096" s="657" t="s">
        <v>170</v>
      </c>
      <c r="D1096" s="648">
        <v>6536</v>
      </c>
      <c r="E1096" s="648" t="s">
        <v>639</v>
      </c>
      <c r="F1096" s="655">
        <v>7564646</v>
      </c>
      <c r="G1096" s="655">
        <v>344110</v>
      </c>
      <c r="H1096" s="655">
        <v>51584</v>
      </c>
      <c r="I1096" s="655">
        <v>1029074</v>
      </c>
      <c r="J1096" s="655">
        <v>688808</v>
      </c>
      <c r="K1096" s="655">
        <v>59202</v>
      </c>
      <c r="L1096" s="655">
        <v>72172</v>
      </c>
      <c r="M1096" s="655">
        <v>0</v>
      </c>
      <c r="N1096" s="655">
        <v>377410</v>
      </c>
      <c r="O1096" s="655">
        <v>12460</v>
      </c>
      <c r="P1096" s="655">
        <v>62163</v>
      </c>
      <c r="Q1096" s="655">
        <v>69441</v>
      </c>
      <c r="R1096" s="655">
        <v>0</v>
      </c>
      <c r="S1096" s="655">
        <v>49766</v>
      </c>
      <c r="T1096" s="655">
        <v>5713</v>
      </c>
      <c r="U1096" s="655">
        <v>146277</v>
      </c>
      <c r="V1096" s="655">
        <v>0</v>
      </c>
      <c r="W1096" s="655">
        <v>59367</v>
      </c>
      <c r="X1096" s="655">
        <v>470695.43</v>
      </c>
      <c r="Y1096" s="655">
        <v>0</v>
      </c>
      <c r="Z1096" s="655">
        <v>0</v>
      </c>
      <c r="AA1096" s="655">
        <v>0</v>
      </c>
      <c r="AB1096" s="655">
        <v>0</v>
      </c>
      <c r="AC1096" s="655">
        <v>0</v>
      </c>
      <c r="AD1096" s="655">
        <v>54340</v>
      </c>
      <c r="AE1096" s="655">
        <v>11008548.43</v>
      </c>
      <c r="AF1096" s="655">
        <v>125697</v>
      </c>
      <c r="AG1096" s="655">
        <v>610003</v>
      </c>
      <c r="AH1096" s="655">
        <v>0</v>
      </c>
      <c r="AI1096" s="805">
        <v>1269127</v>
      </c>
      <c r="AJ1096" s="655">
        <v>1837077</v>
      </c>
      <c r="AK1096" s="655">
        <v>14850452.43</v>
      </c>
      <c r="AL1096" s="805">
        <v>12785760</v>
      </c>
      <c r="AM1096" s="655">
        <v>2064692.4299999997</v>
      </c>
    </row>
    <row r="1097" spans="1:39" x14ac:dyDescent="0.2">
      <c r="A1097" s="648">
        <v>2016</v>
      </c>
      <c r="B1097" s="648">
        <v>5</v>
      </c>
      <c r="C1097" s="657" t="s">
        <v>171</v>
      </c>
      <c r="D1097" s="648">
        <v>1944</v>
      </c>
      <c r="E1097" s="648" t="s">
        <v>1096</v>
      </c>
      <c r="F1097" s="655">
        <v>5484878</v>
      </c>
      <c r="G1097" s="655">
        <v>0</v>
      </c>
      <c r="H1097" s="655">
        <v>250961</v>
      </c>
      <c r="I1097" s="655">
        <v>964645</v>
      </c>
      <c r="J1097" s="655">
        <v>476568</v>
      </c>
      <c r="K1097" s="655">
        <v>52091</v>
      </c>
      <c r="L1097" s="655">
        <v>58776</v>
      </c>
      <c r="M1097" s="655">
        <v>0</v>
      </c>
      <c r="N1097" s="655">
        <v>288204</v>
      </c>
      <c r="O1097" s="655">
        <v>0</v>
      </c>
      <c r="P1097" s="655">
        <v>44596</v>
      </c>
      <c r="Q1097" s="655">
        <v>50089</v>
      </c>
      <c r="R1097" s="655">
        <v>862</v>
      </c>
      <c r="S1097" s="655">
        <v>30695</v>
      </c>
      <c r="T1097" s="655">
        <v>3655</v>
      </c>
      <c r="U1097" s="655">
        <v>270902</v>
      </c>
      <c r="V1097" s="655">
        <v>4737</v>
      </c>
      <c r="W1097" s="655">
        <v>131332</v>
      </c>
      <c r="X1097" s="655">
        <v>130830.22</v>
      </c>
      <c r="Y1097" s="655">
        <v>0</v>
      </c>
      <c r="Z1097" s="655">
        <v>0</v>
      </c>
      <c r="AA1097" s="655">
        <v>0</v>
      </c>
      <c r="AB1097" s="655">
        <v>0</v>
      </c>
      <c r="AC1097" s="655">
        <v>-6484</v>
      </c>
      <c r="AD1097" s="655">
        <v>45100</v>
      </c>
      <c r="AE1097" s="655">
        <v>8192237.2199999997</v>
      </c>
      <c r="AF1097" s="655">
        <v>164373</v>
      </c>
      <c r="AG1097" s="655">
        <v>284308</v>
      </c>
      <c r="AH1097" s="655">
        <v>0</v>
      </c>
      <c r="AI1097" s="805">
        <v>1099504</v>
      </c>
      <c r="AJ1097" s="655">
        <v>1351354</v>
      </c>
      <c r="AK1097" s="655">
        <v>11091776.219999999</v>
      </c>
      <c r="AL1097" s="805">
        <v>9547473</v>
      </c>
      <c r="AM1097" s="655">
        <v>1544303.2199999988</v>
      </c>
    </row>
    <row r="1098" spans="1:39" x14ac:dyDescent="0.2">
      <c r="A1098" s="648">
        <v>2016</v>
      </c>
      <c r="B1098" s="648">
        <v>11</v>
      </c>
      <c r="C1098" s="657" t="s">
        <v>172</v>
      </c>
      <c r="D1098" s="648">
        <v>1953</v>
      </c>
      <c r="E1098" s="648" t="s">
        <v>1097</v>
      </c>
      <c r="F1098" s="655">
        <v>4146067</v>
      </c>
      <c r="G1098" s="655">
        <v>0</v>
      </c>
      <c r="H1098" s="655">
        <v>61643</v>
      </c>
      <c r="I1098" s="655">
        <v>391595</v>
      </c>
      <c r="J1098" s="655">
        <v>379424</v>
      </c>
      <c r="K1098" s="655">
        <v>38193</v>
      </c>
      <c r="L1098" s="655">
        <v>43474</v>
      </c>
      <c r="M1098" s="655">
        <v>201116</v>
      </c>
      <c r="N1098" s="655">
        <v>193804</v>
      </c>
      <c r="O1098" s="655">
        <v>9</v>
      </c>
      <c r="P1098" s="655">
        <v>33933</v>
      </c>
      <c r="Q1098" s="655">
        <v>37249</v>
      </c>
      <c r="R1098" s="655">
        <v>0</v>
      </c>
      <c r="S1098" s="655">
        <v>15881</v>
      </c>
      <c r="T1098" s="655">
        <v>2020</v>
      </c>
      <c r="U1098" s="655">
        <v>117253</v>
      </c>
      <c r="V1098" s="655">
        <v>0</v>
      </c>
      <c r="W1098" s="655">
        <v>52838</v>
      </c>
      <c r="X1098" s="655">
        <v>95335</v>
      </c>
      <c r="Y1098" s="655">
        <v>0</v>
      </c>
      <c r="Z1098" s="655">
        <v>0</v>
      </c>
      <c r="AA1098" s="655">
        <v>0</v>
      </c>
      <c r="AB1098" s="655">
        <v>0</v>
      </c>
      <c r="AC1098" s="655">
        <v>-2801</v>
      </c>
      <c r="AD1098" s="655">
        <v>22833</v>
      </c>
      <c r="AE1098" s="655">
        <v>5784200</v>
      </c>
      <c r="AF1098" s="655">
        <v>83798</v>
      </c>
      <c r="AG1098" s="655">
        <v>294827</v>
      </c>
      <c r="AH1098" s="655">
        <v>0</v>
      </c>
      <c r="AI1098" s="805">
        <v>799349</v>
      </c>
      <c r="AJ1098" s="655">
        <v>1923148</v>
      </c>
      <c r="AK1098" s="655">
        <v>8885322</v>
      </c>
      <c r="AL1098" s="805">
        <v>6693118</v>
      </c>
      <c r="AM1098" s="655">
        <v>2192204</v>
      </c>
    </row>
    <row r="1099" spans="1:39" x14ac:dyDescent="0.2">
      <c r="A1099" s="648">
        <v>2016</v>
      </c>
      <c r="B1099" s="648">
        <v>7</v>
      </c>
      <c r="C1099" s="657" t="s">
        <v>173</v>
      </c>
      <c r="D1099" s="648">
        <v>1963</v>
      </c>
      <c r="E1099" s="648" t="s">
        <v>1098</v>
      </c>
      <c r="F1099" s="655">
        <v>3629098</v>
      </c>
      <c r="G1099" s="655">
        <v>0</v>
      </c>
      <c r="H1099" s="655">
        <v>63126</v>
      </c>
      <c r="I1099" s="655">
        <v>571051</v>
      </c>
      <c r="J1099" s="655">
        <v>345873</v>
      </c>
      <c r="K1099" s="655">
        <v>34484</v>
      </c>
      <c r="L1099" s="655">
        <v>36184</v>
      </c>
      <c r="M1099" s="655">
        <v>0</v>
      </c>
      <c r="N1099" s="655">
        <v>186804</v>
      </c>
      <c r="O1099" s="655">
        <v>1734</v>
      </c>
      <c r="P1099" s="655">
        <v>30233</v>
      </c>
      <c r="Q1099" s="655">
        <v>33773</v>
      </c>
      <c r="R1099" s="655">
        <v>0</v>
      </c>
      <c r="S1099" s="655">
        <v>24067</v>
      </c>
      <c r="T1099" s="655">
        <v>2763</v>
      </c>
      <c r="U1099" s="655">
        <v>109795</v>
      </c>
      <c r="V1099" s="655">
        <v>0</v>
      </c>
      <c r="W1099" s="655">
        <v>46472</v>
      </c>
      <c r="X1099" s="655">
        <v>0</v>
      </c>
      <c r="Y1099" s="655">
        <v>35909.410000000003</v>
      </c>
      <c r="Z1099" s="655">
        <v>0</v>
      </c>
      <c r="AA1099" s="655">
        <v>0</v>
      </c>
      <c r="AB1099" s="655">
        <v>0</v>
      </c>
      <c r="AC1099" s="655">
        <v>12732</v>
      </c>
      <c r="AD1099" s="655">
        <v>28849</v>
      </c>
      <c r="AE1099" s="655">
        <v>5063430.59</v>
      </c>
      <c r="AF1099" s="655">
        <v>109582</v>
      </c>
      <c r="AG1099" s="655">
        <v>277336</v>
      </c>
      <c r="AH1099" s="655">
        <v>0</v>
      </c>
      <c r="AI1099" s="805">
        <v>935725</v>
      </c>
      <c r="AJ1099" s="655">
        <v>1082748</v>
      </c>
      <c r="AK1099" s="655">
        <v>7468821.5899999999</v>
      </c>
      <c r="AL1099" s="805">
        <v>6399079</v>
      </c>
      <c r="AM1099" s="655">
        <v>1069742.5899999999</v>
      </c>
    </row>
    <row r="1100" spans="1:39" x14ac:dyDescent="0.2">
      <c r="A1100" s="648">
        <v>2016</v>
      </c>
      <c r="B1100" s="648">
        <v>9</v>
      </c>
      <c r="C1100" s="657" t="s">
        <v>174</v>
      </c>
      <c r="D1100" s="648">
        <v>1965</v>
      </c>
      <c r="E1100" s="648" t="s">
        <v>1524</v>
      </c>
      <c r="F1100" s="655">
        <v>4144778</v>
      </c>
      <c r="G1100" s="655">
        <v>66649</v>
      </c>
      <c r="H1100" s="655">
        <v>218494</v>
      </c>
      <c r="I1100" s="655">
        <v>658846</v>
      </c>
      <c r="J1100" s="655">
        <v>366846</v>
      </c>
      <c r="K1100" s="655">
        <v>40178</v>
      </c>
      <c r="L1100" s="655">
        <v>36883</v>
      </c>
      <c r="M1100" s="655">
        <v>0</v>
      </c>
      <c r="N1100" s="655">
        <v>211886</v>
      </c>
      <c r="O1100" s="655">
        <v>7391</v>
      </c>
      <c r="P1100" s="655">
        <v>34052</v>
      </c>
      <c r="Q1100" s="655">
        <v>37150</v>
      </c>
      <c r="R1100" s="655">
        <v>0</v>
      </c>
      <c r="S1100" s="655">
        <v>19085</v>
      </c>
      <c r="T1100" s="655">
        <v>2240</v>
      </c>
      <c r="U1100" s="655">
        <v>13012</v>
      </c>
      <c r="V1100" s="655">
        <v>0</v>
      </c>
      <c r="W1100" s="655">
        <v>165516</v>
      </c>
      <c r="X1100" s="655">
        <v>140481.54</v>
      </c>
      <c r="Y1100" s="655">
        <v>0</v>
      </c>
      <c r="Z1100" s="655">
        <v>0</v>
      </c>
      <c r="AA1100" s="655">
        <v>0</v>
      </c>
      <c r="AB1100" s="655">
        <v>0</v>
      </c>
      <c r="AC1100" s="655">
        <v>0</v>
      </c>
      <c r="AD1100" s="655">
        <v>35711</v>
      </c>
      <c r="AE1100" s="655">
        <v>6127776.54</v>
      </c>
      <c r="AF1100" s="655">
        <v>61237</v>
      </c>
      <c r="AG1100" s="655">
        <v>327818</v>
      </c>
      <c r="AH1100" s="655">
        <v>0</v>
      </c>
      <c r="AI1100" s="805">
        <v>530042</v>
      </c>
      <c r="AJ1100" s="655">
        <v>1654979</v>
      </c>
      <c r="AK1100" s="655">
        <v>8701852.5399999991</v>
      </c>
      <c r="AL1100" s="805">
        <v>7142295</v>
      </c>
      <c r="AM1100" s="655">
        <v>1559557.5399999991</v>
      </c>
    </row>
    <row r="1101" spans="1:39" x14ac:dyDescent="0.2">
      <c r="A1101" s="648">
        <v>2016</v>
      </c>
      <c r="B1101" s="648">
        <v>13</v>
      </c>
      <c r="C1101" s="657" t="s">
        <v>175</v>
      </c>
      <c r="D1101" s="648">
        <v>1970</v>
      </c>
      <c r="E1101" s="648" t="s">
        <v>1099</v>
      </c>
      <c r="F1101" s="655">
        <v>3382516</v>
      </c>
      <c r="G1101" s="655">
        <v>0</v>
      </c>
      <c r="H1101" s="655">
        <v>109369</v>
      </c>
      <c r="I1101" s="655">
        <v>377395</v>
      </c>
      <c r="J1101" s="655">
        <v>301572</v>
      </c>
      <c r="K1101" s="655">
        <v>29031</v>
      </c>
      <c r="L1101" s="655">
        <v>36387</v>
      </c>
      <c r="M1101" s="655">
        <v>163469</v>
      </c>
      <c r="N1101" s="655">
        <v>164675</v>
      </c>
      <c r="O1101" s="655">
        <v>0</v>
      </c>
      <c r="P1101" s="655">
        <v>28005</v>
      </c>
      <c r="Q1101" s="655">
        <v>30973</v>
      </c>
      <c r="R1101" s="655">
        <v>0</v>
      </c>
      <c r="S1101" s="655">
        <v>16911</v>
      </c>
      <c r="T1101" s="655">
        <v>1796</v>
      </c>
      <c r="U1101" s="655">
        <v>167035</v>
      </c>
      <c r="V1101" s="655">
        <v>0</v>
      </c>
      <c r="W1101" s="655">
        <v>76392</v>
      </c>
      <c r="X1101" s="655">
        <v>110204.04</v>
      </c>
      <c r="Y1101" s="655">
        <v>0</v>
      </c>
      <c r="Z1101" s="655">
        <v>0</v>
      </c>
      <c r="AA1101" s="655">
        <v>0</v>
      </c>
      <c r="AB1101" s="655">
        <v>0</v>
      </c>
      <c r="AC1101" s="655">
        <v>-6390</v>
      </c>
      <c r="AD1101" s="655">
        <v>25766</v>
      </c>
      <c r="AE1101" s="655">
        <v>4963574.04</v>
      </c>
      <c r="AF1101" s="655">
        <v>77352</v>
      </c>
      <c r="AG1101" s="655">
        <v>243711</v>
      </c>
      <c r="AH1101" s="655">
        <v>0</v>
      </c>
      <c r="AI1101" s="805">
        <v>1040365</v>
      </c>
      <c r="AJ1101" s="655">
        <v>553382</v>
      </c>
      <c r="AK1101" s="655">
        <v>6878384.04</v>
      </c>
      <c r="AL1101" s="805">
        <v>6239746</v>
      </c>
      <c r="AM1101" s="655">
        <v>638638.04</v>
      </c>
    </row>
    <row r="1102" spans="1:39" x14ac:dyDescent="0.2">
      <c r="A1102" s="648">
        <v>2016</v>
      </c>
      <c r="B1102" s="648">
        <v>1</v>
      </c>
      <c r="C1102" s="657" t="s">
        <v>176</v>
      </c>
      <c r="D1102" s="648">
        <v>1972</v>
      </c>
      <c r="E1102" s="648" t="s">
        <v>1100</v>
      </c>
      <c r="F1102" s="655">
        <v>2268992</v>
      </c>
      <c r="G1102" s="655">
        <v>71404</v>
      </c>
      <c r="H1102" s="655">
        <v>154433</v>
      </c>
      <c r="I1102" s="655">
        <v>164309</v>
      </c>
      <c r="J1102" s="655">
        <v>226623</v>
      </c>
      <c r="K1102" s="655">
        <v>21334</v>
      </c>
      <c r="L1102" s="655">
        <v>26099</v>
      </c>
      <c r="M1102" s="655">
        <v>0</v>
      </c>
      <c r="N1102" s="655">
        <v>112330</v>
      </c>
      <c r="O1102" s="655">
        <v>15897</v>
      </c>
      <c r="P1102" s="655">
        <v>18819</v>
      </c>
      <c r="Q1102" s="655">
        <v>21002</v>
      </c>
      <c r="R1102" s="655">
        <v>0</v>
      </c>
      <c r="S1102" s="655">
        <v>11374</v>
      </c>
      <c r="T1102" s="655">
        <v>1215</v>
      </c>
      <c r="U1102" s="655">
        <v>68413</v>
      </c>
      <c r="V1102" s="655">
        <v>0</v>
      </c>
      <c r="W1102" s="655">
        <v>19098</v>
      </c>
      <c r="X1102" s="655">
        <v>63214.65</v>
      </c>
      <c r="Y1102" s="655">
        <v>0</v>
      </c>
      <c r="Z1102" s="655">
        <v>0</v>
      </c>
      <c r="AA1102" s="655">
        <v>0</v>
      </c>
      <c r="AB1102" s="655">
        <v>0</v>
      </c>
      <c r="AC1102" s="655">
        <v>0</v>
      </c>
      <c r="AD1102" s="655">
        <v>23749</v>
      </c>
      <c r="AE1102" s="655">
        <v>3240807.65</v>
      </c>
      <c r="AF1102" s="655">
        <v>51568</v>
      </c>
      <c r="AG1102" s="655">
        <v>201930</v>
      </c>
      <c r="AH1102" s="655">
        <v>0</v>
      </c>
      <c r="AI1102" s="805">
        <v>443919</v>
      </c>
      <c r="AJ1102" s="655">
        <v>1592581</v>
      </c>
      <c r="AK1102" s="655">
        <v>5530805.6500000004</v>
      </c>
      <c r="AL1102" s="805">
        <v>4090498</v>
      </c>
      <c r="AM1102" s="655">
        <v>1440307.6500000004</v>
      </c>
    </row>
    <row r="1103" spans="1:39" x14ac:dyDescent="0.2">
      <c r="A1103" s="648">
        <v>2016</v>
      </c>
      <c r="B1103" s="648">
        <v>12</v>
      </c>
      <c r="C1103" s="657" t="s">
        <v>177</v>
      </c>
      <c r="D1103" s="648">
        <v>1975</v>
      </c>
      <c r="E1103" s="648" t="s">
        <v>1101</v>
      </c>
      <c r="F1103" s="655">
        <v>2653005</v>
      </c>
      <c r="G1103" s="655">
        <v>64148</v>
      </c>
      <c r="H1103" s="655">
        <v>55164</v>
      </c>
      <c r="I1103" s="655">
        <v>298350</v>
      </c>
      <c r="J1103" s="655">
        <v>253069</v>
      </c>
      <c r="K1103" s="655">
        <v>27573</v>
      </c>
      <c r="L1103" s="655">
        <v>31080</v>
      </c>
      <c r="M1103" s="655">
        <v>0</v>
      </c>
      <c r="N1103" s="655">
        <v>132571</v>
      </c>
      <c r="O1103" s="655">
        <v>1323</v>
      </c>
      <c r="P1103" s="655">
        <v>21844</v>
      </c>
      <c r="Q1103" s="655">
        <v>24526</v>
      </c>
      <c r="R1103" s="655">
        <v>0</v>
      </c>
      <c r="S1103" s="655">
        <v>13314</v>
      </c>
      <c r="T1103" s="655">
        <v>1591</v>
      </c>
      <c r="U1103" s="655">
        <v>47710</v>
      </c>
      <c r="V1103" s="655">
        <v>0</v>
      </c>
      <c r="W1103" s="655">
        <v>121483</v>
      </c>
      <c r="X1103" s="655">
        <v>229435.64</v>
      </c>
      <c r="Y1103" s="655">
        <v>0</v>
      </c>
      <c r="Z1103" s="655">
        <v>0</v>
      </c>
      <c r="AA1103" s="655">
        <v>0</v>
      </c>
      <c r="AB1103" s="655">
        <v>0</v>
      </c>
      <c r="AC1103" s="655">
        <v>-6375</v>
      </c>
      <c r="AD1103" s="655">
        <v>24876</v>
      </c>
      <c r="AE1103" s="655">
        <v>3944935.64</v>
      </c>
      <c r="AF1103" s="655">
        <v>90244</v>
      </c>
      <c r="AG1103" s="655">
        <v>227996</v>
      </c>
      <c r="AH1103" s="655">
        <v>0</v>
      </c>
      <c r="AI1103" s="805">
        <v>602218</v>
      </c>
      <c r="AJ1103" s="655">
        <v>1151132</v>
      </c>
      <c r="AK1103" s="655">
        <v>6016525.6400000006</v>
      </c>
      <c r="AL1103" s="805">
        <v>4729991</v>
      </c>
      <c r="AM1103" s="655">
        <v>1286534.6400000006</v>
      </c>
    </row>
    <row r="1104" spans="1:39" x14ac:dyDescent="0.2">
      <c r="A1104" s="648">
        <v>2016</v>
      </c>
      <c r="B1104" s="648">
        <v>1</v>
      </c>
      <c r="C1104" s="657" t="s">
        <v>178</v>
      </c>
      <c r="D1104" s="648">
        <v>1989</v>
      </c>
      <c r="E1104" s="648" t="s">
        <v>1102</v>
      </c>
      <c r="F1104" s="655">
        <v>2636414</v>
      </c>
      <c r="G1104" s="655">
        <v>25465</v>
      </c>
      <c r="H1104" s="655">
        <v>56925</v>
      </c>
      <c r="I1104" s="655">
        <v>161021</v>
      </c>
      <c r="J1104" s="655">
        <v>250437</v>
      </c>
      <c r="K1104" s="655">
        <v>27924</v>
      </c>
      <c r="L1104" s="655">
        <v>29953</v>
      </c>
      <c r="M1104" s="655">
        <v>0</v>
      </c>
      <c r="N1104" s="655">
        <v>129139</v>
      </c>
      <c r="O1104" s="655">
        <v>14380</v>
      </c>
      <c r="P1104" s="655">
        <v>22635</v>
      </c>
      <c r="Q1104" s="655">
        <v>25261</v>
      </c>
      <c r="R1104" s="655">
        <v>0</v>
      </c>
      <c r="S1104" s="655">
        <v>12824</v>
      </c>
      <c r="T1104" s="655">
        <v>1370</v>
      </c>
      <c r="U1104" s="655">
        <v>101270</v>
      </c>
      <c r="V1104" s="655">
        <v>0</v>
      </c>
      <c r="W1104" s="655">
        <v>101856</v>
      </c>
      <c r="X1104" s="655">
        <v>127476.15</v>
      </c>
      <c r="Y1104" s="655">
        <v>0</v>
      </c>
      <c r="Z1104" s="655">
        <v>0</v>
      </c>
      <c r="AA1104" s="655">
        <v>0</v>
      </c>
      <c r="AB1104" s="655">
        <v>0</v>
      </c>
      <c r="AC1104" s="655">
        <v>0</v>
      </c>
      <c r="AD1104" s="655">
        <v>27107</v>
      </c>
      <c r="AE1104" s="655">
        <v>3697243.15</v>
      </c>
      <c r="AF1104" s="655">
        <v>74129</v>
      </c>
      <c r="AG1104" s="655">
        <v>208425</v>
      </c>
      <c r="AH1104" s="655">
        <v>0</v>
      </c>
      <c r="AI1104" s="805">
        <v>1733164</v>
      </c>
      <c r="AJ1104" s="655">
        <v>1949436</v>
      </c>
      <c r="AK1104" s="655">
        <v>7662397.1500000004</v>
      </c>
      <c r="AL1104" s="805">
        <v>5606875</v>
      </c>
      <c r="AM1104" s="655">
        <v>2055522.1500000004</v>
      </c>
    </row>
    <row r="1105" spans="1:39" x14ac:dyDescent="0.2">
      <c r="A1105" s="648">
        <v>2016</v>
      </c>
      <c r="B1105" s="648">
        <v>7</v>
      </c>
      <c r="C1105" s="657" t="s">
        <v>179</v>
      </c>
      <c r="D1105" s="648">
        <v>2007</v>
      </c>
      <c r="E1105" s="648" t="s">
        <v>1103</v>
      </c>
      <c r="F1105" s="655">
        <v>4131886</v>
      </c>
      <c r="G1105" s="655">
        <v>0</v>
      </c>
      <c r="H1105" s="655">
        <v>90624</v>
      </c>
      <c r="I1105" s="655">
        <v>956200</v>
      </c>
      <c r="J1105" s="655">
        <v>374600</v>
      </c>
      <c r="K1105" s="655">
        <v>43665</v>
      </c>
      <c r="L1105" s="655">
        <v>43210</v>
      </c>
      <c r="M1105" s="655">
        <v>0</v>
      </c>
      <c r="N1105" s="655">
        <v>226296</v>
      </c>
      <c r="O1105" s="655">
        <v>0</v>
      </c>
      <c r="P1105" s="655">
        <v>34476</v>
      </c>
      <c r="Q1105" s="655">
        <v>38513</v>
      </c>
      <c r="R1105" s="655">
        <v>0</v>
      </c>
      <c r="S1105" s="655">
        <v>28819</v>
      </c>
      <c r="T1105" s="655">
        <v>3307</v>
      </c>
      <c r="U1105" s="655">
        <v>204030</v>
      </c>
      <c r="V1105" s="655">
        <v>1866</v>
      </c>
      <c r="W1105" s="655">
        <v>62185</v>
      </c>
      <c r="X1105" s="655">
        <v>308629.88</v>
      </c>
      <c r="Y1105" s="655">
        <v>0</v>
      </c>
      <c r="Z1105" s="655">
        <v>0</v>
      </c>
      <c r="AA1105" s="655">
        <v>0</v>
      </c>
      <c r="AB1105" s="655">
        <v>0</v>
      </c>
      <c r="AC1105" s="655">
        <v>0</v>
      </c>
      <c r="AD1105" s="655">
        <v>31253</v>
      </c>
      <c r="AE1105" s="655">
        <v>6517053.8799999999</v>
      </c>
      <c r="AF1105" s="655">
        <v>132143</v>
      </c>
      <c r="AG1105" s="655">
        <v>301959</v>
      </c>
      <c r="AH1105" s="655">
        <v>0</v>
      </c>
      <c r="AI1105" s="805">
        <v>1788364</v>
      </c>
      <c r="AJ1105" s="655">
        <v>715055</v>
      </c>
      <c r="AK1105" s="655">
        <v>9454574.879999999</v>
      </c>
      <c r="AL1105" s="805">
        <v>8263419</v>
      </c>
      <c r="AM1105" s="655">
        <v>1191155.879999999</v>
      </c>
    </row>
    <row r="1106" spans="1:39" x14ac:dyDescent="0.2">
      <c r="A1106" s="648">
        <v>2016</v>
      </c>
      <c r="B1106" s="648">
        <v>5</v>
      </c>
      <c r="C1106" s="657" t="s">
        <v>180</v>
      </c>
      <c r="D1106" s="648">
        <v>2088</v>
      </c>
      <c r="E1106" s="648" t="s">
        <v>1104</v>
      </c>
      <c r="F1106" s="655">
        <v>4253428</v>
      </c>
      <c r="G1106" s="655">
        <v>129813</v>
      </c>
      <c r="H1106" s="655">
        <v>132957</v>
      </c>
      <c r="I1106" s="655">
        <v>620179</v>
      </c>
      <c r="J1106" s="655">
        <v>367338</v>
      </c>
      <c r="K1106" s="655">
        <v>43024</v>
      </c>
      <c r="L1106" s="655">
        <v>43947</v>
      </c>
      <c r="M1106" s="655">
        <v>0</v>
      </c>
      <c r="N1106" s="655">
        <v>217617</v>
      </c>
      <c r="O1106" s="655">
        <v>5291</v>
      </c>
      <c r="P1106" s="655">
        <v>38543</v>
      </c>
      <c r="Q1106" s="655">
        <v>43291</v>
      </c>
      <c r="R1106" s="655">
        <v>651</v>
      </c>
      <c r="S1106" s="655">
        <v>23750</v>
      </c>
      <c r="T1106" s="655">
        <v>2830</v>
      </c>
      <c r="U1106" s="655">
        <v>110159</v>
      </c>
      <c r="V1106" s="655">
        <v>0</v>
      </c>
      <c r="W1106" s="655">
        <v>163699</v>
      </c>
      <c r="X1106" s="655">
        <v>54286.42</v>
      </c>
      <c r="Y1106" s="655">
        <v>0</v>
      </c>
      <c r="Z1106" s="655">
        <v>0</v>
      </c>
      <c r="AA1106" s="655">
        <v>0</v>
      </c>
      <c r="AB1106" s="655">
        <v>0</v>
      </c>
      <c r="AC1106" s="655">
        <v>0</v>
      </c>
      <c r="AD1106" s="655">
        <v>39116</v>
      </c>
      <c r="AE1106" s="655">
        <v>6211687.4199999999</v>
      </c>
      <c r="AF1106" s="655">
        <v>167596</v>
      </c>
      <c r="AG1106" s="655">
        <v>371655</v>
      </c>
      <c r="AH1106" s="655">
        <v>0</v>
      </c>
      <c r="AI1106" s="805">
        <v>1537521</v>
      </c>
      <c r="AJ1106" s="655">
        <v>1787748</v>
      </c>
      <c r="AK1106" s="655">
        <v>10076207.42</v>
      </c>
      <c r="AL1106" s="805">
        <v>8256061</v>
      </c>
      <c r="AM1106" s="655">
        <v>1820146.42</v>
      </c>
    </row>
    <row r="1107" spans="1:39" x14ac:dyDescent="0.2">
      <c r="A1107" s="648">
        <v>2016</v>
      </c>
      <c r="B1107" s="648">
        <v>10</v>
      </c>
      <c r="C1107" s="657" t="s">
        <v>181</v>
      </c>
      <c r="D1107" s="648">
        <v>2097</v>
      </c>
      <c r="E1107" s="648" t="s">
        <v>2008</v>
      </c>
      <c r="F1107" s="655">
        <v>2977227</v>
      </c>
      <c r="G1107" s="655">
        <v>6528</v>
      </c>
      <c r="H1107" s="655">
        <v>113587</v>
      </c>
      <c r="I1107" s="655">
        <v>376798</v>
      </c>
      <c r="J1107" s="655">
        <v>299403</v>
      </c>
      <c r="K1107" s="655">
        <v>31499</v>
      </c>
      <c r="L1107" s="655">
        <v>32234</v>
      </c>
      <c r="M1107" s="655">
        <v>0</v>
      </c>
      <c r="N1107" s="655">
        <v>145300</v>
      </c>
      <c r="O1107" s="655">
        <v>29886</v>
      </c>
      <c r="P1107" s="655">
        <v>24467</v>
      </c>
      <c r="Q1107" s="655">
        <v>26880</v>
      </c>
      <c r="R1107" s="655">
        <v>0</v>
      </c>
      <c r="S1107" s="655">
        <v>13547</v>
      </c>
      <c r="T1107" s="655">
        <v>1574</v>
      </c>
      <c r="U1107" s="655">
        <v>147035</v>
      </c>
      <c r="V1107" s="655">
        <v>0</v>
      </c>
      <c r="W1107" s="655">
        <v>117771</v>
      </c>
      <c r="X1107" s="655">
        <v>9224.01</v>
      </c>
      <c r="Y1107" s="655">
        <v>0</v>
      </c>
      <c r="Z1107" s="655">
        <v>0</v>
      </c>
      <c r="AA1107" s="655">
        <v>0</v>
      </c>
      <c r="AB1107" s="655">
        <v>0</v>
      </c>
      <c r="AC1107" s="655">
        <v>-1159</v>
      </c>
      <c r="AD1107" s="655">
        <v>31450</v>
      </c>
      <c r="AE1107" s="655">
        <v>4320351.01</v>
      </c>
      <c r="AF1107" s="655">
        <v>83798</v>
      </c>
      <c r="AG1107" s="655">
        <v>239924</v>
      </c>
      <c r="AH1107" s="655">
        <v>0</v>
      </c>
      <c r="AI1107" s="805">
        <v>684751</v>
      </c>
      <c r="AJ1107" s="655">
        <v>1647696</v>
      </c>
      <c r="AK1107" s="655">
        <v>6976520.0099999998</v>
      </c>
      <c r="AL1107" s="805">
        <v>5588313</v>
      </c>
      <c r="AM1107" s="655">
        <v>1388207.0099999998</v>
      </c>
    </row>
    <row r="1108" spans="1:39" x14ac:dyDescent="0.2">
      <c r="A1108" s="648">
        <v>2016</v>
      </c>
      <c r="B1108" s="648">
        <v>13</v>
      </c>
      <c r="C1108" s="657" t="s">
        <v>182</v>
      </c>
      <c r="D1108" s="648">
        <v>2113</v>
      </c>
      <c r="E1108" s="648" t="s">
        <v>1105</v>
      </c>
      <c r="F1108" s="655">
        <v>1432301</v>
      </c>
      <c r="G1108" s="655">
        <v>90243</v>
      </c>
      <c r="H1108" s="655">
        <v>173146</v>
      </c>
      <c r="I1108" s="655">
        <v>168821</v>
      </c>
      <c r="J1108" s="655">
        <v>149468</v>
      </c>
      <c r="K1108" s="655">
        <v>14369</v>
      </c>
      <c r="L1108" s="655">
        <v>21504</v>
      </c>
      <c r="M1108" s="655">
        <v>0</v>
      </c>
      <c r="N1108" s="655">
        <v>70386</v>
      </c>
      <c r="O1108" s="655">
        <v>2759</v>
      </c>
      <c r="P1108" s="655">
        <v>11814</v>
      </c>
      <c r="Q1108" s="655">
        <v>13066</v>
      </c>
      <c r="R1108" s="655">
        <v>0</v>
      </c>
      <c r="S1108" s="655">
        <v>7509</v>
      </c>
      <c r="T1108" s="655">
        <v>797</v>
      </c>
      <c r="U1108" s="655">
        <v>61245</v>
      </c>
      <c r="V1108" s="655">
        <v>0</v>
      </c>
      <c r="W1108" s="655">
        <v>19098</v>
      </c>
      <c r="X1108" s="655">
        <v>62635.66</v>
      </c>
      <c r="Y1108" s="655">
        <v>0</v>
      </c>
      <c r="Z1108" s="655">
        <v>0</v>
      </c>
      <c r="AA1108" s="655">
        <v>0</v>
      </c>
      <c r="AB1108" s="655">
        <v>0</v>
      </c>
      <c r="AC1108" s="655">
        <v>-127</v>
      </c>
      <c r="AD1108" s="655">
        <v>12000</v>
      </c>
      <c r="AE1108" s="655">
        <v>2287034.66</v>
      </c>
      <c r="AF1108" s="655">
        <v>54791</v>
      </c>
      <c r="AG1108" s="655">
        <v>121651</v>
      </c>
      <c r="AH1108" s="655">
        <v>0</v>
      </c>
      <c r="AI1108" s="805">
        <v>556215</v>
      </c>
      <c r="AJ1108" s="655">
        <v>607422</v>
      </c>
      <c r="AK1108" s="655">
        <v>3627113.66</v>
      </c>
      <c r="AL1108" s="805">
        <v>2644727</v>
      </c>
      <c r="AM1108" s="655">
        <v>982386.66000000015</v>
      </c>
    </row>
    <row r="1109" spans="1:39" x14ac:dyDescent="0.2">
      <c r="A1109" s="648">
        <v>2016</v>
      </c>
      <c r="B1109" s="648">
        <v>5</v>
      </c>
      <c r="C1109" s="657" t="s">
        <v>183</v>
      </c>
      <c r="D1109" s="648">
        <v>2124</v>
      </c>
      <c r="E1109" s="648" t="s">
        <v>1106</v>
      </c>
      <c r="F1109" s="655">
        <v>8988192</v>
      </c>
      <c r="G1109" s="655">
        <v>0</v>
      </c>
      <c r="H1109" s="655">
        <v>162602</v>
      </c>
      <c r="I1109" s="655">
        <v>1079359</v>
      </c>
      <c r="J1109" s="655">
        <v>781419</v>
      </c>
      <c r="K1109" s="655">
        <v>87504</v>
      </c>
      <c r="L1109" s="655">
        <v>99615</v>
      </c>
      <c r="M1109" s="655">
        <v>0</v>
      </c>
      <c r="N1109" s="655">
        <v>456840</v>
      </c>
      <c r="O1109" s="655">
        <v>0</v>
      </c>
      <c r="P1109" s="655">
        <v>74061</v>
      </c>
      <c r="Q1109" s="655">
        <v>83184</v>
      </c>
      <c r="R1109" s="655">
        <v>1370</v>
      </c>
      <c r="S1109" s="655">
        <v>48656</v>
      </c>
      <c r="T1109" s="655">
        <v>5794</v>
      </c>
      <c r="U1109" s="655">
        <v>332886</v>
      </c>
      <c r="V1109" s="655">
        <v>0</v>
      </c>
      <c r="W1109" s="655">
        <v>150073</v>
      </c>
      <c r="X1109" s="655">
        <v>544704</v>
      </c>
      <c r="Y1109" s="655">
        <v>0</v>
      </c>
      <c r="Z1109" s="655">
        <v>0</v>
      </c>
      <c r="AA1109" s="655">
        <v>0</v>
      </c>
      <c r="AB1109" s="655">
        <v>0</v>
      </c>
      <c r="AC1109" s="655">
        <v>0</v>
      </c>
      <c r="AD1109" s="655">
        <v>70397</v>
      </c>
      <c r="AE1109" s="655">
        <v>12825862</v>
      </c>
      <c r="AF1109" s="655">
        <v>203049</v>
      </c>
      <c r="AG1109" s="655">
        <v>613354</v>
      </c>
      <c r="AH1109" s="655">
        <v>0</v>
      </c>
      <c r="AI1109" s="805">
        <v>1200175</v>
      </c>
      <c r="AJ1109" s="655">
        <v>2639920</v>
      </c>
      <c r="AK1109" s="655">
        <v>17482360</v>
      </c>
      <c r="AL1109" s="805">
        <v>14365111</v>
      </c>
      <c r="AM1109" s="655">
        <v>3117249</v>
      </c>
    </row>
    <row r="1110" spans="1:39" x14ac:dyDescent="0.2">
      <c r="A1110" s="648">
        <v>2016</v>
      </c>
      <c r="B1110" s="648">
        <v>11</v>
      </c>
      <c r="C1110" s="657" t="s">
        <v>184</v>
      </c>
      <c r="D1110" s="648">
        <v>2151</v>
      </c>
      <c r="E1110" s="648" t="s">
        <v>1637</v>
      </c>
      <c r="F1110" s="655">
        <v>2703420</v>
      </c>
      <c r="G1110" s="655">
        <v>138856</v>
      </c>
      <c r="H1110" s="655">
        <v>115790</v>
      </c>
      <c r="I1110" s="655">
        <v>286079</v>
      </c>
      <c r="J1110" s="655">
        <v>277317</v>
      </c>
      <c r="K1110" s="655">
        <v>29123</v>
      </c>
      <c r="L1110" s="655">
        <v>27696</v>
      </c>
      <c r="M1110" s="655">
        <v>0</v>
      </c>
      <c r="N1110" s="655">
        <v>126040</v>
      </c>
      <c r="O1110" s="655">
        <v>29491</v>
      </c>
      <c r="P1110" s="655">
        <v>21781</v>
      </c>
      <c r="Q1110" s="655">
        <v>23909</v>
      </c>
      <c r="R1110" s="655">
        <v>0</v>
      </c>
      <c r="S1110" s="655">
        <v>10947</v>
      </c>
      <c r="T1110" s="655">
        <v>1395</v>
      </c>
      <c r="U1110" s="655">
        <v>85039</v>
      </c>
      <c r="V1110" s="655">
        <v>0</v>
      </c>
      <c r="W1110" s="655">
        <v>85304</v>
      </c>
      <c r="X1110" s="655">
        <v>126875.51</v>
      </c>
      <c r="Y1110" s="655">
        <v>0</v>
      </c>
      <c r="Z1110" s="655">
        <v>0</v>
      </c>
      <c r="AA1110" s="655">
        <v>0</v>
      </c>
      <c r="AB1110" s="655">
        <v>0</v>
      </c>
      <c r="AC1110" s="655">
        <v>0</v>
      </c>
      <c r="AD1110" s="655">
        <v>29687</v>
      </c>
      <c r="AE1110" s="655">
        <v>4059375.51</v>
      </c>
      <c r="AF1110" s="655">
        <v>64460</v>
      </c>
      <c r="AG1110" s="655">
        <v>237757</v>
      </c>
      <c r="AH1110" s="655">
        <v>0</v>
      </c>
      <c r="AI1110" s="805">
        <v>402835</v>
      </c>
      <c r="AJ1110" s="655">
        <v>958657</v>
      </c>
      <c r="AK1110" s="655">
        <v>5723084.5099999998</v>
      </c>
      <c r="AL1110" s="805">
        <v>4823826</v>
      </c>
      <c r="AM1110" s="655">
        <v>899258.50999999978</v>
      </c>
    </row>
    <row r="1111" spans="1:39" x14ac:dyDescent="0.2">
      <c r="A1111" s="648">
        <v>2016</v>
      </c>
      <c r="B1111" s="648">
        <v>15</v>
      </c>
      <c r="C1111" s="657" t="s">
        <v>185</v>
      </c>
      <c r="D1111" s="648">
        <v>2169</v>
      </c>
      <c r="E1111" s="648" t="s">
        <v>1107</v>
      </c>
      <c r="F1111" s="655">
        <v>10685534</v>
      </c>
      <c r="G1111" s="655">
        <v>0</v>
      </c>
      <c r="H1111" s="655">
        <v>229581</v>
      </c>
      <c r="I1111" s="655">
        <v>1864634</v>
      </c>
      <c r="J1111" s="655">
        <v>948702</v>
      </c>
      <c r="K1111" s="655">
        <v>98932</v>
      </c>
      <c r="L1111" s="655">
        <v>108629</v>
      </c>
      <c r="M1111" s="655">
        <v>0</v>
      </c>
      <c r="N1111" s="655">
        <v>546573</v>
      </c>
      <c r="O1111" s="655">
        <v>0</v>
      </c>
      <c r="P1111" s="655">
        <v>94720</v>
      </c>
      <c r="Q1111" s="655">
        <v>104046</v>
      </c>
      <c r="R1111" s="655">
        <v>1460</v>
      </c>
      <c r="S1111" s="655">
        <v>54729</v>
      </c>
      <c r="T1111" s="655">
        <v>5919</v>
      </c>
      <c r="U1111" s="655">
        <v>249620</v>
      </c>
      <c r="V1111" s="655">
        <v>0</v>
      </c>
      <c r="W1111" s="655">
        <v>122477</v>
      </c>
      <c r="X1111" s="655">
        <v>125698.17</v>
      </c>
      <c r="Y1111" s="655">
        <v>0</v>
      </c>
      <c r="Z1111" s="655">
        <v>0</v>
      </c>
      <c r="AA1111" s="655">
        <v>0</v>
      </c>
      <c r="AB1111" s="655">
        <v>0</v>
      </c>
      <c r="AC1111" s="655">
        <v>573</v>
      </c>
      <c r="AD1111" s="655">
        <v>91881</v>
      </c>
      <c r="AE1111" s="655">
        <v>15149946.17</v>
      </c>
      <c r="AF1111" s="655">
        <v>151481</v>
      </c>
      <c r="AG1111" s="655">
        <v>859544</v>
      </c>
      <c r="AH1111" s="655">
        <v>0</v>
      </c>
      <c r="AI1111" s="805">
        <v>2795325</v>
      </c>
      <c r="AJ1111" s="655">
        <v>501665</v>
      </c>
      <c r="AK1111" s="655">
        <v>19457961.170000002</v>
      </c>
      <c r="AL1111" s="805">
        <v>19116235</v>
      </c>
      <c r="AM1111" s="655">
        <v>341726.17000000179</v>
      </c>
    </row>
    <row r="1112" spans="1:39" x14ac:dyDescent="0.2">
      <c r="A1112" s="648">
        <v>2016</v>
      </c>
      <c r="B1112" s="648">
        <v>7</v>
      </c>
      <c r="C1112" s="657" t="s">
        <v>187</v>
      </c>
      <c r="D1112" s="648">
        <v>2295</v>
      </c>
      <c r="E1112" s="648" t="s">
        <v>1109</v>
      </c>
      <c r="F1112" s="655">
        <v>7086685</v>
      </c>
      <c r="G1112" s="655">
        <v>28476</v>
      </c>
      <c r="H1112" s="655">
        <v>693388</v>
      </c>
      <c r="I1112" s="655">
        <v>1171542</v>
      </c>
      <c r="J1112" s="655">
        <v>647510</v>
      </c>
      <c r="K1112" s="655">
        <v>75468</v>
      </c>
      <c r="L1112" s="655">
        <v>72580</v>
      </c>
      <c r="M1112" s="655">
        <v>0</v>
      </c>
      <c r="N1112" s="655">
        <v>366892</v>
      </c>
      <c r="O1112" s="655">
        <v>53877</v>
      </c>
      <c r="P1112" s="655">
        <v>58344</v>
      </c>
      <c r="Q1112" s="655">
        <v>65175</v>
      </c>
      <c r="R1112" s="655">
        <v>0</v>
      </c>
      <c r="S1112" s="655">
        <v>46724</v>
      </c>
      <c r="T1112" s="655">
        <v>5362</v>
      </c>
      <c r="U1112" s="655">
        <v>332875</v>
      </c>
      <c r="V1112" s="655">
        <v>0</v>
      </c>
      <c r="W1112" s="655">
        <v>82121</v>
      </c>
      <c r="X1112" s="655">
        <v>555379.80000000005</v>
      </c>
      <c r="Y1112" s="655">
        <v>0</v>
      </c>
      <c r="Z1112" s="655">
        <v>0</v>
      </c>
      <c r="AA1112" s="655">
        <v>0</v>
      </c>
      <c r="AB1112" s="655">
        <v>0</v>
      </c>
      <c r="AC1112" s="655">
        <v>0</v>
      </c>
      <c r="AD1112" s="655">
        <v>73519</v>
      </c>
      <c r="AE1112" s="655">
        <v>11268879.800000001</v>
      </c>
      <c r="AF1112" s="655">
        <v>157927</v>
      </c>
      <c r="AG1112" s="655">
        <v>559536</v>
      </c>
      <c r="AH1112" s="655">
        <v>0</v>
      </c>
      <c r="AI1112" s="805">
        <v>1596051</v>
      </c>
      <c r="AJ1112" s="655">
        <v>2060822</v>
      </c>
      <c r="AK1112" s="655">
        <v>15643215.800000001</v>
      </c>
      <c r="AL1112" s="805">
        <v>13662829</v>
      </c>
      <c r="AM1112" s="655">
        <v>1980386.8000000007</v>
      </c>
    </row>
    <row r="1113" spans="1:39" x14ac:dyDescent="0.2">
      <c r="A1113" s="648">
        <v>2016</v>
      </c>
      <c r="B1113" s="648">
        <v>5</v>
      </c>
      <c r="C1113" s="657" t="s">
        <v>188</v>
      </c>
      <c r="D1113" s="648">
        <v>2313</v>
      </c>
      <c r="E1113" s="648" t="s">
        <v>1110</v>
      </c>
      <c r="F1113" s="655">
        <v>24384438</v>
      </c>
      <c r="G1113" s="655">
        <v>0</v>
      </c>
      <c r="H1113" s="655">
        <v>349218</v>
      </c>
      <c r="I1113" s="655">
        <v>4114757</v>
      </c>
      <c r="J1113" s="655">
        <v>2137377</v>
      </c>
      <c r="K1113" s="655">
        <v>249005</v>
      </c>
      <c r="L1113" s="655">
        <v>282909</v>
      </c>
      <c r="M1113" s="655">
        <v>0</v>
      </c>
      <c r="N1113" s="655">
        <v>1291423</v>
      </c>
      <c r="O1113" s="655">
        <v>0</v>
      </c>
      <c r="P1113" s="655">
        <v>241294</v>
      </c>
      <c r="Q1113" s="655">
        <v>271018</v>
      </c>
      <c r="R1113" s="655">
        <v>3878</v>
      </c>
      <c r="S1113" s="655">
        <v>137543</v>
      </c>
      <c r="T1113" s="655">
        <v>16378</v>
      </c>
      <c r="U1113" s="655">
        <v>1204154</v>
      </c>
      <c r="V1113" s="655">
        <v>191</v>
      </c>
      <c r="W1113" s="655">
        <v>249934</v>
      </c>
      <c r="X1113" s="655">
        <v>0</v>
      </c>
      <c r="Y1113" s="655">
        <v>292568.21999999997</v>
      </c>
      <c r="Z1113" s="655">
        <v>0</v>
      </c>
      <c r="AA1113" s="655">
        <v>0</v>
      </c>
      <c r="AB1113" s="655">
        <v>0</v>
      </c>
      <c r="AC1113" s="655">
        <v>-19179</v>
      </c>
      <c r="AD1113" s="655">
        <v>212765</v>
      </c>
      <c r="AE1113" s="655">
        <v>34409004.780000001</v>
      </c>
      <c r="AF1113" s="655">
        <v>702614</v>
      </c>
      <c r="AG1113" s="655">
        <v>1655460</v>
      </c>
      <c r="AH1113" s="655">
        <v>0</v>
      </c>
      <c r="AI1113" s="805">
        <v>7437151</v>
      </c>
      <c r="AJ1113" s="655">
        <v>4674099</v>
      </c>
      <c r="AK1113" s="655">
        <v>48878328.780000001</v>
      </c>
      <c r="AL1113" s="805">
        <v>43581785</v>
      </c>
      <c r="AM1113" s="655">
        <v>5296543.7800000012</v>
      </c>
    </row>
    <row r="1114" spans="1:39" x14ac:dyDescent="0.2">
      <c r="A1114" s="648">
        <v>2016</v>
      </c>
      <c r="B1114" s="648">
        <v>15</v>
      </c>
      <c r="C1114" s="657" t="s">
        <v>189</v>
      </c>
      <c r="D1114" s="648">
        <v>2322</v>
      </c>
      <c r="E1114" s="648" t="s">
        <v>1111</v>
      </c>
      <c r="F1114" s="655">
        <v>14538308</v>
      </c>
      <c r="G1114" s="655">
        <v>0</v>
      </c>
      <c r="H1114" s="655">
        <v>182041</v>
      </c>
      <c r="I1114" s="655">
        <v>1933864</v>
      </c>
      <c r="J1114" s="655">
        <v>1193535</v>
      </c>
      <c r="K1114" s="655">
        <v>133700</v>
      </c>
      <c r="L1114" s="655">
        <v>149285</v>
      </c>
      <c r="M1114" s="655">
        <v>0</v>
      </c>
      <c r="N1114" s="655">
        <v>717380</v>
      </c>
      <c r="O1114" s="655">
        <v>0</v>
      </c>
      <c r="P1114" s="655">
        <v>133304</v>
      </c>
      <c r="Q1114" s="655">
        <v>146429</v>
      </c>
      <c r="R1114" s="655">
        <v>1917</v>
      </c>
      <c r="S1114" s="655">
        <v>71833</v>
      </c>
      <c r="T1114" s="655">
        <v>7768</v>
      </c>
      <c r="U1114" s="655">
        <v>717894</v>
      </c>
      <c r="V1114" s="655">
        <v>28178</v>
      </c>
      <c r="W1114" s="655">
        <v>311934</v>
      </c>
      <c r="X1114" s="655">
        <v>415731.7</v>
      </c>
      <c r="Y1114" s="655">
        <v>0</v>
      </c>
      <c r="Z1114" s="655">
        <v>0</v>
      </c>
      <c r="AA1114" s="655">
        <v>0</v>
      </c>
      <c r="AB1114" s="655">
        <v>0</v>
      </c>
      <c r="AC1114" s="655">
        <v>-12732</v>
      </c>
      <c r="AD1114" s="655">
        <v>124889</v>
      </c>
      <c r="AE1114" s="655">
        <v>20545480.699999999</v>
      </c>
      <c r="AF1114" s="655">
        <v>196603</v>
      </c>
      <c r="AG1114" s="655">
        <v>0</v>
      </c>
      <c r="AH1114" s="655">
        <v>0</v>
      </c>
      <c r="AI1114" s="805">
        <v>1924781</v>
      </c>
      <c r="AJ1114" s="655">
        <v>3359797</v>
      </c>
      <c r="AK1114" s="655">
        <v>26026661.699999999</v>
      </c>
      <c r="AL1114" s="805">
        <v>22992391</v>
      </c>
      <c r="AM1114" s="655">
        <v>3034270.6999999993</v>
      </c>
    </row>
    <row r="1115" spans="1:39" x14ac:dyDescent="0.2">
      <c r="A1115" s="648">
        <v>2016</v>
      </c>
      <c r="B1115" s="648">
        <v>13</v>
      </c>
      <c r="C1115" s="657" t="s">
        <v>190</v>
      </c>
      <c r="D1115" s="648">
        <v>2369</v>
      </c>
      <c r="E1115" s="648" t="s">
        <v>1112</v>
      </c>
      <c r="F1115" s="655">
        <v>3016728</v>
      </c>
      <c r="G1115" s="655">
        <v>0</v>
      </c>
      <c r="H1115" s="655">
        <v>247771</v>
      </c>
      <c r="I1115" s="655">
        <v>322880</v>
      </c>
      <c r="J1115" s="655">
        <v>260503</v>
      </c>
      <c r="K1115" s="655">
        <v>25127</v>
      </c>
      <c r="L1115" s="655">
        <v>33598</v>
      </c>
      <c r="M1115" s="655">
        <v>0</v>
      </c>
      <c r="N1115" s="655">
        <v>146811</v>
      </c>
      <c r="O1115" s="655">
        <v>0</v>
      </c>
      <c r="P1115" s="655">
        <v>24788</v>
      </c>
      <c r="Q1115" s="655">
        <v>27415</v>
      </c>
      <c r="R1115" s="655">
        <v>0</v>
      </c>
      <c r="S1115" s="655">
        <v>15076</v>
      </c>
      <c r="T1115" s="655">
        <v>1601</v>
      </c>
      <c r="U1115" s="655">
        <v>35276</v>
      </c>
      <c r="V1115" s="655">
        <v>0</v>
      </c>
      <c r="W1115" s="655">
        <v>44562</v>
      </c>
      <c r="X1115" s="655">
        <v>66699.960000000006</v>
      </c>
      <c r="Y1115" s="655">
        <v>0</v>
      </c>
      <c r="Z1115" s="655">
        <v>0</v>
      </c>
      <c r="AA1115" s="655">
        <v>0</v>
      </c>
      <c r="AB1115" s="655">
        <v>0</v>
      </c>
      <c r="AC1115" s="655">
        <v>63660</v>
      </c>
      <c r="AD1115" s="655">
        <v>20678</v>
      </c>
      <c r="AE1115" s="655">
        <v>4311817.96</v>
      </c>
      <c r="AF1115" s="655">
        <v>83798</v>
      </c>
      <c r="AG1115" s="655">
        <v>235607</v>
      </c>
      <c r="AH1115" s="655">
        <v>0</v>
      </c>
      <c r="AI1115" s="805">
        <v>756081</v>
      </c>
      <c r="AJ1115" s="655">
        <v>1873108</v>
      </c>
      <c r="AK1115" s="655">
        <v>7260411.96</v>
      </c>
      <c r="AL1115" s="805">
        <v>5473377</v>
      </c>
      <c r="AM1115" s="655">
        <v>1787034.96</v>
      </c>
    </row>
    <row r="1116" spans="1:39" x14ac:dyDescent="0.2">
      <c r="A1116" s="648">
        <v>2016</v>
      </c>
      <c r="B1116" s="648">
        <v>12</v>
      </c>
      <c r="C1116" s="657" t="s">
        <v>191</v>
      </c>
      <c r="D1116" s="648">
        <v>2376</v>
      </c>
      <c r="E1116" s="648" t="s">
        <v>1113</v>
      </c>
      <c r="F1116" s="655">
        <v>2746248</v>
      </c>
      <c r="G1116" s="655">
        <v>254227</v>
      </c>
      <c r="H1116" s="655">
        <v>194725</v>
      </c>
      <c r="I1116" s="655">
        <v>181421</v>
      </c>
      <c r="J1116" s="655">
        <v>277010</v>
      </c>
      <c r="K1116" s="655">
        <v>28653</v>
      </c>
      <c r="L1116" s="655">
        <v>29838</v>
      </c>
      <c r="M1116" s="655">
        <v>0</v>
      </c>
      <c r="N1116" s="655">
        <v>131060</v>
      </c>
      <c r="O1116" s="655">
        <v>11786</v>
      </c>
      <c r="P1116" s="655">
        <v>22852</v>
      </c>
      <c r="Q1116" s="655">
        <v>25657</v>
      </c>
      <c r="R1116" s="655">
        <v>0</v>
      </c>
      <c r="S1116" s="655">
        <v>14341</v>
      </c>
      <c r="T1116" s="655">
        <v>1715</v>
      </c>
      <c r="U1116" s="655">
        <v>67808</v>
      </c>
      <c r="V1116" s="655">
        <v>0</v>
      </c>
      <c r="W1116" s="655">
        <v>142494</v>
      </c>
      <c r="X1116" s="655">
        <v>58504.29</v>
      </c>
      <c r="Y1116" s="655">
        <v>0</v>
      </c>
      <c r="Z1116" s="655">
        <v>0</v>
      </c>
      <c r="AA1116" s="655">
        <v>0</v>
      </c>
      <c r="AB1116" s="655">
        <v>0</v>
      </c>
      <c r="AC1116" s="655">
        <v>0</v>
      </c>
      <c r="AD1116" s="655">
        <v>25821</v>
      </c>
      <c r="AE1116" s="655">
        <v>4162518.29</v>
      </c>
      <c r="AF1116" s="655">
        <v>90244</v>
      </c>
      <c r="AG1116" s="655">
        <v>255971</v>
      </c>
      <c r="AH1116" s="655">
        <v>0</v>
      </c>
      <c r="AI1116" s="805">
        <v>1386899</v>
      </c>
      <c r="AJ1116" s="655">
        <v>645560</v>
      </c>
      <c r="AK1116" s="655">
        <v>6541192.29</v>
      </c>
      <c r="AL1116" s="805">
        <v>5473284</v>
      </c>
      <c r="AM1116" s="655">
        <v>1067908.29</v>
      </c>
    </row>
    <row r="1117" spans="1:39" x14ac:dyDescent="0.2">
      <c r="A1117" s="648">
        <v>2016</v>
      </c>
      <c r="B1117" s="648">
        <v>7</v>
      </c>
      <c r="C1117" s="657" t="s">
        <v>192</v>
      </c>
      <c r="D1117" s="648">
        <v>2403</v>
      </c>
      <c r="E1117" s="648" t="s">
        <v>1747</v>
      </c>
      <c r="F1117" s="655">
        <v>6179126</v>
      </c>
      <c r="G1117" s="655">
        <v>369652</v>
      </c>
      <c r="H1117" s="655">
        <v>464787</v>
      </c>
      <c r="I1117" s="655">
        <v>627946</v>
      </c>
      <c r="J1117" s="655">
        <v>592486</v>
      </c>
      <c r="K1117" s="655">
        <v>65686</v>
      </c>
      <c r="L1117" s="655">
        <v>67901</v>
      </c>
      <c r="M1117" s="655">
        <v>0</v>
      </c>
      <c r="N1117" s="655">
        <v>301486</v>
      </c>
      <c r="O1117" s="655">
        <v>34664</v>
      </c>
      <c r="P1117" s="655">
        <v>51131</v>
      </c>
      <c r="Q1117" s="655">
        <v>57117</v>
      </c>
      <c r="R1117" s="655">
        <v>0</v>
      </c>
      <c r="S1117" s="655">
        <v>41157</v>
      </c>
      <c r="T1117" s="655">
        <v>4725</v>
      </c>
      <c r="U1117" s="655">
        <v>168259</v>
      </c>
      <c r="V1117" s="655">
        <v>0</v>
      </c>
      <c r="W1117" s="655">
        <v>121741</v>
      </c>
      <c r="X1117" s="655">
        <v>162666.89000000001</v>
      </c>
      <c r="Y1117" s="655">
        <v>0</v>
      </c>
      <c r="Z1117" s="655">
        <v>0</v>
      </c>
      <c r="AA1117" s="655">
        <v>0</v>
      </c>
      <c r="AB1117" s="655">
        <v>0</v>
      </c>
      <c r="AC1117" s="655">
        <v>0</v>
      </c>
      <c r="AD1117" s="655">
        <v>49755</v>
      </c>
      <c r="AE1117" s="655">
        <v>9260775.8900000006</v>
      </c>
      <c r="AF1117" s="655">
        <v>148258</v>
      </c>
      <c r="AG1117" s="655">
        <v>556057</v>
      </c>
      <c r="AH1117" s="655">
        <v>0</v>
      </c>
      <c r="AI1117" s="805">
        <v>2162599</v>
      </c>
      <c r="AJ1117" s="655">
        <v>3016390</v>
      </c>
      <c r="AK1117" s="655">
        <v>15144079.890000001</v>
      </c>
      <c r="AL1117" s="805">
        <v>12441186</v>
      </c>
      <c r="AM1117" s="655">
        <v>2702893.8900000006</v>
      </c>
    </row>
    <row r="1118" spans="1:39" x14ac:dyDescent="0.2">
      <c r="A1118" s="648">
        <v>2016</v>
      </c>
      <c r="B1118" s="648">
        <v>12</v>
      </c>
      <c r="C1118" s="657" t="s">
        <v>193</v>
      </c>
      <c r="D1118" s="648">
        <v>2457</v>
      </c>
      <c r="E1118" s="648" t="s">
        <v>1002</v>
      </c>
      <c r="F1118" s="655">
        <v>2920683</v>
      </c>
      <c r="G1118" s="655">
        <v>0</v>
      </c>
      <c r="H1118" s="655">
        <v>29349</v>
      </c>
      <c r="I1118" s="655">
        <v>221227</v>
      </c>
      <c r="J1118" s="655">
        <v>262798</v>
      </c>
      <c r="K1118" s="655">
        <v>29193</v>
      </c>
      <c r="L1118" s="655">
        <v>29642</v>
      </c>
      <c r="M1118" s="655">
        <v>0</v>
      </c>
      <c r="N1118" s="655">
        <v>141327</v>
      </c>
      <c r="O1118" s="655">
        <v>5245</v>
      </c>
      <c r="P1118" s="655">
        <v>24177</v>
      </c>
      <c r="Q1118" s="655">
        <v>27146</v>
      </c>
      <c r="R1118" s="655">
        <v>0</v>
      </c>
      <c r="S1118" s="655">
        <v>14194</v>
      </c>
      <c r="T1118" s="655">
        <v>1696</v>
      </c>
      <c r="U1118" s="655">
        <v>135208</v>
      </c>
      <c r="V1118" s="655">
        <v>4343</v>
      </c>
      <c r="W1118" s="655">
        <v>64452</v>
      </c>
      <c r="X1118" s="655">
        <v>133011.37</v>
      </c>
      <c r="Y1118" s="655">
        <v>0</v>
      </c>
      <c r="Z1118" s="655">
        <v>0</v>
      </c>
      <c r="AA1118" s="655">
        <v>0</v>
      </c>
      <c r="AB1118" s="655">
        <v>0</v>
      </c>
      <c r="AC1118" s="655">
        <v>0</v>
      </c>
      <c r="AD1118" s="655">
        <v>24051</v>
      </c>
      <c r="AE1118" s="655">
        <v>4019640.37</v>
      </c>
      <c r="AF1118" s="655">
        <v>77352</v>
      </c>
      <c r="AG1118" s="655">
        <v>244023</v>
      </c>
      <c r="AH1118" s="655">
        <v>0</v>
      </c>
      <c r="AI1118" s="805">
        <v>577069</v>
      </c>
      <c r="AJ1118" s="655">
        <v>814551</v>
      </c>
      <c r="AK1118" s="655">
        <v>5732635.3700000001</v>
      </c>
      <c r="AL1118" s="805">
        <v>4862034</v>
      </c>
      <c r="AM1118" s="655">
        <v>870601.37000000011</v>
      </c>
    </row>
    <row r="1119" spans="1:39" x14ac:dyDescent="0.2">
      <c r="A1119" s="648">
        <v>2016</v>
      </c>
      <c r="B1119" s="648">
        <v>11</v>
      </c>
      <c r="C1119" s="657" t="s">
        <v>194</v>
      </c>
      <c r="D1119" s="648">
        <v>2466</v>
      </c>
      <c r="E1119" s="648" t="s">
        <v>1114</v>
      </c>
      <c r="F1119" s="655">
        <v>8667936</v>
      </c>
      <c r="G1119" s="655">
        <v>0</v>
      </c>
      <c r="H1119" s="655">
        <v>81645</v>
      </c>
      <c r="I1119" s="655">
        <v>456570</v>
      </c>
      <c r="J1119" s="655">
        <v>705497</v>
      </c>
      <c r="K1119" s="655">
        <v>78127</v>
      </c>
      <c r="L1119" s="655">
        <v>67195</v>
      </c>
      <c r="M1119" s="655">
        <v>420461</v>
      </c>
      <c r="N1119" s="655">
        <v>389710</v>
      </c>
      <c r="O1119" s="655">
        <v>0</v>
      </c>
      <c r="P1119" s="655">
        <v>73128</v>
      </c>
      <c r="Q1119" s="655">
        <v>80273</v>
      </c>
      <c r="R1119" s="655">
        <v>0</v>
      </c>
      <c r="S1119" s="655">
        <v>31934</v>
      </c>
      <c r="T1119" s="655">
        <v>4063</v>
      </c>
      <c r="U1119" s="655">
        <v>57188</v>
      </c>
      <c r="V1119" s="655">
        <v>0</v>
      </c>
      <c r="W1119" s="655">
        <v>301286</v>
      </c>
      <c r="X1119" s="655">
        <v>579340.72</v>
      </c>
      <c r="Y1119" s="655">
        <v>0</v>
      </c>
      <c r="Z1119" s="655">
        <v>0</v>
      </c>
      <c r="AA1119" s="655">
        <v>0</v>
      </c>
      <c r="AB1119" s="655">
        <v>0</v>
      </c>
      <c r="AC1119" s="655">
        <v>0</v>
      </c>
      <c r="AD1119" s="655">
        <v>38933</v>
      </c>
      <c r="AE1119" s="655">
        <v>11955420.720000001</v>
      </c>
      <c r="AF1119" s="655">
        <v>145035</v>
      </c>
      <c r="AG1119" s="655">
        <v>659804</v>
      </c>
      <c r="AH1119" s="655">
        <v>0</v>
      </c>
      <c r="AI1119" s="805">
        <v>2047758</v>
      </c>
      <c r="AJ1119" s="655">
        <v>1680021</v>
      </c>
      <c r="AK1119" s="655">
        <v>16488038.720000001</v>
      </c>
      <c r="AL1119" s="805">
        <v>14371490</v>
      </c>
      <c r="AM1119" s="655">
        <v>2116548.7200000007</v>
      </c>
    </row>
    <row r="1120" spans="1:39" x14ac:dyDescent="0.2">
      <c r="A1120" s="648">
        <v>2016</v>
      </c>
      <c r="B1120" s="648">
        <v>5</v>
      </c>
      <c r="C1120" s="657" t="s">
        <v>195</v>
      </c>
      <c r="D1120" s="648">
        <v>2493</v>
      </c>
      <c r="E1120" s="648" t="s">
        <v>1115</v>
      </c>
      <c r="F1120" s="655">
        <v>700978</v>
      </c>
      <c r="G1120" s="655">
        <v>38035</v>
      </c>
      <c r="H1120" s="655">
        <v>101946</v>
      </c>
      <c r="I1120" s="655">
        <v>110503</v>
      </c>
      <c r="J1120" s="655">
        <v>69788</v>
      </c>
      <c r="K1120" s="655">
        <v>8257</v>
      </c>
      <c r="L1120" s="655">
        <v>5495</v>
      </c>
      <c r="M1120" s="655">
        <v>0</v>
      </c>
      <c r="N1120" s="655">
        <v>35993</v>
      </c>
      <c r="O1120" s="655">
        <v>22066</v>
      </c>
      <c r="P1120" s="655">
        <v>5999</v>
      </c>
      <c r="Q1120" s="655">
        <v>6738</v>
      </c>
      <c r="R1120" s="655">
        <v>109</v>
      </c>
      <c r="S1120" s="655">
        <v>4000</v>
      </c>
      <c r="T1120" s="655">
        <v>477</v>
      </c>
      <c r="U1120" s="655">
        <v>0</v>
      </c>
      <c r="V1120" s="655">
        <v>0</v>
      </c>
      <c r="W1120" s="655">
        <v>70767</v>
      </c>
      <c r="X1120" s="655">
        <v>0</v>
      </c>
      <c r="Y1120" s="655">
        <v>0</v>
      </c>
      <c r="Z1120" s="655">
        <v>0</v>
      </c>
      <c r="AA1120" s="655">
        <v>0</v>
      </c>
      <c r="AB1120" s="655">
        <v>0</v>
      </c>
      <c r="AC1120" s="655">
        <v>0</v>
      </c>
      <c r="AD1120" s="655">
        <v>10845</v>
      </c>
      <c r="AE1120" s="655">
        <v>1170306</v>
      </c>
      <c r="AF1120" s="655">
        <v>25784</v>
      </c>
      <c r="AG1120" s="655">
        <v>67568</v>
      </c>
      <c r="AH1120" s="655">
        <v>0</v>
      </c>
      <c r="AI1120" s="805">
        <v>324879</v>
      </c>
      <c r="AJ1120" s="655">
        <v>1141913</v>
      </c>
      <c r="AK1120" s="655">
        <v>2730450</v>
      </c>
      <c r="AL1120" s="805">
        <v>1654965</v>
      </c>
      <c r="AM1120" s="655">
        <v>1075485</v>
      </c>
    </row>
    <row r="1121" spans="1:39" x14ac:dyDescent="0.2">
      <c r="A1121" s="648">
        <v>2016</v>
      </c>
      <c r="B1121" s="648">
        <v>7</v>
      </c>
      <c r="C1121" s="657" t="s">
        <v>196</v>
      </c>
      <c r="D1121" s="648">
        <v>2502</v>
      </c>
      <c r="E1121" s="648" t="s">
        <v>1116</v>
      </c>
      <c r="F1121" s="655">
        <v>3882433</v>
      </c>
      <c r="G1121" s="655">
        <v>45759</v>
      </c>
      <c r="H1121" s="655">
        <v>89654</v>
      </c>
      <c r="I1121" s="655">
        <v>465552</v>
      </c>
      <c r="J1121" s="655">
        <v>359859</v>
      </c>
      <c r="K1121" s="655">
        <v>36884</v>
      </c>
      <c r="L1121" s="655">
        <v>31055</v>
      </c>
      <c r="M1121" s="655">
        <v>0</v>
      </c>
      <c r="N1121" s="655">
        <v>190425</v>
      </c>
      <c r="O1121" s="655">
        <v>18190</v>
      </c>
      <c r="P1121" s="655">
        <v>31612</v>
      </c>
      <c r="Q1121" s="655">
        <v>35313</v>
      </c>
      <c r="R1121" s="655">
        <v>0</v>
      </c>
      <c r="S1121" s="655">
        <v>24666</v>
      </c>
      <c r="T1121" s="655">
        <v>2832</v>
      </c>
      <c r="U1121" s="655">
        <v>145729</v>
      </c>
      <c r="V1121" s="655">
        <v>0</v>
      </c>
      <c r="W1121" s="655">
        <v>140052</v>
      </c>
      <c r="X1121" s="655">
        <v>266247</v>
      </c>
      <c r="Y1121" s="655">
        <v>0</v>
      </c>
      <c r="Z1121" s="655">
        <v>0</v>
      </c>
      <c r="AA1121" s="655">
        <v>0</v>
      </c>
      <c r="AB1121" s="655">
        <v>0</v>
      </c>
      <c r="AC1121" s="655">
        <v>32007</v>
      </c>
      <c r="AD1121" s="655">
        <v>38194</v>
      </c>
      <c r="AE1121" s="655">
        <v>5760075</v>
      </c>
      <c r="AF1121" s="655">
        <v>0</v>
      </c>
      <c r="AG1121" s="655">
        <v>326315</v>
      </c>
      <c r="AH1121" s="655">
        <v>0</v>
      </c>
      <c r="AI1121" s="805">
        <v>958842</v>
      </c>
      <c r="AJ1121" s="655">
        <v>887336</v>
      </c>
      <c r="AK1121" s="655">
        <v>7932568</v>
      </c>
      <c r="AL1121" s="805">
        <v>6307820</v>
      </c>
      <c r="AM1121" s="655">
        <v>1624748</v>
      </c>
    </row>
    <row r="1122" spans="1:39" x14ac:dyDescent="0.2">
      <c r="A1122" s="648">
        <v>2016</v>
      </c>
      <c r="B1122" s="648">
        <v>13</v>
      </c>
      <c r="C1122" s="657" t="s">
        <v>197</v>
      </c>
      <c r="D1122" s="648">
        <v>2511</v>
      </c>
      <c r="E1122" s="648" t="s">
        <v>1117</v>
      </c>
      <c r="F1122" s="655">
        <v>12634160</v>
      </c>
      <c r="G1122" s="655">
        <v>0</v>
      </c>
      <c r="H1122" s="655">
        <v>111419</v>
      </c>
      <c r="I1122" s="655">
        <v>1458859</v>
      </c>
      <c r="J1122" s="655">
        <v>1040995</v>
      </c>
      <c r="K1122" s="655">
        <v>112406</v>
      </c>
      <c r="L1122" s="655">
        <v>128890</v>
      </c>
      <c r="M1122" s="655">
        <v>0</v>
      </c>
      <c r="N1122" s="655">
        <v>619537</v>
      </c>
      <c r="O1122" s="655">
        <v>0</v>
      </c>
      <c r="P1122" s="655">
        <v>104425</v>
      </c>
      <c r="Q1122" s="655">
        <v>115493</v>
      </c>
      <c r="R1122" s="655">
        <v>0</v>
      </c>
      <c r="S1122" s="655">
        <v>63622</v>
      </c>
      <c r="T1122" s="655">
        <v>6756</v>
      </c>
      <c r="U1122" s="655">
        <v>318404</v>
      </c>
      <c r="V1122" s="655">
        <v>0</v>
      </c>
      <c r="W1122" s="655">
        <v>251394</v>
      </c>
      <c r="X1122" s="655">
        <v>474266.13</v>
      </c>
      <c r="Y1122" s="655">
        <v>0</v>
      </c>
      <c r="Z1122" s="655">
        <v>0</v>
      </c>
      <c r="AA1122" s="655">
        <v>0</v>
      </c>
      <c r="AB1122" s="655">
        <v>0</v>
      </c>
      <c r="AC1122" s="655">
        <v>0</v>
      </c>
      <c r="AD1122" s="655">
        <v>89118</v>
      </c>
      <c r="AE1122" s="655">
        <v>17351508.129999999</v>
      </c>
      <c r="AF1122" s="655">
        <v>206272</v>
      </c>
      <c r="AG1122" s="655">
        <v>818466</v>
      </c>
      <c r="AH1122" s="655">
        <v>0</v>
      </c>
      <c r="AI1122" s="805">
        <v>2413926</v>
      </c>
      <c r="AJ1122" s="655">
        <v>6823783</v>
      </c>
      <c r="AK1122" s="655">
        <v>27613955.129999999</v>
      </c>
      <c r="AL1122" s="805">
        <v>20665246</v>
      </c>
      <c r="AM1122" s="655">
        <v>6948709.129999999</v>
      </c>
    </row>
    <row r="1123" spans="1:39" x14ac:dyDescent="0.2">
      <c r="A1123" s="648">
        <v>2016</v>
      </c>
      <c r="B1123" s="648">
        <v>11</v>
      </c>
      <c r="C1123" s="657" t="s">
        <v>198</v>
      </c>
      <c r="D1123" s="648">
        <v>2520</v>
      </c>
      <c r="E1123" s="648" t="s">
        <v>1118</v>
      </c>
      <c r="F1123" s="655">
        <v>1779924</v>
      </c>
      <c r="G1123" s="655">
        <v>106784</v>
      </c>
      <c r="H1123" s="655">
        <v>173265</v>
      </c>
      <c r="I1123" s="655">
        <v>190310</v>
      </c>
      <c r="J1123" s="655">
        <v>176177</v>
      </c>
      <c r="K1123" s="655">
        <v>18575</v>
      </c>
      <c r="L1123" s="655">
        <v>18930</v>
      </c>
      <c r="M1123" s="655">
        <v>0</v>
      </c>
      <c r="N1123" s="655">
        <v>84110</v>
      </c>
      <c r="O1123" s="655">
        <v>13920</v>
      </c>
      <c r="P1123" s="655">
        <v>15152</v>
      </c>
      <c r="Q1123" s="655">
        <v>16632</v>
      </c>
      <c r="R1123" s="655">
        <v>0</v>
      </c>
      <c r="S1123" s="655">
        <v>7131</v>
      </c>
      <c r="T1123" s="655">
        <v>909</v>
      </c>
      <c r="U1123" s="655">
        <v>36915</v>
      </c>
      <c r="V1123" s="655">
        <v>0</v>
      </c>
      <c r="W1123" s="655">
        <v>0</v>
      </c>
      <c r="X1123" s="655">
        <v>22983.39</v>
      </c>
      <c r="Y1123" s="655">
        <v>0</v>
      </c>
      <c r="Z1123" s="655">
        <v>0</v>
      </c>
      <c r="AA1123" s="655">
        <v>0</v>
      </c>
      <c r="AB1123" s="655">
        <v>0</v>
      </c>
      <c r="AC1123" s="655">
        <v>0</v>
      </c>
      <c r="AD1123" s="655">
        <v>17419</v>
      </c>
      <c r="AE1123" s="655">
        <v>2644298.39</v>
      </c>
      <c r="AF1123" s="655">
        <v>80575</v>
      </c>
      <c r="AG1123" s="655">
        <v>161012</v>
      </c>
      <c r="AH1123" s="655">
        <v>0</v>
      </c>
      <c r="AI1123" s="805">
        <v>813229</v>
      </c>
      <c r="AJ1123" s="655">
        <v>3246668</v>
      </c>
      <c r="AK1123" s="655">
        <v>6945782.3900000006</v>
      </c>
      <c r="AL1123" s="805">
        <v>4025122</v>
      </c>
      <c r="AM1123" s="655">
        <v>2920660.3900000006</v>
      </c>
    </row>
    <row r="1124" spans="1:39" x14ac:dyDescent="0.2">
      <c r="A1124" s="648">
        <v>2016</v>
      </c>
      <c r="B1124" s="648">
        <v>5</v>
      </c>
      <c r="C1124" s="657" t="s">
        <v>199</v>
      </c>
      <c r="D1124" s="648">
        <v>2556</v>
      </c>
      <c r="E1124" s="648" t="s">
        <v>630</v>
      </c>
      <c r="F1124" s="655">
        <v>2364726</v>
      </c>
      <c r="G1124" s="655">
        <v>0</v>
      </c>
      <c r="H1124" s="655">
        <v>165046</v>
      </c>
      <c r="I1124" s="655">
        <v>245518</v>
      </c>
      <c r="J1124" s="655">
        <v>216255</v>
      </c>
      <c r="K1124" s="655">
        <v>20313</v>
      </c>
      <c r="L1124" s="655">
        <v>25027</v>
      </c>
      <c r="M1124" s="655">
        <v>0</v>
      </c>
      <c r="N1124" s="655">
        <v>118501</v>
      </c>
      <c r="O1124" s="655">
        <v>4612</v>
      </c>
      <c r="P1124" s="655">
        <v>20068</v>
      </c>
      <c r="Q1124" s="655">
        <v>22540</v>
      </c>
      <c r="R1124" s="655">
        <v>355</v>
      </c>
      <c r="S1124" s="655">
        <v>12621</v>
      </c>
      <c r="T1124" s="655">
        <v>1503</v>
      </c>
      <c r="U1124" s="655">
        <v>113300</v>
      </c>
      <c r="V1124" s="655">
        <v>0</v>
      </c>
      <c r="W1124" s="655">
        <v>57294</v>
      </c>
      <c r="X1124" s="655">
        <v>217132.55</v>
      </c>
      <c r="Y1124" s="655">
        <v>0</v>
      </c>
      <c r="Z1124" s="655">
        <v>0</v>
      </c>
      <c r="AA1124" s="655">
        <v>0</v>
      </c>
      <c r="AB1124" s="655">
        <v>0</v>
      </c>
      <c r="AC1124" s="655">
        <v>68468</v>
      </c>
      <c r="AD1124" s="655">
        <v>23426</v>
      </c>
      <c r="AE1124" s="655">
        <v>3649853.55</v>
      </c>
      <c r="AF1124" s="655">
        <v>54791</v>
      </c>
      <c r="AG1124" s="655">
        <v>204644</v>
      </c>
      <c r="AH1124" s="655">
        <v>0</v>
      </c>
      <c r="AI1124" s="805">
        <v>927492</v>
      </c>
      <c r="AJ1124" s="655">
        <v>1411086</v>
      </c>
      <c r="AK1124" s="655">
        <v>6247866.5499999998</v>
      </c>
      <c r="AL1124" s="805">
        <v>4631473</v>
      </c>
      <c r="AM1124" s="655">
        <v>1616393.5499999998</v>
      </c>
    </row>
    <row r="1125" spans="1:39" x14ac:dyDescent="0.2">
      <c r="A1125" s="648">
        <v>2016</v>
      </c>
      <c r="B1125" s="648">
        <v>13</v>
      </c>
      <c r="C1125" s="657" t="s">
        <v>200</v>
      </c>
      <c r="D1125" s="648">
        <v>2673</v>
      </c>
      <c r="E1125" s="648" t="s">
        <v>2009</v>
      </c>
      <c r="F1125" s="655">
        <v>4334534</v>
      </c>
      <c r="G1125" s="655">
        <v>45586</v>
      </c>
      <c r="H1125" s="655">
        <v>183774</v>
      </c>
      <c r="I1125" s="655">
        <v>484280</v>
      </c>
      <c r="J1125" s="655">
        <v>397562</v>
      </c>
      <c r="K1125" s="655">
        <v>45555</v>
      </c>
      <c r="L1125" s="655">
        <v>44560</v>
      </c>
      <c r="M1125" s="655">
        <v>0</v>
      </c>
      <c r="N1125" s="655">
        <v>210629</v>
      </c>
      <c r="O1125" s="655">
        <v>1450</v>
      </c>
      <c r="P1125" s="655">
        <v>35494</v>
      </c>
      <c r="Q1125" s="655">
        <v>39256</v>
      </c>
      <c r="R1125" s="655">
        <v>0</v>
      </c>
      <c r="S1125" s="655">
        <v>21778</v>
      </c>
      <c r="T1125" s="655">
        <v>2311</v>
      </c>
      <c r="U1125" s="655">
        <v>122010</v>
      </c>
      <c r="V1125" s="655">
        <v>0</v>
      </c>
      <c r="W1125" s="655">
        <v>57447</v>
      </c>
      <c r="X1125" s="655">
        <v>146316.04999999999</v>
      </c>
      <c r="Y1125" s="655">
        <v>0</v>
      </c>
      <c r="Z1125" s="655">
        <v>0</v>
      </c>
      <c r="AA1125" s="655">
        <v>0</v>
      </c>
      <c r="AB1125" s="655">
        <v>0</v>
      </c>
      <c r="AC1125" s="655">
        <v>0</v>
      </c>
      <c r="AD1125" s="655">
        <v>39610</v>
      </c>
      <c r="AE1125" s="655">
        <v>6132932.0499999998</v>
      </c>
      <c r="AF1125" s="655">
        <v>67683</v>
      </c>
      <c r="AG1125" s="655">
        <v>347431</v>
      </c>
      <c r="AH1125" s="655">
        <v>0</v>
      </c>
      <c r="AI1125" s="805">
        <v>998176</v>
      </c>
      <c r="AJ1125" s="655">
        <v>73053</v>
      </c>
      <c r="AK1125" s="655">
        <v>7619275.0499999998</v>
      </c>
      <c r="AL1125" s="805">
        <v>7103990</v>
      </c>
      <c r="AM1125" s="655">
        <v>515285.04999999981</v>
      </c>
    </row>
    <row r="1126" spans="1:39" x14ac:dyDescent="0.2">
      <c r="A1126" s="648">
        <v>2016</v>
      </c>
      <c r="B1126" s="648">
        <v>7</v>
      </c>
      <c r="C1126" s="657" t="s">
        <v>201</v>
      </c>
      <c r="D1126" s="648">
        <v>2682</v>
      </c>
      <c r="E1126" s="648" t="s">
        <v>1119</v>
      </c>
      <c r="F1126" s="655">
        <v>1962807</v>
      </c>
      <c r="G1126" s="655">
        <v>68966</v>
      </c>
      <c r="H1126" s="655">
        <v>142914</v>
      </c>
      <c r="I1126" s="655">
        <v>219422</v>
      </c>
      <c r="J1126" s="655">
        <v>204316</v>
      </c>
      <c r="K1126" s="655">
        <v>24215</v>
      </c>
      <c r="L1126" s="655">
        <v>24218</v>
      </c>
      <c r="M1126" s="655">
        <v>0</v>
      </c>
      <c r="N1126" s="655">
        <v>97056</v>
      </c>
      <c r="O1126" s="655">
        <v>8319</v>
      </c>
      <c r="P1126" s="655">
        <v>16230</v>
      </c>
      <c r="Q1126" s="655">
        <v>18131</v>
      </c>
      <c r="R1126" s="655">
        <v>0</v>
      </c>
      <c r="S1126" s="655">
        <v>12758</v>
      </c>
      <c r="T1126" s="655">
        <v>1465</v>
      </c>
      <c r="U1126" s="655">
        <v>96922</v>
      </c>
      <c r="V1126" s="655">
        <v>0</v>
      </c>
      <c r="W1126" s="655">
        <v>6366</v>
      </c>
      <c r="X1126" s="655">
        <v>123217.97</v>
      </c>
      <c r="Y1126" s="655">
        <v>0</v>
      </c>
      <c r="Z1126" s="655">
        <v>0</v>
      </c>
      <c r="AA1126" s="655">
        <v>0</v>
      </c>
      <c r="AB1126" s="655">
        <v>0</v>
      </c>
      <c r="AC1126" s="655">
        <v>0</v>
      </c>
      <c r="AD1126" s="655">
        <v>17366</v>
      </c>
      <c r="AE1126" s="655">
        <v>3009956.97</v>
      </c>
      <c r="AF1126" s="655">
        <v>74129</v>
      </c>
      <c r="AG1126" s="655">
        <v>165955</v>
      </c>
      <c r="AH1126" s="655">
        <v>0</v>
      </c>
      <c r="AI1126" s="805">
        <v>2100402</v>
      </c>
      <c r="AJ1126" s="655">
        <v>1717240</v>
      </c>
      <c r="AK1126" s="655">
        <v>7067682.9700000007</v>
      </c>
      <c r="AL1126" s="805">
        <v>4805953</v>
      </c>
      <c r="AM1126" s="655">
        <v>2261729.9700000007</v>
      </c>
    </row>
    <row r="1127" spans="1:39" x14ac:dyDescent="0.2">
      <c r="A1127" s="648">
        <v>2016</v>
      </c>
      <c r="B1127" s="648">
        <v>7</v>
      </c>
      <c r="C1127" s="657" t="s">
        <v>202</v>
      </c>
      <c r="D1127" s="648">
        <v>2709</v>
      </c>
      <c r="E1127" s="648" t="s">
        <v>1120</v>
      </c>
      <c r="F1127" s="655">
        <v>10380804</v>
      </c>
      <c r="G1127" s="655">
        <v>110304</v>
      </c>
      <c r="H1127" s="655">
        <v>117691</v>
      </c>
      <c r="I1127" s="655">
        <v>1423374</v>
      </c>
      <c r="J1127" s="655">
        <v>876891</v>
      </c>
      <c r="K1127" s="655">
        <v>95736</v>
      </c>
      <c r="L1127" s="655">
        <v>106652</v>
      </c>
      <c r="M1127" s="655">
        <v>0</v>
      </c>
      <c r="N1127" s="655">
        <v>523132</v>
      </c>
      <c r="O1127" s="655">
        <v>11151</v>
      </c>
      <c r="P1127" s="655">
        <v>87251</v>
      </c>
      <c r="Q1127" s="655">
        <v>97466</v>
      </c>
      <c r="R1127" s="655">
        <v>0</v>
      </c>
      <c r="S1127" s="655">
        <v>66621</v>
      </c>
      <c r="T1127" s="655">
        <v>7646</v>
      </c>
      <c r="U1127" s="655">
        <v>512621</v>
      </c>
      <c r="V1127" s="655">
        <v>45763</v>
      </c>
      <c r="W1127" s="655">
        <v>75682</v>
      </c>
      <c r="X1127" s="655">
        <v>588203.97</v>
      </c>
      <c r="Y1127" s="655">
        <v>0</v>
      </c>
      <c r="Z1127" s="655">
        <v>0</v>
      </c>
      <c r="AA1127" s="655">
        <v>0</v>
      </c>
      <c r="AB1127" s="655">
        <v>0</v>
      </c>
      <c r="AC1127" s="655">
        <v>-7667</v>
      </c>
      <c r="AD1127" s="655">
        <v>81962</v>
      </c>
      <c r="AE1127" s="655">
        <v>15037359.970000001</v>
      </c>
      <c r="AF1127" s="655">
        <v>306185</v>
      </c>
      <c r="AG1127" s="655">
        <v>809809</v>
      </c>
      <c r="AH1127" s="655">
        <v>0</v>
      </c>
      <c r="AI1127" s="805">
        <v>1355488</v>
      </c>
      <c r="AJ1127" s="655">
        <v>5695162</v>
      </c>
      <c r="AK1127" s="655">
        <v>23204003.969999999</v>
      </c>
      <c r="AL1127" s="805">
        <v>17722272</v>
      </c>
      <c r="AM1127" s="655">
        <v>5481731.9699999988</v>
      </c>
    </row>
    <row r="1128" spans="1:39" x14ac:dyDescent="0.2">
      <c r="A1128" s="648">
        <v>2016</v>
      </c>
      <c r="B1128" s="648">
        <v>13</v>
      </c>
      <c r="C1128" s="657" t="s">
        <v>203</v>
      </c>
      <c r="D1128" s="648">
        <v>2718</v>
      </c>
      <c r="E1128" s="648" t="s">
        <v>1121</v>
      </c>
      <c r="F1128" s="655">
        <v>3558262</v>
      </c>
      <c r="G1128" s="655">
        <v>168747</v>
      </c>
      <c r="H1128" s="655">
        <v>113233</v>
      </c>
      <c r="I1128" s="655">
        <v>408370</v>
      </c>
      <c r="J1128" s="655">
        <v>308349</v>
      </c>
      <c r="K1128" s="655">
        <v>31915</v>
      </c>
      <c r="L1128" s="655">
        <v>32064</v>
      </c>
      <c r="M1128" s="655">
        <v>0</v>
      </c>
      <c r="N1128" s="655">
        <v>172635</v>
      </c>
      <c r="O1128" s="655">
        <v>9512</v>
      </c>
      <c r="P1128" s="655">
        <v>28849</v>
      </c>
      <c r="Q1128" s="655">
        <v>31907</v>
      </c>
      <c r="R1128" s="655">
        <v>0</v>
      </c>
      <c r="S1128" s="655">
        <v>18580</v>
      </c>
      <c r="T1128" s="655">
        <v>1972</v>
      </c>
      <c r="U1128" s="655">
        <v>111079</v>
      </c>
      <c r="V1128" s="655">
        <v>0</v>
      </c>
      <c r="W1128" s="655">
        <v>50928</v>
      </c>
      <c r="X1128" s="655">
        <v>308650.99</v>
      </c>
      <c r="Y1128" s="655">
        <v>0</v>
      </c>
      <c r="Z1128" s="655">
        <v>0</v>
      </c>
      <c r="AA1128" s="655">
        <v>0</v>
      </c>
      <c r="AB1128" s="655">
        <v>0</v>
      </c>
      <c r="AC1128" s="655">
        <v>5917</v>
      </c>
      <c r="AD1128" s="655">
        <v>31091</v>
      </c>
      <c r="AE1128" s="655">
        <v>5329878.99</v>
      </c>
      <c r="AF1128" s="655">
        <v>103136</v>
      </c>
      <c r="AG1128" s="655">
        <v>310907</v>
      </c>
      <c r="AH1128" s="655">
        <v>0</v>
      </c>
      <c r="AI1128" s="805">
        <v>684860</v>
      </c>
      <c r="AJ1128" s="655">
        <v>1102937</v>
      </c>
      <c r="AK1128" s="655">
        <v>7531718.9900000002</v>
      </c>
      <c r="AL1128" s="805">
        <v>6647448</v>
      </c>
      <c r="AM1128" s="655">
        <v>884270.99000000022</v>
      </c>
    </row>
    <row r="1129" spans="1:39" x14ac:dyDescent="0.2">
      <c r="A1129" s="648">
        <v>2016</v>
      </c>
      <c r="B1129" s="648">
        <v>7</v>
      </c>
      <c r="C1129" s="657" t="s">
        <v>204</v>
      </c>
      <c r="D1129" s="648">
        <v>2727</v>
      </c>
      <c r="E1129" s="648" t="s">
        <v>1122</v>
      </c>
      <c r="F1129" s="655">
        <v>3913367</v>
      </c>
      <c r="G1129" s="655">
        <v>103241</v>
      </c>
      <c r="H1129" s="655">
        <v>137248</v>
      </c>
      <c r="I1129" s="655">
        <v>491250</v>
      </c>
      <c r="J1129" s="655">
        <v>375638</v>
      </c>
      <c r="K1129" s="655">
        <v>40056</v>
      </c>
      <c r="L1129" s="655">
        <v>35702</v>
      </c>
      <c r="M1129" s="655">
        <v>0</v>
      </c>
      <c r="N1129" s="655">
        <v>195898</v>
      </c>
      <c r="O1129" s="655">
        <v>1107</v>
      </c>
      <c r="P1129" s="655">
        <v>32832</v>
      </c>
      <c r="Q1129" s="655">
        <v>36676</v>
      </c>
      <c r="R1129" s="655">
        <v>0</v>
      </c>
      <c r="S1129" s="655">
        <v>25113</v>
      </c>
      <c r="T1129" s="655">
        <v>2883</v>
      </c>
      <c r="U1129" s="655">
        <v>162322</v>
      </c>
      <c r="V1129" s="655">
        <v>0</v>
      </c>
      <c r="W1129" s="655">
        <v>176620</v>
      </c>
      <c r="X1129" s="655">
        <v>140935.20000000001</v>
      </c>
      <c r="Y1129" s="655">
        <v>0</v>
      </c>
      <c r="Z1129" s="655">
        <v>0</v>
      </c>
      <c r="AA1129" s="655">
        <v>0</v>
      </c>
      <c r="AB1129" s="655">
        <v>0</v>
      </c>
      <c r="AC1129" s="655">
        <v>0</v>
      </c>
      <c r="AD1129" s="655">
        <v>29520</v>
      </c>
      <c r="AE1129" s="655">
        <v>5841368.2000000002</v>
      </c>
      <c r="AF1129" s="655">
        <v>0</v>
      </c>
      <c r="AG1129" s="655">
        <v>307431</v>
      </c>
      <c r="AH1129" s="655">
        <v>0</v>
      </c>
      <c r="AI1129" s="805">
        <v>1053506</v>
      </c>
      <c r="AJ1129" s="655">
        <v>519027</v>
      </c>
      <c r="AK1129" s="655">
        <v>7721332.2000000002</v>
      </c>
      <c r="AL1129" s="805">
        <v>6587088</v>
      </c>
      <c r="AM1129" s="655">
        <v>1134244.2000000002</v>
      </c>
    </row>
    <row r="1130" spans="1:39" x14ac:dyDescent="0.2">
      <c r="A1130" s="648">
        <v>2016</v>
      </c>
      <c r="B1130" s="648">
        <v>11</v>
      </c>
      <c r="C1130" s="657" t="s">
        <v>205</v>
      </c>
      <c r="D1130" s="648">
        <v>2754</v>
      </c>
      <c r="E1130" s="648" t="s">
        <v>1123</v>
      </c>
      <c r="F1130" s="655">
        <v>2947732</v>
      </c>
      <c r="G1130" s="655">
        <v>58495</v>
      </c>
      <c r="H1130" s="655">
        <v>172186</v>
      </c>
      <c r="I1130" s="655">
        <v>308554</v>
      </c>
      <c r="J1130" s="655">
        <v>268492</v>
      </c>
      <c r="K1130" s="655">
        <v>27254</v>
      </c>
      <c r="L1130" s="655">
        <v>32648</v>
      </c>
      <c r="M1130" s="655">
        <v>0</v>
      </c>
      <c r="N1130" s="655">
        <v>138561</v>
      </c>
      <c r="O1130" s="655">
        <v>11319</v>
      </c>
      <c r="P1130" s="655">
        <v>23990</v>
      </c>
      <c r="Q1130" s="655">
        <v>26334</v>
      </c>
      <c r="R1130" s="655">
        <v>0</v>
      </c>
      <c r="S1130" s="655">
        <v>11482</v>
      </c>
      <c r="T1130" s="655">
        <v>1464</v>
      </c>
      <c r="U1130" s="655">
        <v>32299</v>
      </c>
      <c r="V1130" s="655">
        <v>0</v>
      </c>
      <c r="W1130" s="655">
        <v>14906</v>
      </c>
      <c r="X1130" s="655">
        <v>126277.46</v>
      </c>
      <c r="Y1130" s="655">
        <v>0</v>
      </c>
      <c r="Z1130" s="655">
        <v>0</v>
      </c>
      <c r="AA1130" s="655">
        <v>0</v>
      </c>
      <c r="AB1130" s="655">
        <v>0</v>
      </c>
      <c r="AC1130" s="655">
        <v>-44730</v>
      </c>
      <c r="AD1130" s="655">
        <v>21657</v>
      </c>
      <c r="AE1130" s="655">
        <v>4135606.46</v>
      </c>
      <c r="AF1130" s="655">
        <v>83798</v>
      </c>
      <c r="AG1130" s="655">
        <v>229796</v>
      </c>
      <c r="AH1130" s="655">
        <v>0</v>
      </c>
      <c r="AI1130" s="805">
        <v>831529</v>
      </c>
      <c r="AJ1130" s="655">
        <v>1077958</v>
      </c>
      <c r="AK1130" s="655">
        <v>6358687.46</v>
      </c>
      <c r="AL1130" s="805">
        <v>5453328</v>
      </c>
      <c r="AM1130" s="655">
        <v>905359.46</v>
      </c>
    </row>
    <row r="1131" spans="1:39" x14ac:dyDescent="0.2">
      <c r="A1131" s="648">
        <v>2016</v>
      </c>
      <c r="B1131" s="648">
        <v>1</v>
      </c>
      <c r="C1131" s="657" t="s">
        <v>206</v>
      </c>
      <c r="D1131" s="648">
        <v>2763</v>
      </c>
      <c r="E1131" s="648" t="s">
        <v>1056</v>
      </c>
      <c r="F1131" s="655">
        <v>3914301</v>
      </c>
      <c r="G1131" s="655">
        <v>136874</v>
      </c>
      <c r="H1131" s="655">
        <v>69878</v>
      </c>
      <c r="I1131" s="655">
        <v>444322</v>
      </c>
      <c r="J1131" s="655">
        <v>343412</v>
      </c>
      <c r="K1131" s="655">
        <v>38862</v>
      </c>
      <c r="L1131" s="655">
        <v>34477</v>
      </c>
      <c r="M1131" s="655">
        <v>0</v>
      </c>
      <c r="N1131" s="655">
        <v>198378</v>
      </c>
      <c r="O1131" s="655">
        <v>6444</v>
      </c>
      <c r="P1131" s="655">
        <v>35676</v>
      </c>
      <c r="Q1131" s="655">
        <v>39815</v>
      </c>
      <c r="R1131" s="655">
        <v>0</v>
      </c>
      <c r="S1131" s="655">
        <v>20027</v>
      </c>
      <c r="T1131" s="655">
        <v>2140</v>
      </c>
      <c r="U1131" s="655">
        <v>38151</v>
      </c>
      <c r="V1131" s="655">
        <v>0</v>
      </c>
      <c r="W1131" s="655">
        <v>86578</v>
      </c>
      <c r="X1131" s="655">
        <v>224708.74</v>
      </c>
      <c r="Y1131" s="655">
        <v>0</v>
      </c>
      <c r="Z1131" s="655">
        <v>0</v>
      </c>
      <c r="AA1131" s="655">
        <v>0</v>
      </c>
      <c r="AB1131" s="655">
        <v>0</v>
      </c>
      <c r="AC1131" s="655">
        <v>-10591</v>
      </c>
      <c r="AD1131" s="655">
        <v>39375</v>
      </c>
      <c r="AE1131" s="655">
        <v>5584077.7400000002</v>
      </c>
      <c r="AF1131" s="655">
        <v>93467</v>
      </c>
      <c r="AG1131" s="655">
        <v>340502</v>
      </c>
      <c r="AH1131" s="655">
        <v>0</v>
      </c>
      <c r="AI1131" s="805">
        <v>2244934</v>
      </c>
      <c r="AJ1131" s="655">
        <v>1338784</v>
      </c>
      <c r="AK1131" s="655">
        <v>9601764.7400000002</v>
      </c>
      <c r="AL1131" s="805">
        <v>8178382</v>
      </c>
      <c r="AM1131" s="655">
        <v>1423382.7400000002</v>
      </c>
    </row>
    <row r="1132" spans="1:39" x14ac:dyDescent="0.2">
      <c r="A1132" s="648">
        <v>2016</v>
      </c>
      <c r="B1132" s="648">
        <v>10</v>
      </c>
      <c r="C1132" s="657" t="s">
        <v>207</v>
      </c>
      <c r="D1132" s="648">
        <v>2766</v>
      </c>
      <c r="E1132" s="648" t="s">
        <v>920</v>
      </c>
      <c r="F1132" s="655">
        <v>2051516</v>
      </c>
      <c r="G1132" s="655">
        <v>70295</v>
      </c>
      <c r="H1132" s="655">
        <v>64360</v>
      </c>
      <c r="I1132" s="655">
        <v>184794</v>
      </c>
      <c r="J1132" s="655">
        <v>186431</v>
      </c>
      <c r="K1132" s="655">
        <v>19133</v>
      </c>
      <c r="L1132" s="655">
        <v>19351</v>
      </c>
      <c r="M1132" s="655">
        <v>0</v>
      </c>
      <c r="N1132" s="655">
        <v>96480</v>
      </c>
      <c r="O1132" s="655">
        <v>9278</v>
      </c>
      <c r="P1132" s="655">
        <v>17137</v>
      </c>
      <c r="Q1132" s="655">
        <v>18827</v>
      </c>
      <c r="R1132" s="655">
        <v>0</v>
      </c>
      <c r="S1132" s="655">
        <v>9154</v>
      </c>
      <c r="T1132" s="655">
        <v>1065</v>
      </c>
      <c r="U1132" s="655">
        <v>49517</v>
      </c>
      <c r="V1132" s="655">
        <v>0</v>
      </c>
      <c r="W1132" s="655">
        <v>237620</v>
      </c>
      <c r="X1132" s="655">
        <v>233233.17</v>
      </c>
      <c r="Y1132" s="655">
        <v>0</v>
      </c>
      <c r="Z1132" s="655">
        <v>0</v>
      </c>
      <c r="AA1132" s="655">
        <v>0</v>
      </c>
      <c r="AB1132" s="655">
        <v>0</v>
      </c>
      <c r="AC1132" s="655">
        <v>-388</v>
      </c>
      <c r="AD1132" s="655">
        <v>19800</v>
      </c>
      <c r="AE1132" s="655">
        <v>3248003.17</v>
      </c>
      <c r="AF1132" s="655">
        <v>90244</v>
      </c>
      <c r="AG1132" s="655">
        <v>178996</v>
      </c>
      <c r="AH1132" s="655">
        <v>0</v>
      </c>
      <c r="AI1132" s="805">
        <v>495071</v>
      </c>
      <c r="AJ1132" s="655">
        <v>1354277</v>
      </c>
      <c r="AK1132" s="655">
        <v>5366591.17</v>
      </c>
      <c r="AL1132" s="805">
        <v>4170830</v>
      </c>
      <c r="AM1132" s="655">
        <v>1195761.17</v>
      </c>
    </row>
    <row r="1133" spans="1:39" x14ac:dyDescent="0.2">
      <c r="A1133" s="648">
        <v>2016</v>
      </c>
      <c r="B1133" s="648">
        <v>13</v>
      </c>
      <c r="C1133" s="657" t="s">
        <v>208</v>
      </c>
      <c r="D1133" s="648">
        <v>2772</v>
      </c>
      <c r="E1133" s="648" t="s">
        <v>1124</v>
      </c>
      <c r="F1133" s="655">
        <v>1608545</v>
      </c>
      <c r="G1133" s="655">
        <v>16728</v>
      </c>
      <c r="H1133" s="655">
        <v>179700</v>
      </c>
      <c r="I1133" s="655">
        <v>220203</v>
      </c>
      <c r="J1133" s="655">
        <v>139039</v>
      </c>
      <c r="K1133" s="655">
        <v>14286</v>
      </c>
      <c r="L1133" s="655">
        <v>16178</v>
      </c>
      <c r="M1133" s="655">
        <v>0</v>
      </c>
      <c r="N1133" s="655">
        <v>78672</v>
      </c>
      <c r="O1133" s="655">
        <v>5065</v>
      </c>
      <c r="P1133" s="655">
        <v>12869</v>
      </c>
      <c r="Q1133" s="655">
        <v>14233</v>
      </c>
      <c r="R1133" s="655">
        <v>0</v>
      </c>
      <c r="S1133" s="655">
        <v>8131</v>
      </c>
      <c r="T1133" s="655">
        <v>863</v>
      </c>
      <c r="U1133" s="655">
        <v>0</v>
      </c>
      <c r="V1133" s="655">
        <v>0</v>
      </c>
      <c r="W1133" s="655">
        <v>45004</v>
      </c>
      <c r="X1133" s="655">
        <v>28442.98</v>
      </c>
      <c r="Y1133" s="655">
        <v>0</v>
      </c>
      <c r="Z1133" s="655">
        <v>0</v>
      </c>
      <c r="AA1133" s="655">
        <v>0</v>
      </c>
      <c r="AB1133" s="655">
        <v>0</v>
      </c>
      <c r="AC1133" s="655">
        <v>0</v>
      </c>
      <c r="AD1133" s="655">
        <v>14801</v>
      </c>
      <c r="AE1133" s="655">
        <v>2373157.98</v>
      </c>
      <c r="AF1133" s="655">
        <v>54791</v>
      </c>
      <c r="AG1133" s="655">
        <v>136669</v>
      </c>
      <c r="AH1133" s="655">
        <v>0</v>
      </c>
      <c r="AI1133" s="805">
        <v>660120</v>
      </c>
      <c r="AJ1133" s="655">
        <v>93188</v>
      </c>
      <c r="AK1133" s="655">
        <v>3317925.98</v>
      </c>
      <c r="AL1133" s="805">
        <v>2894024</v>
      </c>
      <c r="AM1133" s="655">
        <v>423901.98</v>
      </c>
    </row>
    <row r="1134" spans="1:39" x14ac:dyDescent="0.2">
      <c r="A1134" s="648">
        <v>2016</v>
      </c>
      <c r="B1134" s="648">
        <v>7</v>
      </c>
      <c r="C1134" s="657" t="s">
        <v>209</v>
      </c>
      <c r="D1134" s="648">
        <v>2781</v>
      </c>
      <c r="E1134" s="648" t="s">
        <v>1125</v>
      </c>
      <c r="F1134" s="655">
        <v>7935026</v>
      </c>
      <c r="G1134" s="655">
        <v>0</v>
      </c>
      <c r="H1134" s="655">
        <v>453631</v>
      </c>
      <c r="I1134" s="655">
        <v>1361524</v>
      </c>
      <c r="J1134" s="655">
        <v>714226</v>
      </c>
      <c r="K1134" s="655">
        <v>77208</v>
      </c>
      <c r="L1134" s="655">
        <v>92263</v>
      </c>
      <c r="M1134" s="655">
        <v>0</v>
      </c>
      <c r="N1134" s="655">
        <v>413470</v>
      </c>
      <c r="O1134" s="655">
        <v>0</v>
      </c>
      <c r="P1134" s="655">
        <v>65770</v>
      </c>
      <c r="Q1134" s="655">
        <v>73470</v>
      </c>
      <c r="R1134" s="655">
        <v>0</v>
      </c>
      <c r="S1134" s="655">
        <v>52655</v>
      </c>
      <c r="T1134" s="655">
        <v>6043</v>
      </c>
      <c r="U1134" s="655">
        <v>235096</v>
      </c>
      <c r="V1134" s="655">
        <v>0</v>
      </c>
      <c r="W1134" s="655">
        <v>138065</v>
      </c>
      <c r="X1134" s="655">
        <v>0</v>
      </c>
      <c r="Y1134" s="655">
        <v>0</v>
      </c>
      <c r="Z1134" s="655">
        <v>0</v>
      </c>
      <c r="AA1134" s="655">
        <v>0</v>
      </c>
      <c r="AB1134" s="655">
        <v>0</v>
      </c>
      <c r="AC1134" s="655">
        <v>-12859</v>
      </c>
      <c r="AD1134" s="655">
        <v>56126</v>
      </c>
      <c r="AE1134" s="655">
        <v>11549462</v>
      </c>
      <c r="AF1134" s="655">
        <v>161150</v>
      </c>
      <c r="AG1134" s="655">
        <v>566323</v>
      </c>
      <c r="AH1134" s="655">
        <v>0</v>
      </c>
      <c r="AI1134" s="805">
        <v>2044606</v>
      </c>
      <c r="AJ1134" s="655">
        <v>2722485</v>
      </c>
      <c r="AK1134" s="655">
        <v>17044026</v>
      </c>
      <c r="AL1134" s="805">
        <v>13705117</v>
      </c>
      <c r="AM1134" s="655">
        <v>3338909</v>
      </c>
    </row>
    <row r="1135" spans="1:39" x14ac:dyDescent="0.2">
      <c r="A1135" s="648">
        <v>2016</v>
      </c>
      <c r="B1135" s="648">
        <v>13</v>
      </c>
      <c r="C1135" s="657" t="s">
        <v>210</v>
      </c>
      <c r="D1135" s="648">
        <v>2826</v>
      </c>
      <c r="E1135" s="648" t="s">
        <v>1126</v>
      </c>
      <c r="F1135" s="655">
        <v>9035647</v>
      </c>
      <c r="G1135" s="655">
        <v>182895</v>
      </c>
      <c r="H1135" s="655">
        <v>248913</v>
      </c>
      <c r="I1135" s="655">
        <v>1107485</v>
      </c>
      <c r="J1135" s="655">
        <v>781930</v>
      </c>
      <c r="K1135" s="655">
        <v>91999</v>
      </c>
      <c r="L1135" s="655">
        <v>90632</v>
      </c>
      <c r="M1135" s="655">
        <v>0</v>
      </c>
      <c r="N1135" s="655">
        <v>443148</v>
      </c>
      <c r="O1135" s="655">
        <v>8822</v>
      </c>
      <c r="P1135" s="655">
        <v>78952</v>
      </c>
      <c r="Q1135" s="655">
        <v>87320</v>
      </c>
      <c r="R1135" s="655">
        <v>0</v>
      </c>
      <c r="S1135" s="655">
        <v>46411</v>
      </c>
      <c r="T1135" s="655">
        <v>4925</v>
      </c>
      <c r="U1135" s="655">
        <v>446210</v>
      </c>
      <c r="V1135" s="655">
        <v>0</v>
      </c>
      <c r="W1135" s="655">
        <v>129072</v>
      </c>
      <c r="X1135" s="655">
        <v>440108.24</v>
      </c>
      <c r="Y1135" s="655">
        <v>0</v>
      </c>
      <c r="Z1135" s="655">
        <v>0</v>
      </c>
      <c r="AA1135" s="655">
        <v>0</v>
      </c>
      <c r="AB1135" s="655">
        <v>0</v>
      </c>
      <c r="AC1135" s="655">
        <v>0</v>
      </c>
      <c r="AD1135" s="655">
        <v>75561</v>
      </c>
      <c r="AE1135" s="655">
        <v>13148908.24</v>
      </c>
      <c r="AF1135" s="655">
        <v>151481</v>
      </c>
      <c r="AG1135" s="655">
        <v>711948</v>
      </c>
      <c r="AH1135" s="655">
        <v>0</v>
      </c>
      <c r="AI1135" s="805">
        <v>2266812</v>
      </c>
      <c r="AJ1135" s="655">
        <v>6544960</v>
      </c>
      <c r="AK1135" s="655">
        <v>22824109.240000002</v>
      </c>
      <c r="AL1135" s="805">
        <v>16910646</v>
      </c>
      <c r="AM1135" s="655">
        <v>5913463.2400000021</v>
      </c>
    </row>
    <row r="1136" spans="1:39" x14ac:dyDescent="0.2">
      <c r="A1136" s="648">
        <v>2016</v>
      </c>
      <c r="B1136" s="648">
        <v>15</v>
      </c>
      <c r="C1136" s="657" t="s">
        <v>211</v>
      </c>
      <c r="D1136" s="648">
        <v>2834</v>
      </c>
      <c r="E1136" s="648" t="s">
        <v>1127</v>
      </c>
      <c r="F1136" s="655">
        <v>2227093</v>
      </c>
      <c r="G1136" s="655">
        <v>13644</v>
      </c>
      <c r="H1136" s="655">
        <v>200290</v>
      </c>
      <c r="I1136" s="655">
        <v>316950</v>
      </c>
      <c r="J1136" s="655">
        <v>188719</v>
      </c>
      <c r="K1136" s="655">
        <v>18090</v>
      </c>
      <c r="L1136" s="655">
        <v>23021</v>
      </c>
      <c r="M1136" s="655">
        <v>0</v>
      </c>
      <c r="N1136" s="655">
        <v>110796</v>
      </c>
      <c r="O1136" s="655">
        <v>9883</v>
      </c>
      <c r="P1136" s="655">
        <v>18449</v>
      </c>
      <c r="Q1136" s="655">
        <v>20265</v>
      </c>
      <c r="R1136" s="655">
        <v>295</v>
      </c>
      <c r="S1136" s="655">
        <v>11094</v>
      </c>
      <c r="T1136" s="655">
        <v>1200</v>
      </c>
      <c r="U1136" s="655">
        <v>40709</v>
      </c>
      <c r="V1136" s="655">
        <v>119251</v>
      </c>
      <c r="W1136" s="655">
        <v>135166</v>
      </c>
      <c r="X1136" s="655">
        <v>65110.91</v>
      </c>
      <c r="Y1136" s="655">
        <v>0</v>
      </c>
      <c r="Z1136" s="655">
        <v>0</v>
      </c>
      <c r="AA1136" s="655">
        <v>0</v>
      </c>
      <c r="AB1136" s="655">
        <v>0</v>
      </c>
      <c r="AC1136" s="655">
        <v>0</v>
      </c>
      <c r="AD1136" s="655">
        <v>23152</v>
      </c>
      <c r="AE1136" s="655">
        <v>3496873.91</v>
      </c>
      <c r="AF1136" s="655">
        <v>67683</v>
      </c>
      <c r="AG1136" s="655">
        <v>161445</v>
      </c>
      <c r="AH1136" s="655">
        <v>0</v>
      </c>
      <c r="AI1136" s="805">
        <v>431075</v>
      </c>
      <c r="AJ1136" s="655">
        <v>-119292</v>
      </c>
      <c r="AK1136" s="655">
        <v>4037784.91</v>
      </c>
      <c r="AL1136" s="805">
        <v>4379966</v>
      </c>
      <c r="AM1136" s="655">
        <v>-342181.08999999985</v>
      </c>
    </row>
    <row r="1137" spans="1:39" x14ac:dyDescent="0.2">
      <c r="A1137" s="648">
        <v>2016</v>
      </c>
      <c r="B1137" s="648">
        <v>5</v>
      </c>
      <c r="C1137" s="657" t="s">
        <v>212</v>
      </c>
      <c r="D1137" s="648">
        <v>2846</v>
      </c>
      <c r="E1137" s="648" t="s">
        <v>1128</v>
      </c>
      <c r="F1137" s="655">
        <v>2092609</v>
      </c>
      <c r="G1137" s="655">
        <v>39840</v>
      </c>
      <c r="H1137" s="655">
        <v>30571</v>
      </c>
      <c r="I1137" s="655">
        <v>139659</v>
      </c>
      <c r="J1137" s="655">
        <v>188885</v>
      </c>
      <c r="K1137" s="655">
        <v>19601</v>
      </c>
      <c r="L1137" s="655">
        <v>25679</v>
      </c>
      <c r="M1137" s="655">
        <v>0</v>
      </c>
      <c r="N1137" s="655">
        <v>100471</v>
      </c>
      <c r="O1137" s="655">
        <v>1222</v>
      </c>
      <c r="P1137" s="655">
        <v>17042</v>
      </c>
      <c r="Q1137" s="655">
        <v>19141</v>
      </c>
      <c r="R1137" s="655">
        <v>302</v>
      </c>
      <c r="S1137" s="655">
        <v>10835</v>
      </c>
      <c r="T1137" s="655">
        <v>1291</v>
      </c>
      <c r="U1137" s="655">
        <v>37966</v>
      </c>
      <c r="V1137" s="655">
        <v>0</v>
      </c>
      <c r="W1137" s="655">
        <v>54091</v>
      </c>
      <c r="X1137" s="655">
        <v>22519.23</v>
      </c>
      <c r="Y1137" s="655">
        <v>0</v>
      </c>
      <c r="Z1137" s="655">
        <v>0</v>
      </c>
      <c r="AA1137" s="655">
        <v>0</v>
      </c>
      <c r="AB1137" s="655">
        <v>0</v>
      </c>
      <c r="AC1137" s="655">
        <v>0</v>
      </c>
      <c r="AD1137" s="655">
        <v>15519</v>
      </c>
      <c r="AE1137" s="655">
        <v>2786205.23</v>
      </c>
      <c r="AF1137" s="655">
        <v>67683</v>
      </c>
      <c r="AG1137" s="655">
        <v>188423</v>
      </c>
      <c r="AH1137" s="655">
        <v>0</v>
      </c>
      <c r="AI1137" s="805">
        <v>589102</v>
      </c>
      <c r="AJ1137" s="655">
        <v>3208025</v>
      </c>
      <c r="AK1137" s="655">
        <v>6839438.2300000004</v>
      </c>
      <c r="AL1137" s="805">
        <v>3357932</v>
      </c>
      <c r="AM1137" s="655">
        <v>3481506.2300000004</v>
      </c>
    </row>
    <row r="1138" spans="1:39" x14ac:dyDescent="0.2">
      <c r="A1138" s="648">
        <v>2016</v>
      </c>
      <c r="B1138" s="648">
        <v>12</v>
      </c>
      <c r="C1138" s="657" t="s">
        <v>213</v>
      </c>
      <c r="D1138" s="648">
        <v>2862</v>
      </c>
      <c r="E1138" s="648" t="s">
        <v>1129</v>
      </c>
      <c r="F1138" s="655">
        <v>4141885</v>
      </c>
      <c r="G1138" s="655">
        <v>0</v>
      </c>
      <c r="H1138" s="655">
        <v>68157</v>
      </c>
      <c r="I1138" s="655">
        <v>727346</v>
      </c>
      <c r="J1138" s="655">
        <v>376074</v>
      </c>
      <c r="K1138" s="655">
        <v>40488</v>
      </c>
      <c r="L1138" s="655">
        <v>37477</v>
      </c>
      <c r="M1138" s="655">
        <v>0</v>
      </c>
      <c r="N1138" s="655">
        <v>217439</v>
      </c>
      <c r="O1138" s="655">
        <v>0</v>
      </c>
      <c r="P1138" s="655">
        <v>38705</v>
      </c>
      <c r="Q1138" s="655">
        <v>43457</v>
      </c>
      <c r="R1138" s="655">
        <v>0</v>
      </c>
      <c r="S1138" s="655">
        <v>21838</v>
      </c>
      <c r="T1138" s="655">
        <v>2610</v>
      </c>
      <c r="U1138" s="655">
        <v>204543</v>
      </c>
      <c r="V1138" s="655">
        <v>0</v>
      </c>
      <c r="W1138" s="655">
        <v>65088</v>
      </c>
      <c r="X1138" s="655">
        <v>155378.42000000001</v>
      </c>
      <c r="Y1138" s="655">
        <v>0</v>
      </c>
      <c r="Z1138" s="655">
        <v>0</v>
      </c>
      <c r="AA1138" s="655">
        <v>0</v>
      </c>
      <c r="AB1138" s="655">
        <v>0</v>
      </c>
      <c r="AC1138" s="655">
        <v>0</v>
      </c>
      <c r="AD1138" s="655">
        <v>41896</v>
      </c>
      <c r="AE1138" s="655">
        <v>6098589.4199999999</v>
      </c>
      <c r="AF1138" s="655">
        <v>90244</v>
      </c>
      <c r="AG1138" s="655">
        <v>346469</v>
      </c>
      <c r="AH1138" s="655">
        <v>0</v>
      </c>
      <c r="AI1138" s="805">
        <v>670072</v>
      </c>
      <c r="AJ1138" s="655">
        <v>1672952</v>
      </c>
      <c r="AK1138" s="655">
        <v>8878326.4199999999</v>
      </c>
      <c r="AL1138" s="805">
        <v>7311651</v>
      </c>
      <c r="AM1138" s="655">
        <v>1566675.42</v>
      </c>
    </row>
    <row r="1139" spans="1:39" x14ac:dyDescent="0.2">
      <c r="A1139" s="648">
        <v>2016</v>
      </c>
      <c r="B1139" s="648">
        <v>10</v>
      </c>
      <c r="C1139" s="657" t="s">
        <v>214</v>
      </c>
      <c r="D1139" s="648">
        <v>2977</v>
      </c>
      <c r="E1139" s="648" t="s">
        <v>1130</v>
      </c>
      <c r="F1139" s="655">
        <v>4204726</v>
      </c>
      <c r="G1139" s="655">
        <v>0</v>
      </c>
      <c r="H1139" s="655">
        <v>214774</v>
      </c>
      <c r="I1139" s="655">
        <v>460115</v>
      </c>
      <c r="J1139" s="655">
        <v>383552</v>
      </c>
      <c r="K1139" s="655">
        <v>40423</v>
      </c>
      <c r="L1139" s="655">
        <v>45152</v>
      </c>
      <c r="M1139" s="655">
        <v>0</v>
      </c>
      <c r="N1139" s="655">
        <v>204374</v>
      </c>
      <c r="O1139" s="655">
        <v>0</v>
      </c>
      <c r="P1139" s="655">
        <v>34538</v>
      </c>
      <c r="Q1139" s="655">
        <v>37944</v>
      </c>
      <c r="R1139" s="655">
        <v>0</v>
      </c>
      <c r="S1139" s="655">
        <v>19054</v>
      </c>
      <c r="T1139" s="655">
        <v>2214</v>
      </c>
      <c r="U1139" s="655">
        <v>101250</v>
      </c>
      <c r="V1139" s="655">
        <v>0</v>
      </c>
      <c r="W1139" s="655">
        <v>132589</v>
      </c>
      <c r="X1139" s="655">
        <v>405429.77</v>
      </c>
      <c r="Y1139" s="655">
        <v>0</v>
      </c>
      <c r="Z1139" s="655">
        <v>0</v>
      </c>
      <c r="AA1139" s="655">
        <v>0</v>
      </c>
      <c r="AB1139" s="655">
        <v>0</v>
      </c>
      <c r="AC1139" s="655">
        <v>-255</v>
      </c>
      <c r="AD1139" s="655">
        <v>28769</v>
      </c>
      <c r="AE1139" s="655">
        <v>6257110.7699999996</v>
      </c>
      <c r="AF1139" s="655">
        <v>83798</v>
      </c>
      <c r="AG1139" s="655">
        <v>340920</v>
      </c>
      <c r="AH1139" s="655">
        <v>0</v>
      </c>
      <c r="AI1139" s="805">
        <v>1182807</v>
      </c>
      <c r="AJ1139" s="655">
        <v>147729</v>
      </c>
      <c r="AK1139" s="655">
        <v>8012364.7699999996</v>
      </c>
      <c r="AL1139" s="805">
        <v>7920944</v>
      </c>
      <c r="AM1139" s="655">
        <v>91420.769999999553</v>
      </c>
    </row>
    <row r="1140" spans="1:39" x14ac:dyDescent="0.2">
      <c r="A1140" s="648">
        <v>2016</v>
      </c>
      <c r="B1140" s="648">
        <v>12</v>
      </c>
      <c r="C1140" s="657" t="s">
        <v>215</v>
      </c>
      <c r="D1140" s="648">
        <v>2988</v>
      </c>
      <c r="E1140" s="648" t="s">
        <v>1131</v>
      </c>
      <c r="F1140" s="655">
        <v>3339673</v>
      </c>
      <c r="G1140" s="655">
        <v>174780</v>
      </c>
      <c r="H1140" s="655">
        <v>35685</v>
      </c>
      <c r="I1140" s="655">
        <v>317079</v>
      </c>
      <c r="J1140" s="655">
        <v>312611</v>
      </c>
      <c r="K1140" s="655">
        <v>35081</v>
      </c>
      <c r="L1140" s="655">
        <v>37748</v>
      </c>
      <c r="M1140" s="655">
        <v>0</v>
      </c>
      <c r="N1140" s="655">
        <v>164486</v>
      </c>
      <c r="O1140" s="655">
        <v>6069</v>
      </c>
      <c r="P1140" s="655">
        <v>28843</v>
      </c>
      <c r="Q1140" s="655">
        <v>32384</v>
      </c>
      <c r="R1140" s="655">
        <v>0</v>
      </c>
      <c r="S1140" s="655">
        <v>17123</v>
      </c>
      <c r="T1140" s="655">
        <v>2048</v>
      </c>
      <c r="U1140" s="655">
        <v>108631</v>
      </c>
      <c r="V1140" s="655">
        <v>18587</v>
      </c>
      <c r="W1140" s="655">
        <v>76864</v>
      </c>
      <c r="X1140" s="655">
        <v>77826.12</v>
      </c>
      <c r="Y1140" s="655">
        <v>0</v>
      </c>
      <c r="Z1140" s="655">
        <v>0</v>
      </c>
      <c r="AA1140" s="655">
        <v>0</v>
      </c>
      <c r="AB1140" s="655">
        <v>0</v>
      </c>
      <c r="AC1140" s="655">
        <v>-127</v>
      </c>
      <c r="AD1140" s="655">
        <v>25986</v>
      </c>
      <c r="AE1140" s="655">
        <v>4759405.12</v>
      </c>
      <c r="AF1140" s="655">
        <v>119251</v>
      </c>
      <c r="AG1140" s="655">
        <v>281156</v>
      </c>
      <c r="AH1140" s="655">
        <v>0</v>
      </c>
      <c r="AI1140" s="805">
        <v>2344340</v>
      </c>
      <c r="AJ1140" s="655">
        <v>1027473</v>
      </c>
      <c r="AK1140" s="655">
        <v>8531625.120000001</v>
      </c>
      <c r="AL1140" s="805">
        <v>7350712</v>
      </c>
      <c r="AM1140" s="655">
        <v>1180913.120000001</v>
      </c>
    </row>
    <row r="1141" spans="1:39" x14ac:dyDescent="0.2">
      <c r="A1141" s="648">
        <v>2016</v>
      </c>
      <c r="B1141" s="648">
        <v>1</v>
      </c>
      <c r="C1141" s="657" t="s">
        <v>216</v>
      </c>
      <c r="D1141" s="648">
        <v>3029</v>
      </c>
      <c r="E1141" s="648" t="s">
        <v>1132</v>
      </c>
      <c r="F1141" s="655">
        <v>8171836</v>
      </c>
      <c r="G1141" s="655">
        <v>329215</v>
      </c>
      <c r="H1141" s="655">
        <v>122137</v>
      </c>
      <c r="I1141" s="655">
        <v>989751</v>
      </c>
      <c r="J1141" s="655">
        <v>740501</v>
      </c>
      <c r="K1141" s="655">
        <v>79473</v>
      </c>
      <c r="L1141" s="655">
        <v>77618</v>
      </c>
      <c r="M1141" s="655">
        <v>0</v>
      </c>
      <c r="N1141" s="655">
        <v>415012</v>
      </c>
      <c r="O1141" s="655">
        <v>16918</v>
      </c>
      <c r="P1141" s="655">
        <v>76334</v>
      </c>
      <c r="Q1141" s="655">
        <v>85190</v>
      </c>
      <c r="R1141" s="655">
        <v>0</v>
      </c>
      <c r="S1141" s="655">
        <v>41660</v>
      </c>
      <c r="T1141" s="655">
        <v>4451</v>
      </c>
      <c r="U1141" s="655">
        <v>258975</v>
      </c>
      <c r="V1141" s="655">
        <v>17147</v>
      </c>
      <c r="W1141" s="655">
        <v>71471</v>
      </c>
      <c r="X1141" s="655">
        <v>282075.86</v>
      </c>
      <c r="Y1141" s="655">
        <v>0</v>
      </c>
      <c r="Z1141" s="655">
        <v>0</v>
      </c>
      <c r="AA1141" s="655">
        <v>0</v>
      </c>
      <c r="AB1141" s="655">
        <v>0</v>
      </c>
      <c r="AC1141" s="655">
        <v>0</v>
      </c>
      <c r="AD1141" s="655">
        <v>74965</v>
      </c>
      <c r="AE1141" s="655">
        <v>11704799.859999999</v>
      </c>
      <c r="AF1141" s="655">
        <v>280401</v>
      </c>
      <c r="AG1141" s="655">
        <v>687395</v>
      </c>
      <c r="AH1141" s="655">
        <v>0</v>
      </c>
      <c r="AI1141" s="805">
        <v>1160473</v>
      </c>
      <c r="AJ1141" s="655">
        <v>2269584</v>
      </c>
      <c r="AK1141" s="655">
        <v>16102652.859999999</v>
      </c>
      <c r="AL1141" s="805">
        <v>13802472</v>
      </c>
      <c r="AM1141" s="655">
        <v>2300180.8599999994</v>
      </c>
    </row>
    <row r="1142" spans="1:39" x14ac:dyDescent="0.2">
      <c r="A1142" s="648">
        <v>2016</v>
      </c>
      <c r="B1142" s="648">
        <v>7</v>
      </c>
      <c r="C1142" s="657" t="s">
        <v>217</v>
      </c>
      <c r="D1142" s="648">
        <v>3033</v>
      </c>
      <c r="E1142" s="648" t="s">
        <v>640</v>
      </c>
      <c r="F1142" s="655">
        <v>2774690</v>
      </c>
      <c r="G1142" s="655">
        <v>83196</v>
      </c>
      <c r="H1142" s="655">
        <v>90717</v>
      </c>
      <c r="I1142" s="655">
        <v>272485</v>
      </c>
      <c r="J1142" s="655">
        <v>237436</v>
      </c>
      <c r="K1142" s="655">
        <v>19922</v>
      </c>
      <c r="L1142" s="655">
        <v>23238</v>
      </c>
      <c r="M1142" s="655">
        <v>0</v>
      </c>
      <c r="N1142" s="655">
        <v>133211</v>
      </c>
      <c r="O1142" s="655">
        <v>5311</v>
      </c>
      <c r="P1142" s="655">
        <v>22436</v>
      </c>
      <c r="Q1142" s="655">
        <v>25063</v>
      </c>
      <c r="R1142" s="655">
        <v>0</v>
      </c>
      <c r="S1142" s="655">
        <v>17682</v>
      </c>
      <c r="T1142" s="655">
        <v>2030</v>
      </c>
      <c r="U1142" s="655">
        <v>137042</v>
      </c>
      <c r="V1142" s="655">
        <v>0</v>
      </c>
      <c r="W1142" s="655">
        <v>160934</v>
      </c>
      <c r="X1142" s="655">
        <v>398316.67</v>
      </c>
      <c r="Y1142" s="655">
        <v>0</v>
      </c>
      <c r="Z1142" s="655">
        <v>0</v>
      </c>
      <c r="AA1142" s="655">
        <v>0</v>
      </c>
      <c r="AB1142" s="655">
        <v>0</v>
      </c>
      <c r="AC1142" s="655">
        <v>0</v>
      </c>
      <c r="AD1142" s="655">
        <v>23920</v>
      </c>
      <c r="AE1142" s="655">
        <v>4379789.67</v>
      </c>
      <c r="AF1142" s="655">
        <v>61237</v>
      </c>
      <c r="AG1142" s="655">
        <v>244435</v>
      </c>
      <c r="AH1142" s="655">
        <v>0</v>
      </c>
      <c r="AI1142" s="805">
        <v>1548902</v>
      </c>
      <c r="AJ1142" s="655">
        <v>1676714</v>
      </c>
      <c r="AK1142" s="655">
        <v>7911077.6699999999</v>
      </c>
      <c r="AL1142" s="805">
        <v>6125840</v>
      </c>
      <c r="AM1142" s="655">
        <v>1785237.67</v>
      </c>
    </row>
    <row r="1143" spans="1:39" x14ac:dyDescent="0.2">
      <c r="A1143" s="648">
        <v>2016</v>
      </c>
      <c r="B1143" s="648">
        <v>7</v>
      </c>
      <c r="C1143" s="657" t="s">
        <v>218</v>
      </c>
      <c r="D1143" s="648">
        <v>3042</v>
      </c>
      <c r="E1143" s="648" t="s">
        <v>1134</v>
      </c>
      <c r="F1143" s="655">
        <v>4316892</v>
      </c>
      <c r="G1143" s="655">
        <v>109403</v>
      </c>
      <c r="H1143" s="655">
        <v>93628</v>
      </c>
      <c r="I1143" s="655">
        <v>557290</v>
      </c>
      <c r="J1143" s="655">
        <v>398871</v>
      </c>
      <c r="K1143" s="655">
        <v>45145</v>
      </c>
      <c r="L1143" s="655">
        <v>34418</v>
      </c>
      <c r="M1143" s="655">
        <v>206909</v>
      </c>
      <c r="N1143" s="655">
        <v>211053</v>
      </c>
      <c r="O1143" s="655">
        <v>2944</v>
      </c>
      <c r="P1143" s="655">
        <v>35537</v>
      </c>
      <c r="Q1143" s="655">
        <v>39698</v>
      </c>
      <c r="R1143" s="655">
        <v>0</v>
      </c>
      <c r="S1143" s="655">
        <v>27316</v>
      </c>
      <c r="T1143" s="655">
        <v>3136</v>
      </c>
      <c r="U1143" s="655">
        <v>100319</v>
      </c>
      <c r="V1143" s="655">
        <v>0</v>
      </c>
      <c r="W1143" s="655">
        <v>180091</v>
      </c>
      <c r="X1143" s="655">
        <v>424291.3</v>
      </c>
      <c r="Y1143" s="655">
        <v>0</v>
      </c>
      <c r="Z1143" s="655">
        <v>0</v>
      </c>
      <c r="AA1143" s="655">
        <v>0</v>
      </c>
      <c r="AB1143" s="655">
        <v>0</v>
      </c>
      <c r="AC1143" s="655">
        <v>0</v>
      </c>
      <c r="AD1143" s="655">
        <v>34532</v>
      </c>
      <c r="AE1143" s="655">
        <v>6752409.2999999998</v>
      </c>
      <c r="AF1143" s="655">
        <v>0</v>
      </c>
      <c r="AG1143" s="655">
        <v>331928</v>
      </c>
      <c r="AH1143" s="655">
        <v>0</v>
      </c>
      <c r="AI1143" s="805">
        <v>949131</v>
      </c>
      <c r="AJ1143" s="655">
        <v>1729311</v>
      </c>
      <c r="AK1143" s="655">
        <v>9762779.3000000007</v>
      </c>
      <c r="AL1143" s="805">
        <v>7588594</v>
      </c>
      <c r="AM1143" s="655">
        <v>2174185.3000000007</v>
      </c>
    </row>
    <row r="1144" spans="1:39" x14ac:dyDescent="0.2">
      <c r="A1144" s="648">
        <v>2016</v>
      </c>
      <c r="B1144" s="648">
        <v>5</v>
      </c>
      <c r="C1144" s="657" t="s">
        <v>219</v>
      </c>
      <c r="D1144" s="648">
        <v>3060</v>
      </c>
      <c r="E1144" s="648" t="s">
        <v>1135</v>
      </c>
      <c r="F1144" s="655">
        <v>7811263</v>
      </c>
      <c r="G1144" s="655">
        <v>0</v>
      </c>
      <c r="H1144" s="655">
        <v>304567</v>
      </c>
      <c r="I1144" s="655">
        <v>810004</v>
      </c>
      <c r="J1144" s="655">
        <v>691429</v>
      </c>
      <c r="K1144" s="655">
        <v>75568</v>
      </c>
      <c r="L1144" s="655">
        <v>84002</v>
      </c>
      <c r="M1144" s="655">
        <v>378906</v>
      </c>
      <c r="N1144" s="655">
        <v>392304</v>
      </c>
      <c r="O1144" s="655">
        <v>0</v>
      </c>
      <c r="P1144" s="655">
        <v>71512</v>
      </c>
      <c r="Q1144" s="655">
        <v>80322</v>
      </c>
      <c r="R1144" s="655">
        <v>1176</v>
      </c>
      <c r="S1144" s="655">
        <v>41782</v>
      </c>
      <c r="T1144" s="655">
        <v>4975</v>
      </c>
      <c r="U1144" s="655">
        <v>342490</v>
      </c>
      <c r="V1144" s="655">
        <v>0</v>
      </c>
      <c r="W1144" s="655">
        <v>105996</v>
      </c>
      <c r="X1144" s="655">
        <v>267274.23</v>
      </c>
      <c r="Y1144" s="655">
        <v>0</v>
      </c>
      <c r="Z1144" s="655">
        <v>0</v>
      </c>
      <c r="AA1144" s="655">
        <v>0</v>
      </c>
      <c r="AB1144" s="655">
        <v>0</v>
      </c>
      <c r="AC1144" s="655">
        <v>6366</v>
      </c>
      <c r="AD1144" s="655">
        <v>61988</v>
      </c>
      <c r="AE1144" s="655">
        <v>11407948.23</v>
      </c>
      <c r="AF1144" s="655">
        <v>238462</v>
      </c>
      <c r="AG1144" s="655">
        <v>597093</v>
      </c>
      <c r="AH1144" s="655">
        <v>0</v>
      </c>
      <c r="AI1144" s="805">
        <v>2469759</v>
      </c>
      <c r="AJ1144" s="655">
        <v>1331498</v>
      </c>
      <c r="AK1144" s="655">
        <v>16044760.23</v>
      </c>
      <c r="AL1144" s="805">
        <v>14394190</v>
      </c>
      <c r="AM1144" s="655">
        <v>1650570.2300000004</v>
      </c>
    </row>
    <row r="1145" spans="1:39" x14ac:dyDescent="0.2">
      <c r="A1145" s="648">
        <v>2016</v>
      </c>
      <c r="B1145" s="648">
        <v>7</v>
      </c>
      <c r="C1145" s="657" t="s">
        <v>220</v>
      </c>
      <c r="D1145" s="648">
        <v>3105</v>
      </c>
      <c r="E1145" s="648" t="s">
        <v>1136</v>
      </c>
      <c r="F1145" s="655">
        <v>9055341</v>
      </c>
      <c r="G1145" s="655">
        <v>0</v>
      </c>
      <c r="H1145" s="655">
        <v>128585</v>
      </c>
      <c r="I1145" s="655">
        <v>1436684</v>
      </c>
      <c r="J1145" s="655">
        <v>817931</v>
      </c>
      <c r="K1145" s="655">
        <v>96425</v>
      </c>
      <c r="L1145" s="655">
        <v>90694</v>
      </c>
      <c r="M1145" s="655">
        <v>0</v>
      </c>
      <c r="N1145" s="655">
        <v>466640</v>
      </c>
      <c r="O1145" s="655">
        <v>0</v>
      </c>
      <c r="P1145" s="655">
        <v>80886</v>
      </c>
      <c r="Q1145" s="655">
        <v>90356</v>
      </c>
      <c r="R1145" s="655">
        <v>0</v>
      </c>
      <c r="S1145" s="655">
        <v>59427</v>
      </c>
      <c r="T1145" s="655">
        <v>6820</v>
      </c>
      <c r="U1145" s="655">
        <v>387316</v>
      </c>
      <c r="V1145" s="655">
        <v>0</v>
      </c>
      <c r="W1145" s="655">
        <v>165662</v>
      </c>
      <c r="X1145" s="655">
        <v>412315.17</v>
      </c>
      <c r="Y1145" s="655">
        <v>0</v>
      </c>
      <c r="Z1145" s="655">
        <v>0</v>
      </c>
      <c r="AA1145" s="655">
        <v>0</v>
      </c>
      <c r="AB1145" s="655">
        <v>0</v>
      </c>
      <c r="AC1145" s="655">
        <v>306</v>
      </c>
      <c r="AD1145" s="655">
        <v>73977</v>
      </c>
      <c r="AE1145" s="655">
        <v>13221411.17</v>
      </c>
      <c r="AF1145" s="655">
        <v>325523</v>
      </c>
      <c r="AG1145" s="655">
        <v>668827</v>
      </c>
      <c r="AH1145" s="655">
        <v>0</v>
      </c>
      <c r="AI1145" s="805">
        <v>1649014</v>
      </c>
      <c r="AJ1145" s="655">
        <v>1881659</v>
      </c>
      <c r="AK1145" s="655">
        <v>17746434.170000002</v>
      </c>
      <c r="AL1145" s="805">
        <v>15814426</v>
      </c>
      <c r="AM1145" s="655">
        <v>1932008.1700000018</v>
      </c>
    </row>
    <row r="1146" spans="1:39" x14ac:dyDescent="0.2">
      <c r="A1146" s="648">
        <v>2016</v>
      </c>
      <c r="B1146" s="648">
        <v>11</v>
      </c>
      <c r="C1146" s="657" t="s">
        <v>221</v>
      </c>
      <c r="D1146" s="648">
        <v>3114</v>
      </c>
      <c r="E1146" s="648" t="s">
        <v>1137</v>
      </c>
      <c r="F1146" s="655">
        <v>22111714</v>
      </c>
      <c r="G1146" s="655">
        <v>0</v>
      </c>
      <c r="H1146" s="655">
        <v>361182</v>
      </c>
      <c r="I1146" s="655">
        <v>2045960</v>
      </c>
      <c r="J1146" s="655">
        <v>1762454</v>
      </c>
      <c r="K1146" s="655">
        <v>209351</v>
      </c>
      <c r="L1146" s="655">
        <v>199369</v>
      </c>
      <c r="M1146" s="655">
        <v>0</v>
      </c>
      <c r="N1146" s="655">
        <v>1031779</v>
      </c>
      <c r="O1146" s="655">
        <v>0</v>
      </c>
      <c r="P1146" s="655">
        <v>181715</v>
      </c>
      <c r="Q1146" s="655">
        <v>199469</v>
      </c>
      <c r="R1146" s="655">
        <v>0</v>
      </c>
      <c r="S1146" s="655">
        <v>84548</v>
      </c>
      <c r="T1146" s="655">
        <v>10756</v>
      </c>
      <c r="U1146" s="655">
        <v>1091864</v>
      </c>
      <c r="V1146" s="655">
        <v>19069</v>
      </c>
      <c r="W1146" s="655">
        <v>274084</v>
      </c>
      <c r="X1146" s="655">
        <v>727954.98</v>
      </c>
      <c r="Y1146" s="655">
        <v>0</v>
      </c>
      <c r="Z1146" s="655">
        <v>0</v>
      </c>
      <c r="AA1146" s="655">
        <v>0</v>
      </c>
      <c r="AB1146" s="655">
        <v>0</v>
      </c>
      <c r="AC1146" s="655">
        <v>-6366</v>
      </c>
      <c r="AD1146" s="655">
        <v>139171</v>
      </c>
      <c r="AE1146" s="655">
        <v>30165731.98</v>
      </c>
      <c r="AF1146" s="655">
        <v>412544</v>
      </c>
      <c r="AG1146" s="655">
        <v>1454287</v>
      </c>
      <c r="AH1146" s="655">
        <v>0</v>
      </c>
      <c r="AI1146" s="805">
        <v>4037784</v>
      </c>
      <c r="AJ1146" s="655">
        <v>6541486</v>
      </c>
      <c r="AK1146" s="655">
        <v>42611832.980000004</v>
      </c>
      <c r="AL1146" s="805">
        <v>35747207</v>
      </c>
      <c r="AM1146" s="655">
        <v>6864625.9800000042</v>
      </c>
    </row>
    <row r="1147" spans="1:39" x14ac:dyDescent="0.2">
      <c r="A1147" s="648">
        <v>2016</v>
      </c>
      <c r="B1147" s="648">
        <v>11</v>
      </c>
      <c r="C1147" s="657" t="s">
        <v>222</v>
      </c>
      <c r="D1147" s="648">
        <v>3119</v>
      </c>
      <c r="E1147" s="648" t="s">
        <v>1138</v>
      </c>
      <c r="F1147" s="655">
        <v>5771748</v>
      </c>
      <c r="G1147" s="655">
        <v>0</v>
      </c>
      <c r="H1147" s="655">
        <v>63828</v>
      </c>
      <c r="I1147" s="655">
        <v>498856</v>
      </c>
      <c r="J1147" s="655">
        <v>506438</v>
      </c>
      <c r="K1147" s="655">
        <v>46462</v>
      </c>
      <c r="L1147" s="655">
        <v>53151</v>
      </c>
      <c r="M1147" s="655">
        <v>0</v>
      </c>
      <c r="N1147" s="655">
        <v>267819</v>
      </c>
      <c r="O1147" s="655">
        <v>0</v>
      </c>
      <c r="P1147" s="655">
        <v>47244</v>
      </c>
      <c r="Q1147" s="655">
        <v>51860</v>
      </c>
      <c r="R1147" s="655">
        <v>0</v>
      </c>
      <c r="S1147" s="655">
        <v>21946</v>
      </c>
      <c r="T1147" s="655">
        <v>2792</v>
      </c>
      <c r="U1147" s="655">
        <v>168375</v>
      </c>
      <c r="V1147" s="655">
        <v>0</v>
      </c>
      <c r="W1147" s="655">
        <v>162623</v>
      </c>
      <c r="X1147" s="655">
        <v>351132.9</v>
      </c>
      <c r="Y1147" s="655">
        <v>0</v>
      </c>
      <c r="Z1147" s="655">
        <v>0</v>
      </c>
      <c r="AA1147" s="655">
        <v>0</v>
      </c>
      <c r="AB1147" s="655">
        <v>0</v>
      </c>
      <c r="AC1147" s="655">
        <v>0</v>
      </c>
      <c r="AD1147" s="655">
        <v>33511</v>
      </c>
      <c r="AE1147" s="655">
        <v>7980763.9000000004</v>
      </c>
      <c r="AF1147" s="655">
        <v>116028</v>
      </c>
      <c r="AG1147" s="655">
        <v>385437</v>
      </c>
      <c r="AH1147" s="655">
        <v>0</v>
      </c>
      <c r="AI1147" s="805">
        <v>976747</v>
      </c>
      <c r="AJ1147" s="655">
        <v>1878955</v>
      </c>
      <c r="AK1147" s="655">
        <v>11337930.9</v>
      </c>
      <c r="AL1147" s="805">
        <v>9214709</v>
      </c>
      <c r="AM1147" s="655">
        <v>2123221.9000000004</v>
      </c>
    </row>
    <row r="1148" spans="1:39" x14ac:dyDescent="0.2">
      <c r="A1148" s="648">
        <v>2016</v>
      </c>
      <c r="B1148" s="648">
        <v>10</v>
      </c>
      <c r="C1148" s="657" t="s">
        <v>223</v>
      </c>
      <c r="D1148" s="648">
        <v>3141</v>
      </c>
      <c r="E1148" s="648" t="s">
        <v>1139</v>
      </c>
      <c r="F1148" s="655">
        <v>86138864</v>
      </c>
      <c r="G1148" s="655">
        <v>0</v>
      </c>
      <c r="H1148" s="655">
        <v>2234098</v>
      </c>
      <c r="I1148" s="655">
        <v>8244655</v>
      </c>
      <c r="J1148" s="655">
        <v>7107423</v>
      </c>
      <c r="K1148" s="655">
        <v>881780</v>
      </c>
      <c r="L1148" s="655">
        <v>901906</v>
      </c>
      <c r="M1148" s="655">
        <v>0</v>
      </c>
      <c r="N1148" s="655">
        <v>4124222</v>
      </c>
      <c r="O1148" s="655">
        <v>0</v>
      </c>
      <c r="P1148" s="655">
        <v>755621</v>
      </c>
      <c r="Q1148" s="655">
        <v>830137</v>
      </c>
      <c r="R1148" s="655">
        <v>0</v>
      </c>
      <c r="S1148" s="655">
        <v>384515</v>
      </c>
      <c r="T1148" s="655">
        <v>44687</v>
      </c>
      <c r="U1148" s="655">
        <v>4253631</v>
      </c>
      <c r="V1148" s="655">
        <v>2417497</v>
      </c>
      <c r="W1148" s="655">
        <v>2374507</v>
      </c>
      <c r="X1148" s="655">
        <v>5638726.6799999997</v>
      </c>
      <c r="Y1148" s="655">
        <v>0</v>
      </c>
      <c r="Z1148" s="655">
        <v>0</v>
      </c>
      <c r="AA1148" s="655">
        <v>0</v>
      </c>
      <c r="AB1148" s="655">
        <v>0</v>
      </c>
      <c r="AC1148" s="655">
        <v>12766</v>
      </c>
      <c r="AD1148" s="655">
        <v>485100</v>
      </c>
      <c r="AE1148" s="655">
        <v>125859935.68000001</v>
      </c>
      <c r="AF1148" s="655">
        <v>1282754</v>
      </c>
      <c r="AG1148" s="655">
        <v>6897139</v>
      </c>
      <c r="AH1148" s="655">
        <v>0</v>
      </c>
      <c r="AI1148" s="805">
        <v>14473387</v>
      </c>
      <c r="AJ1148" s="655">
        <v>6444251</v>
      </c>
      <c r="AK1148" s="655">
        <v>154957466.68000001</v>
      </c>
      <c r="AL1148" s="805">
        <v>145100058</v>
      </c>
      <c r="AM1148" s="655">
        <v>9857408.6800000072</v>
      </c>
    </row>
    <row r="1149" spans="1:39" x14ac:dyDescent="0.2">
      <c r="A1149" s="648">
        <v>2016</v>
      </c>
      <c r="B1149" s="648">
        <v>7</v>
      </c>
      <c r="C1149" s="657" t="s">
        <v>224</v>
      </c>
      <c r="D1149" s="648">
        <v>3150</v>
      </c>
      <c r="E1149" s="648" t="s">
        <v>1140</v>
      </c>
      <c r="F1149" s="655">
        <v>7001915</v>
      </c>
      <c r="G1149" s="655">
        <v>0</v>
      </c>
      <c r="H1149" s="655">
        <v>214560</v>
      </c>
      <c r="I1149" s="655">
        <v>900237</v>
      </c>
      <c r="J1149" s="655">
        <v>613436</v>
      </c>
      <c r="K1149" s="655">
        <v>71408</v>
      </c>
      <c r="L1149" s="655">
        <v>76998</v>
      </c>
      <c r="M1149" s="655">
        <v>0</v>
      </c>
      <c r="N1149" s="655">
        <v>351181</v>
      </c>
      <c r="O1149" s="655">
        <v>0</v>
      </c>
      <c r="P1149" s="655">
        <v>57761</v>
      </c>
      <c r="Q1149" s="655">
        <v>64523</v>
      </c>
      <c r="R1149" s="655">
        <v>0</v>
      </c>
      <c r="S1149" s="655">
        <v>44774</v>
      </c>
      <c r="T1149" s="655">
        <v>5140</v>
      </c>
      <c r="U1149" s="655">
        <v>345754</v>
      </c>
      <c r="V1149" s="655">
        <v>38770</v>
      </c>
      <c r="W1149" s="655">
        <v>16179</v>
      </c>
      <c r="X1149" s="655">
        <v>250257.89</v>
      </c>
      <c r="Y1149" s="655">
        <v>0</v>
      </c>
      <c r="Z1149" s="655">
        <v>0</v>
      </c>
      <c r="AA1149" s="655">
        <v>0</v>
      </c>
      <c r="AB1149" s="655">
        <v>0</v>
      </c>
      <c r="AC1149" s="655">
        <v>12742</v>
      </c>
      <c r="AD1149" s="655">
        <v>49711</v>
      </c>
      <c r="AE1149" s="655">
        <v>10015924.890000001</v>
      </c>
      <c r="AF1149" s="655">
        <v>45122</v>
      </c>
      <c r="AG1149" s="655">
        <v>493355</v>
      </c>
      <c r="AH1149" s="655">
        <v>0</v>
      </c>
      <c r="AI1149" s="805">
        <v>2382661</v>
      </c>
      <c r="AJ1149" s="655">
        <v>3550847</v>
      </c>
      <c r="AK1149" s="655">
        <v>16487909.890000001</v>
      </c>
      <c r="AL1149" s="805">
        <v>12417978</v>
      </c>
      <c r="AM1149" s="655">
        <v>4069931.8900000006</v>
      </c>
    </row>
    <row r="1150" spans="1:39" x14ac:dyDescent="0.2">
      <c r="A1150" s="648">
        <v>2016</v>
      </c>
      <c r="B1150" s="648">
        <v>10</v>
      </c>
      <c r="C1150" s="657" t="s">
        <v>225</v>
      </c>
      <c r="D1150" s="648">
        <v>3154</v>
      </c>
      <c r="E1150" s="648" t="s">
        <v>1141</v>
      </c>
      <c r="F1150" s="655">
        <v>3531763</v>
      </c>
      <c r="G1150" s="655">
        <v>53416</v>
      </c>
      <c r="H1150" s="655">
        <v>96439</v>
      </c>
      <c r="I1150" s="655">
        <v>379476</v>
      </c>
      <c r="J1150" s="655">
        <v>290772</v>
      </c>
      <c r="K1150" s="655">
        <v>33958</v>
      </c>
      <c r="L1150" s="655">
        <v>28287</v>
      </c>
      <c r="M1150" s="655">
        <v>0</v>
      </c>
      <c r="N1150" s="655">
        <v>171358</v>
      </c>
      <c r="O1150" s="655">
        <v>16250</v>
      </c>
      <c r="P1150" s="655">
        <v>29002</v>
      </c>
      <c r="Q1150" s="655">
        <v>31862</v>
      </c>
      <c r="R1150" s="655">
        <v>0</v>
      </c>
      <c r="S1150" s="655">
        <v>16051</v>
      </c>
      <c r="T1150" s="655">
        <v>1867</v>
      </c>
      <c r="U1150" s="655">
        <v>13679</v>
      </c>
      <c r="V1150" s="655">
        <v>0</v>
      </c>
      <c r="W1150" s="655">
        <v>94796</v>
      </c>
      <c r="X1150" s="655">
        <v>0</v>
      </c>
      <c r="Y1150" s="655">
        <v>0</v>
      </c>
      <c r="Z1150" s="655">
        <v>0</v>
      </c>
      <c r="AA1150" s="655">
        <v>0</v>
      </c>
      <c r="AB1150" s="655">
        <v>0</v>
      </c>
      <c r="AC1150" s="655">
        <v>-1146</v>
      </c>
      <c r="AD1150" s="655">
        <v>30923</v>
      </c>
      <c r="AE1150" s="655">
        <v>4756907</v>
      </c>
      <c r="AF1150" s="655">
        <v>90244</v>
      </c>
      <c r="AG1150" s="655">
        <v>252361</v>
      </c>
      <c r="AH1150" s="655">
        <v>0</v>
      </c>
      <c r="AI1150" s="805">
        <v>758798</v>
      </c>
      <c r="AJ1150" s="655">
        <v>795624</v>
      </c>
      <c r="AK1150" s="655">
        <v>6653934</v>
      </c>
      <c r="AL1150" s="805">
        <v>6026762</v>
      </c>
      <c r="AM1150" s="655">
        <v>627172</v>
      </c>
    </row>
    <row r="1151" spans="1:39" x14ac:dyDescent="0.2">
      <c r="A1151" s="648">
        <v>2016</v>
      </c>
      <c r="B1151" s="648">
        <v>13</v>
      </c>
      <c r="C1151" s="657" t="s">
        <v>1484</v>
      </c>
      <c r="D1151" s="648">
        <v>3168</v>
      </c>
      <c r="E1151" s="648" t="s">
        <v>1481</v>
      </c>
      <c r="F1151" s="655">
        <v>4573734</v>
      </c>
      <c r="G1151" s="655">
        <v>42851</v>
      </c>
      <c r="H1151" s="655">
        <v>112183</v>
      </c>
      <c r="I1151" s="655">
        <v>475181</v>
      </c>
      <c r="J1151" s="655">
        <v>424122</v>
      </c>
      <c r="K1151" s="655">
        <v>48593</v>
      </c>
      <c r="L1151" s="655">
        <v>43397</v>
      </c>
      <c r="M1151" s="655">
        <v>0</v>
      </c>
      <c r="N1151" s="655">
        <v>218529</v>
      </c>
      <c r="O1151" s="655">
        <v>13721</v>
      </c>
      <c r="P1151" s="655">
        <v>37393</v>
      </c>
      <c r="Q1151" s="655">
        <v>41356</v>
      </c>
      <c r="R1151" s="655">
        <v>0</v>
      </c>
      <c r="S1151" s="655">
        <v>22441</v>
      </c>
      <c r="T1151" s="655">
        <v>2383</v>
      </c>
      <c r="U1151" s="655">
        <v>57345</v>
      </c>
      <c r="V1151" s="655">
        <v>0</v>
      </c>
      <c r="W1151" s="655">
        <v>77029</v>
      </c>
      <c r="X1151" s="655">
        <v>207018.92</v>
      </c>
      <c r="Y1151" s="655">
        <v>0</v>
      </c>
      <c r="Z1151" s="655">
        <v>0</v>
      </c>
      <c r="AA1151" s="655">
        <v>0</v>
      </c>
      <c r="AB1151" s="655">
        <v>0</v>
      </c>
      <c r="AC1151" s="655">
        <v>0</v>
      </c>
      <c r="AD1151" s="655">
        <v>45080</v>
      </c>
      <c r="AE1151" s="655">
        <v>6352196.9199999999</v>
      </c>
      <c r="AF1151" s="655">
        <v>128920</v>
      </c>
      <c r="AG1151" s="655">
        <v>390102</v>
      </c>
      <c r="AH1151" s="655">
        <v>0</v>
      </c>
      <c r="AI1151" s="805">
        <v>783382</v>
      </c>
      <c r="AJ1151" s="655">
        <v>2163328</v>
      </c>
      <c r="AK1151" s="655">
        <v>9817928.9199999999</v>
      </c>
      <c r="AL1151" s="805">
        <v>7543416</v>
      </c>
      <c r="AM1151" s="655">
        <v>2274512.92</v>
      </c>
    </row>
    <row r="1152" spans="1:39" x14ac:dyDescent="0.2">
      <c r="A1152" s="648">
        <v>2016</v>
      </c>
      <c r="B1152" s="648">
        <v>7</v>
      </c>
      <c r="C1152" s="657" t="s">
        <v>226</v>
      </c>
      <c r="D1152" s="648">
        <v>3186</v>
      </c>
      <c r="E1152" s="648" t="s">
        <v>1142</v>
      </c>
      <c r="F1152" s="655">
        <v>2478632</v>
      </c>
      <c r="G1152" s="655">
        <v>0</v>
      </c>
      <c r="H1152" s="655">
        <v>15846</v>
      </c>
      <c r="I1152" s="655">
        <v>269839</v>
      </c>
      <c r="J1152" s="655">
        <v>207227</v>
      </c>
      <c r="K1152" s="655">
        <v>19716</v>
      </c>
      <c r="L1152" s="655">
        <v>17234</v>
      </c>
      <c r="M1152" s="655">
        <v>0</v>
      </c>
      <c r="N1152" s="655">
        <v>120834</v>
      </c>
      <c r="O1152" s="655">
        <v>0</v>
      </c>
      <c r="P1152" s="655">
        <v>20580</v>
      </c>
      <c r="Q1152" s="655">
        <v>22989</v>
      </c>
      <c r="R1152" s="655">
        <v>0</v>
      </c>
      <c r="S1152" s="655">
        <v>15388</v>
      </c>
      <c r="T1152" s="655">
        <v>1766</v>
      </c>
      <c r="U1152" s="655">
        <v>16472</v>
      </c>
      <c r="V1152" s="655">
        <v>0</v>
      </c>
      <c r="W1152" s="655">
        <v>76392</v>
      </c>
      <c r="X1152" s="655">
        <v>100167.3</v>
      </c>
      <c r="Y1152" s="655">
        <v>0</v>
      </c>
      <c r="Z1152" s="655">
        <v>0</v>
      </c>
      <c r="AA1152" s="655">
        <v>0</v>
      </c>
      <c r="AB1152" s="655">
        <v>0</v>
      </c>
      <c r="AC1152" s="655">
        <v>0</v>
      </c>
      <c r="AD1152" s="655">
        <v>15951</v>
      </c>
      <c r="AE1152" s="655">
        <v>3367131.3</v>
      </c>
      <c r="AF1152" s="655">
        <v>93467</v>
      </c>
      <c r="AG1152" s="655">
        <v>190805</v>
      </c>
      <c r="AH1152" s="655">
        <v>0</v>
      </c>
      <c r="AI1152" s="805">
        <v>635787</v>
      </c>
      <c r="AJ1152" s="655">
        <v>2640576</v>
      </c>
      <c r="AK1152" s="655">
        <v>6927766.2999999998</v>
      </c>
      <c r="AL1152" s="805">
        <v>4181679</v>
      </c>
      <c r="AM1152" s="655">
        <v>2746087.3</v>
      </c>
    </row>
    <row r="1153" spans="1:39" x14ac:dyDescent="0.2">
      <c r="A1153" s="648">
        <v>2016</v>
      </c>
      <c r="B1153" s="648">
        <v>5</v>
      </c>
      <c r="C1153" s="657" t="s">
        <v>227</v>
      </c>
      <c r="D1153" s="648">
        <v>3195</v>
      </c>
      <c r="E1153" s="648" t="s">
        <v>1638</v>
      </c>
      <c r="F1153" s="655">
        <v>8374288</v>
      </c>
      <c r="G1153" s="655">
        <v>104197</v>
      </c>
      <c r="H1153" s="655">
        <v>276976</v>
      </c>
      <c r="I1153" s="655">
        <v>1096468</v>
      </c>
      <c r="J1153" s="655">
        <v>727822</v>
      </c>
      <c r="K1153" s="655">
        <v>82811</v>
      </c>
      <c r="L1153" s="655">
        <v>89655</v>
      </c>
      <c r="M1153" s="655">
        <v>401606</v>
      </c>
      <c r="N1153" s="655">
        <v>426068</v>
      </c>
      <c r="O1153" s="655">
        <v>4022</v>
      </c>
      <c r="P1153" s="655">
        <v>68168</v>
      </c>
      <c r="Q1153" s="655">
        <v>76565</v>
      </c>
      <c r="R1153" s="655">
        <v>1276</v>
      </c>
      <c r="S1153" s="655">
        <v>45824</v>
      </c>
      <c r="T1153" s="655">
        <v>5461</v>
      </c>
      <c r="U1153" s="655">
        <v>414091</v>
      </c>
      <c r="V1153" s="655">
        <v>244281</v>
      </c>
      <c r="W1153" s="655">
        <v>109327</v>
      </c>
      <c r="X1153" s="655">
        <v>444330.13</v>
      </c>
      <c r="Y1153" s="655">
        <v>0</v>
      </c>
      <c r="Z1153" s="655">
        <v>0</v>
      </c>
      <c r="AA1153" s="655">
        <v>0</v>
      </c>
      <c r="AB1153" s="655">
        <v>0</v>
      </c>
      <c r="AC1153" s="655">
        <v>-174524</v>
      </c>
      <c r="AD1153" s="655">
        <v>79359</v>
      </c>
      <c r="AE1153" s="655">
        <v>12739353.130000001</v>
      </c>
      <c r="AF1153" s="655">
        <v>273955</v>
      </c>
      <c r="AG1153" s="655">
        <v>673107</v>
      </c>
      <c r="AH1153" s="655">
        <v>0</v>
      </c>
      <c r="AI1153" s="805">
        <v>1633339</v>
      </c>
      <c r="AJ1153" s="655">
        <v>-244281</v>
      </c>
      <c r="AK1153" s="655">
        <v>15075473.130000001</v>
      </c>
      <c r="AL1153" s="805">
        <v>15283514</v>
      </c>
      <c r="AM1153" s="655">
        <v>-208040.86999999918</v>
      </c>
    </row>
    <row r="1154" spans="1:39" x14ac:dyDescent="0.2">
      <c r="A1154" s="648">
        <v>2016</v>
      </c>
      <c r="B1154" s="648">
        <v>7</v>
      </c>
      <c r="C1154" s="657" t="s">
        <v>228</v>
      </c>
      <c r="D1154" s="648">
        <v>3204</v>
      </c>
      <c r="E1154" s="648" t="s">
        <v>1146</v>
      </c>
      <c r="F1154" s="655">
        <v>5675703</v>
      </c>
      <c r="G1154" s="655">
        <v>0</v>
      </c>
      <c r="H1154" s="655">
        <v>170813</v>
      </c>
      <c r="I1154" s="655">
        <v>602572</v>
      </c>
      <c r="J1154" s="655">
        <v>442504</v>
      </c>
      <c r="K1154" s="655">
        <v>47882</v>
      </c>
      <c r="L1154" s="655">
        <v>58791</v>
      </c>
      <c r="M1154" s="655">
        <v>0</v>
      </c>
      <c r="N1154" s="655">
        <v>279230</v>
      </c>
      <c r="O1154" s="655">
        <v>1707</v>
      </c>
      <c r="P1154" s="655">
        <v>54154</v>
      </c>
      <c r="Q1154" s="655">
        <v>60494</v>
      </c>
      <c r="R1154" s="655">
        <v>0</v>
      </c>
      <c r="S1154" s="655">
        <v>35861</v>
      </c>
      <c r="T1154" s="655">
        <v>4117</v>
      </c>
      <c r="U1154" s="655">
        <v>105099</v>
      </c>
      <c r="V1154" s="655">
        <v>0</v>
      </c>
      <c r="W1154" s="655">
        <v>91500</v>
      </c>
      <c r="X1154" s="655">
        <v>248464.77</v>
      </c>
      <c r="Y1154" s="655">
        <v>0</v>
      </c>
      <c r="Z1154" s="655">
        <v>0</v>
      </c>
      <c r="AA1154" s="655">
        <v>0</v>
      </c>
      <c r="AB1154" s="655">
        <v>0</v>
      </c>
      <c r="AC1154" s="655">
        <v>-6430</v>
      </c>
      <c r="AD1154" s="655">
        <v>41079</v>
      </c>
      <c r="AE1154" s="655">
        <v>7831382.7699999996</v>
      </c>
      <c r="AF1154" s="655">
        <v>0</v>
      </c>
      <c r="AG1154" s="655">
        <v>0</v>
      </c>
      <c r="AH1154" s="655">
        <v>0</v>
      </c>
      <c r="AI1154" s="805">
        <v>1014003</v>
      </c>
      <c r="AJ1154" s="655">
        <v>2893045</v>
      </c>
      <c r="AK1154" s="655">
        <v>11738430.77</v>
      </c>
      <c r="AL1154" s="805">
        <v>9073196</v>
      </c>
      <c r="AM1154" s="655">
        <v>2665234.7699999996</v>
      </c>
    </row>
    <row r="1155" spans="1:39" x14ac:dyDescent="0.2">
      <c r="A1155" s="648">
        <v>2016</v>
      </c>
      <c r="B1155" s="648">
        <v>11</v>
      </c>
      <c r="C1155" s="657" t="s">
        <v>229</v>
      </c>
      <c r="D1155" s="648">
        <v>3231</v>
      </c>
      <c r="E1155" s="648" t="s">
        <v>1147</v>
      </c>
      <c r="F1155" s="655">
        <v>42653827</v>
      </c>
      <c r="G1155" s="655">
        <v>0</v>
      </c>
      <c r="H1155" s="655">
        <v>658446</v>
      </c>
      <c r="I1155" s="655">
        <v>3404455</v>
      </c>
      <c r="J1155" s="655">
        <v>3413828</v>
      </c>
      <c r="K1155" s="655">
        <v>378432</v>
      </c>
      <c r="L1155" s="655">
        <v>369036</v>
      </c>
      <c r="M1155" s="655">
        <v>2069035</v>
      </c>
      <c r="N1155" s="655">
        <v>1967159</v>
      </c>
      <c r="O1155" s="655">
        <v>0</v>
      </c>
      <c r="P1155" s="655">
        <v>370532</v>
      </c>
      <c r="Q1155" s="655">
        <v>406733</v>
      </c>
      <c r="R1155" s="655">
        <v>0</v>
      </c>
      <c r="S1155" s="655">
        <v>161197</v>
      </c>
      <c r="T1155" s="655">
        <v>20507</v>
      </c>
      <c r="U1155" s="655">
        <v>1127864</v>
      </c>
      <c r="V1155" s="655">
        <v>146341</v>
      </c>
      <c r="W1155" s="655">
        <v>1015116</v>
      </c>
      <c r="X1155" s="655">
        <v>2297278.56</v>
      </c>
      <c r="Y1155" s="655">
        <v>0</v>
      </c>
      <c r="Z1155" s="655">
        <v>0</v>
      </c>
      <c r="AA1155" s="655">
        <v>0</v>
      </c>
      <c r="AB1155" s="655">
        <v>0</v>
      </c>
      <c r="AC1155" s="655">
        <v>5220</v>
      </c>
      <c r="AD1155" s="655">
        <v>179185</v>
      </c>
      <c r="AE1155" s="655">
        <v>60285821.560000002</v>
      </c>
      <c r="AF1155" s="655">
        <v>792858</v>
      </c>
      <c r="AG1155" s="655">
        <v>3122687</v>
      </c>
      <c r="AH1155" s="655">
        <v>0</v>
      </c>
      <c r="AI1155" s="805">
        <v>8177484</v>
      </c>
      <c r="AJ1155" s="655">
        <v>7666495</v>
      </c>
      <c r="AK1155" s="655">
        <v>80045345.560000002</v>
      </c>
      <c r="AL1155" s="805">
        <v>70676923</v>
      </c>
      <c r="AM1155" s="655">
        <v>9368422.5600000024</v>
      </c>
    </row>
    <row r="1156" spans="1:39" x14ac:dyDescent="0.2">
      <c r="A1156" s="648">
        <v>2016</v>
      </c>
      <c r="B1156" s="648">
        <v>15</v>
      </c>
      <c r="C1156" s="657" t="s">
        <v>230</v>
      </c>
      <c r="D1156" s="648">
        <v>3312</v>
      </c>
      <c r="E1156" s="648" t="s">
        <v>1148</v>
      </c>
      <c r="F1156" s="655">
        <v>12658010</v>
      </c>
      <c r="G1156" s="655">
        <v>4562</v>
      </c>
      <c r="H1156" s="655">
        <v>343462</v>
      </c>
      <c r="I1156" s="655">
        <v>2265253</v>
      </c>
      <c r="J1156" s="655">
        <v>1070334</v>
      </c>
      <c r="K1156" s="655">
        <v>127523</v>
      </c>
      <c r="L1156" s="655">
        <v>137577</v>
      </c>
      <c r="M1156" s="655">
        <v>0</v>
      </c>
      <c r="N1156" s="655">
        <v>649924</v>
      </c>
      <c r="O1156" s="655">
        <v>7081</v>
      </c>
      <c r="P1156" s="655">
        <v>107370</v>
      </c>
      <c r="Q1156" s="655">
        <v>117942</v>
      </c>
      <c r="R1156" s="655">
        <v>1735</v>
      </c>
      <c r="S1156" s="655">
        <v>65078</v>
      </c>
      <c r="T1156" s="655">
        <v>7038</v>
      </c>
      <c r="U1156" s="655">
        <v>599436</v>
      </c>
      <c r="V1156" s="655">
        <v>246</v>
      </c>
      <c r="W1156" s="655">
        <v>152784</v>
      </c>
      <c r="X1156" s="655">
        <v>353795.45</v>
      </c>
      <c r="Y1156" s="655">
        <v>0</v>
      </c>
      <c r="Z1156" s="655">
        <v>0</v>
      </c>
      <c r="AA1156" s="655">
        <v>0</v>
      </c>
      <c r="AB1156" s="655">
        <v>0</v>
      </c>
      <c r="AC1156" s="655">
        <v>-12732</v>
      </c>
      <c r="AD1156" s="655">
        <v>104456</v>
      </c>
      <c r="AE1156" s="655">
        <v>18551962.449999999</v>
      </c>
      <c r="AF1156" s="655">
        <v>225650</v>
      </c>
      <c r="AG1156" s="655">
        <v>771277</v>
      </c>
      <c r="AH1156" s="655">
        <v>0</v>
      </c>
      <c r="AI1156" s="805">
        <v>1972477</v>
      </c>
      <c r="AJ1156" s="655">
        <v>6411266</v>
      </c>
      <c r="AK1156" s="655">
        <v>27932632.449999999</v>
      </c>
      <c r="AL1156" s="805">
        <v>21276341</v>
      </c>
      <c r="AM1156" s="655">
        <v>6656291.4499999993</v>
      </c>
    </row>
    <row r="1157" spans="1:39" x14ac:dyDescent="0.2">
      <c r="A1157" s="648">
        <v>2016</v>
      </c>
      <c r="B1157" s="648">
        <v>15</v>
      </c>
      <c r="C1157" s="657" t="s">
        <v>231</v>
      </c>
      <c r="D1157" s="648">
        <v>3330</v>
      </c>
      <c r="E1157" s="648" t="s">
        <v>1149</v>
      </c>
      <c r="F1157" s="655">
        <v>2199461</v>
      </c>
      <c r="G1157" s="655">
        <v>39283</v>
      </c>
      <c r="H1157" s="655">
        <v>130404</v>
      </c>
      <c r="I1157" s="655">
        <v>231174</v>
      </c>
      <c r="J1157" s="655">
        <v>204354</v>
      </c>
      <c r="K1157" s="655">
        <v>21312</v>
      </c>
      <c r="L1157" s="655">
        <v>19399</v>
      </c>
      <c r="M1157" s="655">
        <v>0</v>
      </c>
      <c r="N1157" s="655">
        <v>105139</v>
      </c>
      <c r="O1157" s="655">
        <v>0</v>
      </c>
      <c r="P1157" s="655">
        <v>18027</v>
      </c>
      <c r="Q1157" s="655">
        <v>19802</v>
      </c>
      <c r="R1157" s="655">
        <v>281</v>
      </c>
      <c r="S1157" s="655">
        <v>10528</v>
      </c>
      <c r="T1157" s="655">
        <v>1139</v>
      </c>
      <c r="U1157" s="655">
        <v>60826</v>
      </c>
      <c r="V1157" s="655">
        <v>0</v>
      </c>
      <c r="W1157" s="655">
        <v>12732</v>
      </c>
      <c r="X1157" s="655">
        <v>192171.74</v>
      </c>
      <c r="Y1157" s="655">
        <v>0</v>
      </c>
      <c r="Z1157" s="655">
        <v>0</v>
      </c>
      <c r="AA1157" s="655">
        <v>0</v>
      </c>
      <c r="AB1157" s="655">
        <v>0</v>
      </c>
      <c r="AC1157" s="655">
        <v>0</v>
      </c>
      <c r="AD1157" s="655">
        <v>17793</v>
      </c>
      <c r="AE1157" s="655">
        <v>3248239.74</v>
      </c>
      <c r="AF1157" s="655">
        <v>67683</v>
      </c>
      <c r="AG1157" s="655">
        <v>186935</v>
      </c>
      <c r="AH1157" s="655">
        <v>0</v>
      </c>
      <c r="AI1157" s="805">
        <v>432199</v>
      </c>
      <c r="AJ1157" s="655">
        <v>783369</v>
      </c>
      <c r="AK1157" s="655">
        <v>4718425.74</v>
      </c>
      <c r="AL1157" s="805">
        <v>3721006</v>
      </c>
      <c r="AM1157" s="655">
        <v>997419.74000000022</v>
      </c>
    </row>
    <row r="1158" spans="1:39" x14ac:dyDescent="0.2">
      <c r="A1158" s="648">
        <v>2016</v>
      </c>
      <c r="B1158" s="648">
        <v>12</v>
      </c>
      <c r="C1158" s="657" t="s">
        <v>232</v>
      </c>
      <c r="D1158" s="648">
        <v>3348</v>
      </c>
      <c r="E1158" s="648" t="s">
        <v>1150</v>
      </c>
      <c r="F1158" s="655">
        <v>2908411</v>
      </c>
      <c r="G1158" s="655">
        <v>70952</v>
      </c>
      <c r="H1158" s="655">
        <v>43361</v>
      </c>
      <c r="I1158" s="655">
        <v>431579</v>
      </c>
      <c r="J1158" s="655">
        <v>268183</v>
      </c>
      <c r="K1158" s="655">
        <v>31122</v>
      </c>
      <c r="L1158" s="655">
        <v>33940</v>
      </c>
      <c r="M1158" s="655">
        <v>0</v>
      </c>
      <c r="N1158" s="655">
        <v>147875</v>
      </c>
      <c r="O1158" s="655">
        <v>2860</v>
      </c>
      <c r="P1158" s="655">
        <v>23594</v>
      </c>
      <c r="Q1158" s="655">
        <v>26491</v>
      </c>
      <c r="R1158" s="655">
        <v>0</v>
      </c>
      <c r="S1158" s="655">
        <v>15134</v>
      </c>
      <c r="T1158" s="655">
        <v>1810</v>
      </c>
      <c r="U1158" s="655">
        <v>88500</v>
      </c>
      <c r="V1158" s="655">
        <v>0</v>
      </c>
      <c r="W1158" s="655">
        <v>262615</v>
      </c>
      <c r="X1158" s="655">
        <v>0</v>
      </c>
      <c r="Y1158" s="655">
        <v>0</v>
      </c>
      <c r="Z1158" s="655">
        <v>0</v>
      </c>
      <c r="AA1158" s="655">
        <v>0</v>
      </c>
      <c r="AB1158" s="655">
        <v>0</v>
      </c>
      <c r="AC1158" s="655">
        <v>0</v>
      </c>
      <c r="AD1158" s="655">
        <v>21764</v>
      </c>
      <c r="AE1158" s="655">
        <v>4334663</v>
      </c>
      <c r="AF1158" s="655">
        <v>0</v>
      </c>
      <c r="AG1158" s="655">
        <v>237961</v>
      </c>
      <c r="AH1158" s="655">
        <v>0</v>
      </c>
      <c r="AI1158" s="805">
        <v>602652</v>
      </c>
      <c r="AJ1158" s="655">
        <v>337523</v>
      </c>
      <c r="AK1158" s="655">
        <v>5512799</v>
      </c>
      <c r="AL1158" s="805">
        <v>5071732</v>
      </c>
      <c r="AM1158" s="655">
        <v>441067</v>
      </c>
    </row>
    <row r="1159" spans="1:39" x14ac:dyDescent="0.2">
      <c r="A1159" s="648">
        <v>2016</v>
      </c>
      <c r="B1159" s="648">
        <v>11</v>
      </c>
      <c r="C1159" s="657" t="s">
        <v>233</v>
      </c>
      <c r="D1159" s="648">
        <v>3375</v>
      </c>
      <c r="E1159" s="648" t="s">
        <v>1151</v>
      </c>
      <c r="F1159" s="655">
        <v>11649856</v>
      </c>
      <c r="G1159" s="655">
        <v>0</v>
      </c>
      <c r="H1159" s="655">
        <v>202566</v>
      </c>
      <c r="I1159" s="655">
        <v>1534406</v>
      </c>
      <c r="J1159" s="655">
        <v>1009522</v>
      </c>
      <c r="K1159" s="655">
        <v>107715</v>
      </c>
      <c r="L1159" s="655">
        <v>119228</v>
      </c>
      <c r="M1159" s="655">
        <v>0</v>
      </c>
      <c r="N1159" s="655">
        <v>563103</v>
      </c>
      <c r="O1159" s="655">
        <v>0</v>
      </c>
      <c r="P1159" s="655">
        <v>96487</v>
      </c>
      <c r="Q1159" s="655">
        <v>105914</v>
      </c>
      <c r="R1159" s="655">
        <v>0</v>
      </c>
      <c r="S1159" s="655">
        <v>46143</v>
      </c>
      <c r="T1159" s="655">
        <v>5870</v>
      </c>
      <c r="U1159" s="655">
        <v>368169</v>
      </c>
      <c r="V1159" s="655">
        <v>0</v>
      </c>
      <c r="W1159" s="655">
        <v>204349</v>
      </c>
      <c r="X1159" s="655">
        <v>194450.81</v>
      </c>
      <c r="Y1159" s="655">
        <v>0</v>
      </c>
      <c r="Z1159" s="655">
        <v>0</v>
      </c>
      <c r="AA1159" s="655">
        <v>0</v>
      </c>
      <c r="AB1159" s="655">
        <v>0</v>
      </c>
      <c r="AC1159" s="655">
        <v>-7448</v>
      </c>
      <c r="AD1159" s="655">
        <v>89650</v>
      </c>
      <c r="AE1159" s="655">
        <v>16110680.810000001</v>
      </c>
      <c r="AF1159" s="655">
        <v>299739</v>
      </c>
      <c r="AG1159" s="655">
        <v>515797</v>
      </c>
      <c r="AH1159" s="655">
        <v>0</v>
      </c>
      <c r="AI1159" s="805">
        <v>1308622</v>
      </c>
      <c r="AJ1159" s="655">
        <v>4203529</v>
      </c>
      <c r="AK1159" s="655">
        <v>22438367.810000002</v>
      </c>
      <c r="AL1159" s="805">
        <v>18214490</v>
      </c>
      <c r="AM1159" s="655">
        <v>4223877.8100000024</v>
      </c>
    </row>
    <row r="1160" spans="1:39" x14ac:dyDescent="0.2">
      <c r="A1160" s="648">
        <v>2016</v>
      </c>
      <c r="B1160" s="648">
        <v>7</v>
      </c>
      <c r="C1160" s="657" t="s">
        <v>234</v>
      </c>
      <c r="D1160" s="648">
        <v>3420</v>
      </c>
      <c r="E1160" s="648" t="s">
        <v>1152</v>
      </c>
      <c r="F1160" s="655">
        <v>3981694</v>
      </c>
      <c r="G1160" s="655">
        <v>0</v>
      </c>
      <c r="H1160" s="655">
        <v>43021</v>
      </c>
      <c r="I1160" s="655">
        <v>504464</v>
      </c>
      <c r="J1160" s="655">
        <v>365536</v>
      </c>
      <c r="K1160" s="655">
        <v>37396</v>
      </c>
      <c r="L1160" s="655">
        <v>42949</v>
      </c>
      <c r="M1160" s="655">
        <v>0</v>
      </c>
      <c r="N1160" s="655">
        <v>199525</v>
      </c>
      <c r="O1160" s="655">
        <v>0</v>
      </c>
      <c r="P1160" s="655">
        <v>32779</v>
      </c>
      <c r="Q1160" s="655">
        <v>36617</v>
      </c>
      <c r="R1160" s="655">
        <v>0</v>
      </c>
      <c r="S1160" s="655">
        <v>25409</v>
      </c>
      <c r="T1160" s="655">
        <v>2916</v>
      </c>
      <c r="U1160" s="655">
        <v>54746</v>
      </c>
      <c r="V1160" s="655">
        <v>0</v>
      </c>
      <c r="W1160" s="655">
        <v>25784</v>
      </c>
      <c r="X1160" s="655">
        <v>333934.26</v>
      </c>
      <c r="Y1160" s="655">
        <v>0</v>
      </c>
      <c r="Z1160" s="655">
        <v>0</v>
      </c>
      <c r="AA1160" s="655">
        <v>0</v>
      </c>
      <c r="AB1160" s="655">
        <v>0</v>
      </c>
      <c r="AC1160" s="655">
        <v>-6366</v>
      </c>
      <c r="AD1160" s="655">
        <v>32934</v>
      </c>
      <c r="AE1160" s="655">
        <v>5647470.2599999998</v>
      </c>
      <c r="AF1160" s="655">
        <v>93427</v>
      </c>
      <c r="AG1160" s="655">
        <v>318137</v>
      </c>
      <c r="AH1160" s="655">
        <v>0</v>
      </c>
      <c r="AI1160" s="805">
        <v>1207160</v>
      </c>
      <c r="AJ1160" s="655">
        <v>2120233</v>
      </c>
      <c r="AK1160" s="655">
        <v>9386427.2599999998</v>
      </c>
      <c r="AL1160" s="805">
        <v>7417597</v>
      </c>
      <c r="AM1160" s="655">
        <v>1968830.2599999998</v>
      </c>
    </row>
    <row r="1161" spans="1:39" x14ac:dyDescent="0.2">
      <c r="A1161" s="648">
        <v>2016</v>
      </c>
      <c r="B1161" s="648">
        <v>13</v>
      </c>
      <c r="C1161" s="657" t="s">
        <v>235</v>
      </c>
      <c r="D1161" s="648">
        <v>3465</v>
      </c>
      <c r="E1161" s="648" t="s">
        <v>1153</v>
      </c>
      <c r="F1161" s="655">
        <v>1922842</v>
      </c>
      <c r="G1161" s="655">
        <v>151367</v>
      </c>
      <c r="H1161" s="655">
        <v>63074</v>
      </c>
      <c r="I1161" s="655">
        <v>315467</v>
      </c>
      <c r="J1161" s="655">
        <v>202980</v>
      </c>
      <c r="K1161" s="655">
        <v>21814</v>
      </c>
      <c r="L1161" s="655">
        <v>21824</v>
      </c>
      <c r="M1161" s="655">
        <v>0</v>
      </c>
      <c r="N1161" s="655">
        <v>98397</v>
      </c>
      <c r="O1161" s="655">
        <v>7847</v>
      </c>
      <c r="P1161" s="655">
        <v>15717</v>
      </c>
      <c r="Q1161" s="655">
        <v>17382</v>
      </c>
      <c r="R1161" s="655">
        <v>0</v>
      </c>
      <c r="S1161" s="655">
        <v>10712</v>
      </c>
      <c r="T1161" s="655">
        <v>1137</v>
      </c>
      <c r="U1161" s="655">
        <v>28118</v>
      </c>
      <c r="V1161" s="655">
        <v>0</v>
      </c>
      <c r="W1161" s="655">
        <v>0</v>
      </c>
      <c r="X1161" s="655">
        <v>205781.89</v>
      </c>
      <c r="Y1161" s="655">
        <v>0</v>
      </c>
      <c r="Z1161" s="655">
        <v>0</v>
      </c>
      <c r="AA1161" s="655">
        <v>0</v>
      </c>
      <c r="AB1161" s="655">
        <v>0</v>
      </c>
      <c r="AC1161" s="655">
        <v>0</v>
      </c>
      <c r="AD1161" s="655">
        <v>16904</v>
      </c>
      <c r="AE1161" s="655">
        <v>3067555.89</v>
      </c>
      <c r="AF1161" s="655">
        <v>87021</v>
      </c>
      <c r="AG1161" s="655">
        <v>101361</v>
      </c>
      <c r="AH1161" s="655">
        <v>0</v>
      </c>
      <c r="AI1161" s="805">
        <v>638654</v>
      </c>
      <c r="AJ1161" s="655">
        <v>1563964</v>
      </c>
      <c r="AK1161" s="655">
        <v>5458555.8900000006</v>
      </c>
      <c r="AL1161" s="805">
        <v>3874286</v>
      </c>
      <c r="AM1161" s="655">
        <v>1584269.8900000006</v>
      </c>
    </row>
    <row r="1162" spans="1:39" x14ac:dyDescent="0.2">
      <c r="A1162" s="648">
        <v>2016</v>
      </c>
      <c r="B1162" s="648">
        <v>5</v>
      </c>
      <c r="C1162" s="657" t="s">
        <v>236</v>
      </c>
      <c r="D1162" s="648">
        <v>3537</v>
      </c>
      <c r="E1162" s="648" t="s">
        <v>1154</v>
      </c>
      <c r="F1162" s="655">
        <v>2067232</v>
      </c>
      <c r="G1162" s="655">
        <v>0</v>
      </c>
      <c r="H1162" s="655">
        <v>159049</v>
      </c>
      <c r="I1162" s="655">
        <v>263577</v>
      </c>
      <c r="J1162" s="655">
        <v>199735</v>
      </c>
      <c r="K1162" s="655">
        <v>21753</v>
      </c>
      <c r="L1162" s="655">
        <v>20358</v>
      </c>
      <c r="M1162" s="655">
        <v>0</v>
      </c>
      <c r="N1162" s="655">
        <v>106062</v>
      </c>
      <c r="O1162" s="655">
        <v>6203</v>
      </c>
      <c r="P1162" s="655">
        <v>17042</v>
      </c>
      <c r="Q1162" s="655">
        <v>19141</v>
      </c>
      <c r="R1162" s="655">
        <v>317</v>
      </c>
      <c r="S1162" s="655">
        <v>11296</v>
      </c>
      <c r="T1162" s="655">
        <v>1345</v>
      </c>
      <c r="U1162" s="655">
        <v>52185</v>
      </c>
      <c r="V1162" s="655">
        <v>98983</v>
      </c>
      <c r="W1162" s="655">
        <v>89124</v>
      </c>
      <c r="X1162" s="655">
        <v>29256.37</v>
      </c>
      <c r="Y1162" s="655">
        <v>0</v>
      </c>
      <c r="Z1162" s="655">
        <v>0</v>
      </c>
      <c r="AA1162" s="655">
        <v>0</v>
      </c>
      <c r="AB1162" s="655">
        <v>0</v>
      </c>
      <c r="AC1162" s="655">
        <v>6366</v>
      </c>
      <c r="AD1162" s="655">
        <v>21809</v>
      </c>
      <c r="AE1162" s="655">
        <v>3147215.37</v>
      </c>
      <c r="AF1162" s="655">
        <v>38676</v>
      </c>
      <c r="AG1162" s="655">
        <v>174185</v>
      </c>
      <c r="AH1162" s="655">
        <v>0</v>
      </c>
      <c r="AI1162" s="805">
        <v>504482</v>
      </c>
      <c r="AJ1162" s="655">
        <v>-98983</v>
      </c>
      <c r="AK1162" s="655">
        <v>3765575.37</v>
      </c>
      <c r="AL1162" s="805">
        <v>3240583</v>
      </c>
      <c r="AM1162" s="655">
        <v>524992.37000000011</v>
      </c>
    </row>
    <row r="1163" spans="1:39" x14ac:dyDescent="0.2">
      <c r="A1163" s="648">
        <v>2016</v>
      </c>
      <c r="B1163" s="648">
        <v>12</v>
      </c>
      <c r="C1163" s="657" t="s">
        <v>237</v>
      </c>
      <c r="D1163" s="648">
        <v>3555</v>
      </c>
      <c r="E1163" s="648" t="s">
        <v>1155</v>
      </c>
      <c r="F1163" s="655">
        <v>3941084</v>
      </c>
      <c r="G1163" s="655">
        <v>0</v>
      </c>
      <c r="H1163" s="655">
        <v>119431</v>
      </c>
      <c r="I1163" s="655">
        <v>385342</v>
      </c>
      <c r="J1163" s="655">
        <v>334136</v>
      </c>
      <c r="K1163" s="655">
        <v>35345</v>
      </c>
      <c r="L1163" s="655">
        <v>33810</v>
      </c>
      <c r="M1163" s="655">
        <v>0</v>
      </c>
      <c r="N1163" s="655">
        <v>194609</v>
      </c>
      <c r="O1163" s="655">
        <v>0</v>
      </c>
      <c r="P1163" s="655">
        <v>33297</v>
      </c>
      <c r="Q1163" s="655">
        <v>37385</v>
      </c>
      <c r="R1163" s="655">
        <v>0</v>
      </c>
      <c r="S1163" s="655">
        <v>19545</v>
      </c>
      <c r="T1163" s="655">
        <v>2336</v>
      </c>
      <c r="U1163" s="655">
        <v>70910</v>
      </c>
      <c r="V1163" s="655">
        <v>0</v>
      </c>
      <c r="W1163" s="655">
        <v>128738</v>
      </c>
      <c r="X1163" s="655">
        <v>56160.6</v>
      </c>
      <c r="Y1163" s="655">
        <v>0</v>
      </c>
      <c r="Z1163" s="655">
        <v>0</v>
      </c>
      <c r="AA1163" s="655">
        <v>0</v>
      </c>
      <c r="AB1163" s="655">
        <v>0</v>
      </c>
      <c r="AC1163" s="655">
        <v>-6748</v>
      </c>
      <c r="AD1163" s="655">
        <v>28228</v>
      </c>
      <c r="AE1163" s="655">
        <v>5357152.5999999996</v>
      </c>
      <c r="AF1163" s="655">
        <v>70906</v>
      </c>
      <c r="AG1163" s="655">
        <v>299128</v>
      </c>
      <c r="AH1163" s="655">
        <v>0</v>
      </c>
      <c r="AI1163" s="805">
        <v>1006664</v>
      </c>
      <c r="AJ1163" s="655">
        <v>624192</v>
      </c>
      <c r="AK1163" s="655">
        <v>7358042.5999999996</v>
      </c>
      <c r="AL1163" s="805">
        <v>6927692</v>
      </c>
      <c r="AM1163" s="655">
        <v>430350.59999999963</v>
      </c>
    </row>
    <row r="1164" spans="1:39" x14ac:dyDescent="0.2">
      <c r="A1164" s="648">
        <v>2016</v>
      </c>
      <c r="B1164" s="648">
        <v>7</v>
      </c>
      <c r="C1164" s="657" t="s">
        <v>238</v>
      </c>
      <c r="D1164" s="648">
        <v>1968</v>
      </c>
      <c r="E1164" s="648" t="s">
        <v>1157</v>
      </c>
      <c r="F1164" s="655">
        <v>3801766</v>
      </c>
      <c r="G1164" s="655">
        <v>167519</v>
      </c>
      <c r="H1164" s="655">
        <v>43509</v>
      </c>
      <c r="I1164" s="655">
        <v>507708</v>
      </c>
      <c r="J1164" s="655">
        <v>363990</v>
      </c>
      <c r="K1164" s="655">
        <v>41378</v>
      </c>
      <c r="L1164" s="655">
        <v>41487</v>
      </c>
      <c r="M1164" s="655">
        <v>188164</v>
      </c>
      <c r="N1164" s="655">
        <v>189201</v>
      </c>
      <c r="O1164" s="655">
        <v>26402</v>
      </c>
      <c r="P1164" s="655">
        <v>31081</v>
      </c>
      <c r="Q1164" s="655">
        <v>34721</v>
      </c>
      <c r="R1164" s="655">
        <v>0</v>
      </c>
      <c r="S1164" s="655">
        <v>24589</v>
      </c>
      <c r="T1164" s="655">
        <v>2823</v>
      </c>
      <c r="U1164" s="655">
        <v>162337</v>
      </c>
      <c r="V1164" s="655">
        <v>0</v>
      </c>
      <c r="W1164" s="655">
        <v>17042</v>
      </c>
      <c r="X1164" s="655">
        <v>0</v>
      </c>
      <c r="Y1164" s="655">
        <v>0</v>
      </c>
      <c r="Z1164" s="655">
        <v>0</v>
      </c>
      <c r="AA1164" s="655">
        <v>0</v>
      </c>
      <c r="AB1164" s="655">
        <v>0</v>
      </c>
      <c r="AC1164" s="655">
        <v>0</v>
      </c>
      <c r="AD1164" s="655">
        <v>36691</v>
      </c>
      <c r="AE1164" s="655">
        <v>5607026</v>
      </c>
      <c r="AF1164" s="655">
        <v>125697</v>
      </c>
      <c r="AG1164" s="655">
        <v>316511</v>
      </c>
      <c r="AH1164" s="655">
        <v>0</v>
      </c>
      <c r="AI1164" s="805">
        <v>2821649</v>
      </c>
      <c r="AJ1164" s="655">
        <v>2119843</v>
      </c>
      <c r="AK1164" s="655">
        <v>10990726</v>
      </c>
      <c r="AL1164" s="805">
        <v>9066366</v>
      </c>
      <c r="AM1164" s="655">
        <v>1924360</v>
      </c>
    </row>
    <row r="1165" spans="1:39" x14ac:dyDescent="0.2">
      <c r="A1165" s="648">
        <v>2016</v>
      </c>
      <c r="B1165" s="648">
        <v>12</v>
      </c>
      <c r="C1165" s="657" t="s">
        <v>239</v>
      </c>
      <c r="D1165" s="648">
        <v>3600</v>
      </c>
      <c r="E1165" s="648" t="s">
        <v>1158</v>
      </c>
      <c r="F1165" s="655">
        <v>13705485</v>
      </c>
      <c r="G1165" s="655">
        <v>0</v>
      </c>
      <c r="H1165" s="655">
        <v>255842</v>
      </c>
      <c r="I1165" s="655">
        <v>1761821</v>
      </c>
      <c r="J1165" s="655">
        <v>1134625</v>
      </c>
      <c r="K1165" s="655">
        <v>131994</v>
      </c>
      <c r="L1165" s="655">
        <v>123639</v>
      </c>
      <c r="M1165" s="655">
        <v>664820</v>
      </c>
      <c r="N1165" s="655">
        <v>695741</v>
      </c>
      <c r="O1165" s="655">
        <v>0</v>
      </c>
      <c r="P1165" s="655">
        <v>135148</v>
      </c>
      <c r="Q1165" s="655">
        <v>151742</v>
      </c>
      <c r="R1165" s="655">
        <v>0</v>
      </c>
      <c r="S1165" s="655">
        <v>69874</v>
      </c>
      <c r="T1165" s="655">
        <v>8350</v>
      </c>
      <c r="U1165" s="655">
        <v>231983</v>
      </c>
      <c r="V1165" s="655">
        <v>70991</v>
      </c>
      <c r="W1165" s="655">
        <v>183920</v>
      </c>
      <c r="X1165" s="655">
        <v>105770.11</v>
      </c>
      <c r="Y1165" s="655">
        <v>0</v>
      </c>
      <c r="Z1165" s="655">
        <v>0</v>
      </c>
      <c r="AA1165" s="655">
        <v>0</v>
      </c>
      <c r="AB1165" s="655">
        <v>0</v>
      </c>
      <c r="AC1165" s="655">
        <v>-637</v>
      </c>
      <c r="AD1165" s="655">
        <v>105133</v>
      </c>
      <c r="AE1165" s="655">
        <v>19325975.109999999</v>
      </c>
      <c r="AF1165" s="655">
        <v>154704</v>
      </c>
      <c r="AG1165" s="655">
        <v>512791</v>
      </c>
      <c r="AH1165" s="655">
        <v>0</v>
      </c>
      <c r="AI1165" s="805">
        <v>1634875</v>
      </c>
      <c r="AJ1165" s="655">
        <v>4990205</v>
      </c>
      <c r="AK1165" s="655">
        <v>26618550.109999999</v>
      </c>
      <c r="AL1165" s="805">
        <v>22159828</v>
      </c>
      <c r="AM1165" s="655">
        <v>4458722.1099999994</v>
      </c>
    </row>
    <row r="1166" spans="1:39" x14ac:dyDescent="0.2">
      <c r="A1166" s="648">
        <v>2016</v>
      </c>
      <c r="B1166" s="648">
        <v>13</v>
      </c>
      <c r="C1166" s="657" t="s">
        <v>240</v>
      </c>
      <c r="D1166" s="648">
        <v>3609</v>
      </c>
      <c r="E1166" s="648" t="s">
        <v>1159</v>
      </c>
      <c r="F1166" s="655">
        <v>3033488</v>
      </c>
      <c r="G1166" s="655">
        <v>0</v>
      </c>
      <c r="H1166" s="655">
        <v>79827</v>
      </c>
      <c r="I1166" s="655">
        <v>252168</v>
      </c>
      <c r="J1166" s="655">
        <v>290210</v>
      </c>
      <c r="K1166" s="655">
        <v>33516</v>
      </c>
      <c r="L1166" s="655">
        <v>38504</v>
      </c>
      <c r="M1166" s="655">
        <v>0</v>
      </c>
      <c r="N1166" s="655">
        <v>144439</v>
      </c>
      <c r="O1166" s="655">
        <v>0</v>
      </c>
      <c r="P1166" s="655">
        <v>24893</v>
      </c>
      <c r="Q1166" s="655">
        <v>27532</v>
      </c>
      <c r="R1166" s="655">
        <v>0</v>
      </c>
      <c r="S1166" s="655">
        <v>14833</v>
      </c>
      <c r="T1166" s="655">
        <v>1575</v>
      </c>
      <c r="U1166" s="655">
        <v>0</v>
      </c>
      <c r="V1166" s="655">
        <v>0</v>
      </c>
      <c r="W1166" s="655">
        <v>25397</v>
      </c>
      <c r="X1166" s="655">
        <v>166864.18</v>
      </c>
      <c r="Y1166" s="655">
        <v>0</v>
      </c>
      <c r="Z1166" s="655">
        <v>0</v>
      </c>
      <c r="AA1166" s="655">
        <v>0</v>
      </c>
      <c r="AB1166" s="655">
        <v>0</v>
      </c>
      <c r="AC1166" s="655">
        <v>0</v>
      </c>
      <c r="AD1166" s="655">
        <v>21838</v>
      </c>
      <c r="AE1166" s="655">
        <v>4111408.18</v>
      </c>
      <c r="AF1166" s="655">
        <v>128920</v>
      </c>
      <c r="AG1166" s="655">
        <v>220899</v>
      </c>
      <c r="AH1166" s="655">
        <v>0</v>
      </c>
      <c r="AI1166" s="805">
        <v>725144</v>
      </c>
      <c r="AJ1166" s="655">
        <v>1779737</v>
      </c>
      <c r="AK1166" s="655">
        <v>6966108.1799999997</v>
      </c>
      <c r="AL1166" s="805">
        <v>4993885</v>
      </c>
      <c r="AM1166" s="655">
        <v>1972223.1799999997</v>
      </c>
    </row>
    <row r="1167" spans="1:39" x14ac:dyDescent="0.2">
      <c r="A1167" s="648">
        <v>2016</v>
      </c>
      <c r="B1167" s="648">
        <v>13</v>
      </c>
      <c r="C1167" s="657" t="s">
        <v>241</v>
      </c>
      <c r="D1167" s="648">
        <v>3645</v>
      </c>
      <c r="E1167" s="648" t="s">
        <v>1160</v>
      </c>
      <c r="F1167" s="655">
        <v>16499182</v>
      </c>
      <c r="G1167" s="655">
        <v>0</v>
      </c>
      <c r="H1167" s="655">
        <v>193967</v>
      </c>
      <c r="I1167" s="655">
        <v>1858511</v>
      </c>
      <c r="J1167" s="655">
        <v>1377167</v>
      </c>
      <c r="K1167" s="655">
        <v>161562</v>
      </c>
      <c r="L1167" s="655">
        <v>207225</v>
      </c>
      <c r="M1167" s="655">
        <v>0</v>
      </c>
      <c r="N1167" s="655">
        <v>807015</v>
      </c>
      <c r="O1167" s="655">
        <v>0</v>
      </c>
      <c r="P1167" s="655">
        <v>145932</v>
      </c>
      <c r="Q1167" s="655">
        <v>161399</v>
      </c>
      <c r="R1167" s="655">
        <v>0</v>
      </c>
      <c r="S1167" s="655">
        <v>82874</v>
      </c>
      <c r="T1167" s="655">
        <v>8800</v>
      </c>
      <c r="U1167" s="655">
        <v>416059</v>
      </c>
      <c r="V1167" s="655">
        <v>0</v>
      </c>
      <c r="W1167" s="655">
        <v>518618</v>
      </c>
      <c r="X1167" s="655">
        <v>146489.48000000001</v>
      </c>
      <c r="Y1167" s="655">
        <v>0</v>
      </c>
      <c r="Z1167" s="655">
        <v>0</v>
      </c>
      <c r="AA1167" s="655">
        <v>0</v>
      </c>
      <c r="AB1167" s="655">
        <v>0</v>
      </c>
      <c r="AC1167" s="655">
        <v>-7767</v>
      </c>
      <c r="AD1167" s="655">
        <v>112825</v>
      </c>
      <c r="AE1167" s="655">
        <v>22464208.48</v>
      </c>
      <c r="AF1167" s="655">
        <v>186934</v>
      </c>
      <c r="AG1167" s="655">
        <v>1347983</v>
      </c>
      <c r="AH1167" s="655">
        <v>0</v>
      </c>
      <c r="AI1167" s="805">
        <v>8313237</v>
      </c>
      <c r="AJ1167" s="655">
        <v>5842828</v>
      </c>
      <c r="AK1167" s="655">
        <v>38155190.480000004</v>
      </c>
      <c r="AL1167" s="805">
        <v>32897563</v>
      </c>
      <c r="AM1167" s="655">
        <v>5257627.4800000042</v>
      </c>
    </row>
    <row r="1168" spans="1:39" x14ac:dyDescent="0.2">
      <c r="A1168" s="648">
        <v>2016</v>
      </c>
      <c r="B1168" s="648">
        <v>10</v>
      </c>
      <c r="C1168" s="657" t="s">
        <v>242</v>
      </c>
      <c r="D1168" s="648">
        <v>3691</v>
      </c>
      <c r="E1168" s="648" t="s">
        <v>1161</v>
      </c>
      <c r="F1168" s="655">
        <v>5604119</v>
      </c>
      <c r="G1168" s="655">
        <v>0</v>
      </c>
      <c r="H1168" s="655">
        <v>107003</v>
      </c>
      <c r="I1168" s="655">
        <v>805556</v>
      </c>
      <c r="J1168" s="655">
        <v>478333</v>
      </c>
      <c r="K1168" s="655">
        <v>51100</v>
      </c>
      <c r="L1168" s="655">
        <v>49588</v>
      </c>
      <c r="M1168" s="655">
        <v>0</v>
      </c>
      <c r="N1168" s="655">
        <v>279044</v>
      </c>
      <c r="O1168" s="655">
        <v>1980</v>
      </c>
      <c r="P1168" s="655">
        <v>45822</v>
      </c>
      <c r="Q1168" s="655">
        <v>50341</v>
      </c>
      <c r="R1168" s="655">
        <v>0</v>
      </c>
      <c r="S1168" s="655">
        <v>26016</v>
      </c>
      <c r="T1168" s="655">
        <v>3024</v>
      </c>
      <c r="U1168" s="655">
        <v>120750</v>
      </c>
      <c r="V1168" s="655">
        <v>0</v>
      </c>
      <c r="W1168" s="655">
        <v>120317</v>
      </c>
      <c r="X1168" s="655">
        <v>364837.31</v>
      </c>
      <c r="Y1168" s="655">
        <v>0</v>
      </c>
      <c r="Z1168" s="655">
        <v>0</v>
      </c>
      <c r="AA1168" s="655">
        <v>0</v>
      </c>
      <c r="AB1168" s="655">
        <v>0</v>
      </c>
      <c r="AC1168" s="655">
        <v>0</v>
      </c>
      <c r="AD1168" s="655">
        <v>44471</v>
      </c>
      <c r="AE1168" s="655">
        <v>8063359.3099999996</v>
      </c>
      <c r="AF1168" s="655">
        <v>119251</v>
      </c>
      <c r="AG1168" s="655">
        <v>438410</v>
      </c>
      <c r="AH1168" s="655">
        <v>0</v>
      </c>
      <c r="AI1168" s="805">
        <v>893010</v>
      </c>
      <c r="AJ1168" s="655">
        <v>2144022</v>
      </c>
      <c r="AK1168" s="655">
        <v>11658052.309999999</v>
      </c>
      <c r="AL1168" s="805">
        <v>9445579</v>
      </c>
      <c r="AM1168" s="655">
        <v>2212473.3099999987</v>
      </c>
    </row>
    <row r="1169" spans="1:39" x14ac:dyDescent="0.2">
      <c r="A1169" s="648">
        <v>2016</v>
      </c>
      <c r="B1169" s="648">
        <v>10</v>
      </c>
      <c r="C1169" s="657" t="s">
        <v>243</v>
      </c>
      <c r="D1169" s="648">
        <v>3715</v>
      </c>
      <c r="E1169" s="648" t="s">
        <v>1162</v>
      </c>
      <c r="F1169" s="655">
        <v>46065104</v>
      </c>
      <c r="G1169" s="655">
        <v>0</v>
      </c>
      <c r="H1169" s="655">
        <v>525850</v>
      </c>
      <c r="I1169" s="655">
        <v>4324777</v>
      </c>
      <c r="J1169" s="655">
        <v>3702857</v>
      </c>
      <c r="K1169" s="655">
        <v>413493</v>
      </c>
      <c r="L1169" s="655">
        <v>405633</v>
      </c>
      <c r="M1169" s="655">
        <v>2234161</v>
      </c>
      <c r="N1169" s="655">
        <v>2207322</v>
      </c>
      <c r="O1169" s="655">
        <v>0</v>
      </c>
      <c r="P1169" s="655">
        <v>402119</v>
      </c>
      <c r="Q1169" s="655">
        <v>441774</v>
      </c>
      <c r="R1169" s="655">
        <v>0</v>
      </c>
      <c r="S1169" s="655">
        <v>205796</v>
      </c>
      <c r="T1169" s="655">
        <v>23917</v>
      </c>
      <c r="U1169" s="655">
        <v>741121</v>
      </c>
      <c r="V1169" s="655">
        <v>122865</v>
      </c>
      <c r="W1169" s="655">
        <v>905236</v>
      </c>
      <c r="X1169" s="655">
        <v>2628137.4700000002</v>
      </c>
      <c r="Y1169" s="655">
        <v>0</v>
      </c>
      <c r="Z1169" s="655">
        <v>0</v>
      </c>
      <c r="AA1169" s="655">
        <v>0</v>
      </c>
      <c r="AB1169" s="655">
        <v>0</v>
      </c>
      <c r="AC1169" s="655">
        <v>382</v>
      </c>
      <c r="AD1169" s="655">
        <v>225812</v>
      </c>
      <c r="AE1169" s="655">
        <v>65124732.469999999</v>
      </c>
      <c r="AF1169" s="655">
        <v>741290</v>
      </c>
      <c r="AG1169" s="655">
        <v>3228703</v>
      </c>
      <c r="AH1169" s="655">
        <v>0</v>
      </c>
      <c r="AI1169" s="805">
        <v>7873989</v>
      </c>
      <c r="AJ1169" s="655">
        <v>12851068</v>
      </c>
      <c r="AK1169" s="655">
        <v>89819782.469999999</v>
      </c>
      <c r="AL1169" s="805">
        <v>76800261</v>
      </c>
      <c r="AM1169" s="655">
        <v>13019521.469999999</v>
      </c>
    </row>
    <row r="1170" spans="1:39" x14ac:dyDescent="0.2">
      <c r="A1170" s="648">
        <v>2016</v>
      </c>
      <c r="B1170" s="648">
        <v>10</v>
      </c>
      <c r="C1170" s="657" t="s">
        <v>244</v>
      </c>
      <c r="D1170" s="648">
        <v>3744</v>
      </c>
      <c r="E1170" s="648" t="s">
        <v>1163</v>
      </c>
      <c r="F1170" s="655">
        <v>4387148</v>
      </c>
      <c r="G1170" s="655">
        <v>110399</v>
      </c>
      <c r="H1170" s="655">
        <v>166088</v>
      </c>
      <c r="I1170" s="655">
        <v>302382</v>
      </c>
      <c r="J1170" s="655">
        <v>361334</v>
      </c>
      <c r="K1170" s="655">
        <v>35535</v>
      </c>
      <c r="L1170" s="655">
        <v>34674</v>
      </c>
      <c r="M1170" s="655">
        <v>0</v>
      </c>
      <c r="N1170" s="655">
        <v>205456</v>
      </c>
      <c r="O1170" s="655">
        <v>2086</v>
      </c>
      <c r="P1170" s="655">
        <v>35962</v>
      </c>
      <c r="Q1170" s="655">
        <v>39508</v>
      </c>
      <c r="R1170" s="655">
        <v>0</v>
      </c>
      <c r="S1170" s="655">
        <v>19324</v>
      </c>
      <c r="T1170" s="655">
        <v>2247</v>
      </c>
      <c r="U1170" s="655">
        <v>38466</v>
      </c>
      <c r="V1170" s="655">
        <v>0</v>
      </c>
      <c r="W1170" s="655">
        <v>103766</v>
      </c>
      <c r="X1170" s="655">
        <v>123910.13</v>
      </c>
      <c r="Y1170" s="655">
        <v>0</v>
      </c>
      <c r="Z1170" s="655">
        <v>0</v>
      </c>
      <c r="AA1170" s="655">
        <v>0</v>
      </c>
      <c r="AB1170" s="655">
        <v>0</v>
      </c>
      <c r="AC1170" s="655">
        <v>18907</v>
      </c>
      <c r="AD1170" s="655">
        <v>27550</v>
      </c>
      <c r="AE1170" s="655">
        <v>5959642.1299999999</v>
      </c>
      <c r="AF1170" s="655">
        <v>138589</v>
      </c>
      <c r="AG1170" s="655">
        <v>285729</v>
      </c>
      <c r="AH1170" s="655">
        <v>0</v>
      </c>
      <c r="AI1170" s="805">
        <v>982326</v>
      </c>
      <c r="AJ1170" s="655">
        <v>1699172</v>
      </c>
      <c r="AK1170" s="655">
        <v>9065458.129999999</v>
      </c>
      <c r="AL1170" s="805">
        <v>6781052</v>
      </c>
      <c r="AM1170" s="655">
        <v>2284406.129999999</v>
      </c>
    </row>
    <row r="1171" spans="1:39" x14ac:dyDescent="0.2">
      <c r="A1171" s="648">
        <v>2016</v>
      </c>
      <c r="B1171" s="648">
        <v>13</v>
      </c>
      <c r="C1171" s="657" t="s">
        <v>245</v>
      </c>
      <c r="D1171" s="648">
        <v>3798</v>
      </c>
      <c r="E1171" s="648" t="s">
        <v>1164</v>
      </c>
      <c r="F1171" s="655">
        <v>3633766</v>
      </c>
      <c r="G1171" s="655">
        <v>0</v>
      </c>
      <c r="H1171" s="655">
        <v>118775</v>
      </c>
      <c r="I1171" s="655">
        <v>401443</v>
      </c>
      <c r="J1171" s="655">
        <v>315155</v>
      </c>
      <c r="K1171" s="655">
        <v>35116</v>
      </c>
      <c r="L1171" s="655">
        <v>35594</v>
      </c>
      <c r="M1171" s="655">
        <v>0</v>
      </c>
      <c r="N1171" s="655">
        <v>177225</v>
      </c>
      <c r="O1171" s="655">
        <v>3874</v>
      </c>
      <c r="P1171" s="655">
        <v>29693</v>
      </c>
      <c r="Q1171" s="655">
        <v>32840</v>
      </c>
      <c r="R1171" s="655">
        <v>0</v>
      </c>
      <c r="S1171" s="655">
        <v>18200</v>
      </c>
      <c r="T1171" s="655">
        <v>1933</v>
      </c>
      <c r="U1171" s="655">
        <v>65380</v>
      </c>
      <c r="V1171" s="655">
        <v>0</v>
      </c>
      <c r="W1171" s="655">
        <v>9205</v>
      </c>
      <c r="X1171" s="655">
        <v>75828.62</v>
      </c>
      <c r="Y1171" s="655">
        <v>0</v>
      </c>
      <c r="Z1171" s="655">
        <v>0</v>
      </c>
      <c r="AA1171" s="655">
        <v>0</v>
      </c>
      <c r="AB1171" s="655">
        <v>0</v>
      </c>
      <c r="AC1171" s="655">
        <v>-127</v>
      </c>
      <c r="AD1171" s="655">
        <v>28459</v>
      </c>
      <c r="AE1171" s="655">
        <v>4925441.62</v>
      </c>
      <c r="AF1171" s="655">
        <v>93467</v>
      </c>
      <c r="AG1171" s="655">
        <v>263812</v>
      </c>
      <c r="AH1171" s="655">
        <v>0</v>
      </c>
      <c r="AI1171" s="805">
        <v>1300794</v>
      </c>
      <c r="AJ1171" s="655">
        <v>1409103</v>
      </c>
      <c r="AK1171" s="655">
        <v>7992617.6200000001</v>
      </c>
      <c r="AL1171" s="805">
        <v>6383502</v>
      </c>
      <c r="AM1171" s="655">
        <v>1609115.62</v>
      </c>
    </row>
    <row r="1172" spans="1:39" x14ac:dyDescent="0.2">
      <c r="A1172" s="648">
        <v>2016</v>
      </c>
      <c r="B1172" s="648">
        <v>10</v>
      </c>
      <c r="C1172" s="657" t="s">
        <v>246</v>
      </c>
      <c r="D1172" s="648">
        <v>3816</v>
      </c>
      <c r="E1172" s="648" t="s">
        <v>1165</v>
      </c>
      <c r="F1172" s="655">
        <v>2566153</v>
      </c>
      <c r="G1172" s="655">
        <v>34644</v>
      </c>
      <c r="H1172" s="655">
        <v>32430</v>
      </c>
      <c r="I1172" s="655">
        <v>243337</v>
      </c>
      <c r="J1172" s="655">
        <v>251781</v>
      </c>
      <c r="K1172" s="655">
        <v>25799</v>
      </c>
      <c r="L1172" s="655">
        <v>28327</v>
      </c>
      <c r="M1172" s="655">
        <v>0</v>
      </c>
      <c r="N1172" s="655">
        <v>123088</v>
      </c>
      <c r="O1172" s="655">
        <v>5510</v>
      </c>
      <c r="P1172" s="655">
        <v>21197</v>
      </c>
      <c r="Q1172" s="655">
        <v>23288</v>
      </c>
      <c r="R1172" s="655">
        <v>0</v>
      </c>
      <c r="S1172" s="655">
        <v>11599</v>
      </c>
      <c r="T1172" s="655">
        <v>1349</v>
      </c>
      <c r="U1172" s="655">
        <v>11715</v>
      </c>
      <c r="V1172" s="655">
        <v>1199</v>
      </c>
      <c r="W1172" s="655">
        <v>19098</v>
      </c>
      <c r="X1172" s="655">
        <v>160984.35</v>
      </c>
      <c r="Y1172" s="655">
        <v>0</v>
      </c>
      <c r="Z1172" s="655">
        <v>0</v>
      </c>
      <c r="AA1172" s="655">
        <v>0</v>
      </c>
      <c r="AB1172" s="655">
        <v>0</v>
      </c>
      <c r="AC1172" s="655">
        <v>0</v>
      </c>
      <c r="AD1172" s="655">
        <v>18559</v>
      </c>
      <c r="AE1172" s="655">
        <v>3542939.35</v>
      </c>
      <c r="AF1172" s="655">
        <v>70906</v>
      </c>
      <c r="AG1172" s="655">
        <v>201276</v>
      </c>
      <c r="AH1172" s="655">
        <v>0</v>
      </c>
      <c r="AI1172" s="805">
        <v>839219</v>
      </c>
      <c r="AJ1172" s="655">
        <v>2111423</v>
      </c>
      <c r="AK1172" s="655">
        <v>6765763.3499999996</v>
      </c>
      <c r="AL1172" s="805">
        <v>4566676</v>
      </c>
      <c r="AM1172" s="655">
        <v>2199087.3499999996</v>
      </c>
    </row>
    <row r="1173" spans="1:39" x14ac:dyDescent="0.2">
      <c r="A1173" s="648">
        <v>2016</v>
      </c>
      <c r="B1173" s="648">
        <v>9</v>
      </c>
      <c r="C1173" s="657" t="s">
        <v>247</v>
      </c>
      <c r="D1173" s="648">
        <v>3841</v>
      </c>
      <c r="E1173" s="648" t="s">
        <v>1166</v>
      </c>
      <c r="F1173" s="655">
        <v>4930545</v>
      </c>
      <c r="G1173" s="655">
        <v>26079</v>
      </c>
      <c r="H1173" s="655">
        <v>71473</v>
      </c>
      <c r="I1173" s="655">
        <v>652142</v>
      </c>
      <c r="J1173" s="655">
        <v>462527</v>
      </c>
      <c r="K1173" s="655">
        <v>53604</v>
      </c>
      <c r="L1173" s="655">
        <v>48625</v>
      </c>
      <c r="M1173" s="655">
        <v>0</v>
      </c>
      <c r="N1173" s="655">
        <v>246250</v>
      </c>
      <c r="O1173" s="655">
        <v>921</v>
      </c>
      <c r="P1173" s="655">
        <v>40201</v>
      </c>
      <c r="Q1173" s="655">
        <v>43857</v>
      </c>
      <c r="R1173" s="655">
        <v>0</v>
      </c>
      <c r="S1173" s="655">
        <v>22154</v>
      </c>
      <c r="T1173" s="655">
        <v>2598</v>
      </c>
      <c r="U1173" s="655">
        <v>140418</v>
      </c>
      <c r="V1173" s="655">
        <v>0</v>
      </c>
      <c r="W1173" s="655">
        <v>52838</v>
      </c>
      <c r="X1173" s="655">
        <v>0</v>
      </c>
      <c r="Y1173" s="655">
        <v>5383.38</v>
      </c>
      <c r="Z1173" s="655">
        <v>0</v>
      </c>
      <c r="AA1173" s="655">
        <v>0</v>
      </c>
      <c r="AB1173" s="655">
        <v>0</v>
      </c>
      <c r="AC1173" s="655">
        <v>0</v>
      </c>
      <c r="AD1173" s="655">
        <v>39308</v>
      </c>
      <c r="AE1173" s="655">
        <v>6749540.6200000001</v>
      </c>
      <c r="AF1173" s="655">
        <v>138589</v>
      </c>
      <c r="AG1173" s="655">
        <v>382601</v>
      </c>
      <c r="AH1173" s="655">
        <v>0</v>
      </c>
      <c r="AI1173" s="805">
        <v>1235153</v>
      </c>
      <c r="AJ1173" s="655">
        <v>2247925</v>
      </c>
      <c r="AK1173" s="655">
        <v>10753808.620000001</v>
      </c>
      <c r="AL1173" s="805">
        <v>7955011</v>
      </c>
      <c r="AM1173" s="655">
        <v>2798797.620000001</v>
      </c>
    </row>
    <row r="1174" spans="1:39" x14ac:dyDescent="0.2">
      <c r="A1174" s="648">
        <v>2016</v>
      </c>
      <c r="B1174" s="648">
        <v>5</v>
      </c>
      <c r="C1174" s="657" t="s">
        <v>248</v>
      </c>
      <c r="D1174" s="648">
        <v>3897</v>
      </c>
      <c r="E1174" s="648" t="s">
        <v>1167</v>
      </c>
      <c r="F1174" s="655">
        <v>1066643</v>
      </c>
      <c r="G1174" s="655">
        <v>0</v>
      </c>
      <c r="H1174" s="655">
        <v>121793</v>
      </c>
      <c r="I1174" s="655">
        <v>134274</v>
      </c>
      <c r="J1174" s="655">
        <v>102432</v>
      </c>
      <c r="K1174" s="655">
        <v>10866</v>
      </c>
      <c r="L1174" s="655">
        <v>1460</v>
      </c>
      <c r="M1174" s="655">
        <v>0</v>
      </c>
      <c r="N1174" s="655">
        <v>53202</v>
      </c>
      <c r="O1174" s="655">
        <v>0</v>
      </c>
      <c r="P1174" s="655">
        <v>10140</v>
      </c>
      <c r="Q1174" s="655">
        <v>11389</v>
      </c>
      <c r="R1174" s="655">
        <v>158</v>
      </c>
      <c r="S1174" s="655">
        <v>5666</v>
      </c>
      <c r="T1174" s="655">
        <v>675</v>
      </c>
      <c r="U1174" s="655">
        <v>0</v>
      </c>
      <c r="V1174" s="655">
        <v>40986</v>
      </c>
      <c r="W1174" s="655">
        <v>57294</v>
      </c>
      <c r="X1174" s="655">
        <v>143409.07</v>
      </c>
      <c r="Y1174" s="655">
        <v>0</v>
      </c>
      <c r="Z1174" s="655">
        <v>0</v>
      </c>
      <c r="AA1174" s="655">
        <v>0</v>
      </c>
      <c r="AB1174" s="655">
        <v>0</v>
      </c>
      <c r="AC1174" s="655">
        <v>-1374</v>
      </c>
      <c r="AD1174" s="655">
        <v>16136</v>
      </c>
      <c r="AE1174" s="655">
        <v>1742877.07</v>
      </c>
      <c r="AF1174" s="655">
        <v>25784</v>
      </c>
      <c r="AG1174" s="655">
        <v>99208</v>
      </c>
      <c r="AH1174" s="655">
        <v>266661</v>
      </c>
      <c r="AI1174" s="805">
        <v>118374</v>
      </c>
      <c r="AJ1174" s="655">
        <v>139464</v>
      </c>
      <c r="AK1174" s="655">
        <v>2392368.0700000003</v>
      </c>
      <c r="AL1174" s="805">
        <v>1994534</v>
      </c>
      <c r="AM1174" s="655">
        <v>397834.0700000003</v>
      </c>
    </row>
    <row r="1175" spans="1:39" x14ac:dyDescent="0.2">
      <c r="A1175" s="648">
        <v>2016</v>
      </c>
      <c r="B1175" s="648">
        <v>11</v>
      </c>
      <c r="C1175" s="657" t="s">
        <v>249</v>
      </c>
      <c r="D1175" s="648">
        <v>3906</v>
      </c>
      <c r="E1175" s="648" t="s">
        <v>1168</v>
      </c>
      <c r="F1175" s="655">
        <v>2755020</v>
      </c>
      <c r="G1175" s="655">
        <v>27737</v>
      </c>
      <c r="H1175" s="655">
        <v>32301</v>
      </c>
      <c r="I1175" s="655">
        <v>267638</v>
      </c>
      <c r="J1175" s="655">
        <v>242684</v>
      </c>
      <c r="K1175" s="655">
        <v>24191</v>
      </c>
      <c r="L1175" s="655">
        <v>24298</v>
      </c>
      <c r="M1175" s="655">
        <v>0</v>
      </c>
      <c r="N1175" s="655">
        <v>129098</v>
      </c>
      <c r="O1175" s="655">
        <v>0</v>
      </c>
      <c r="P1175" s="655">
        <v>25358</v>
      </c>
      <c r="Q1175" s="655">
        <v>27836</v>
      </c>
      <c r="R1175" s="655">
        <v>0</v>
      </c>
      <c r="S1175" s="655">
        <v>10579</v>
      </c>
      <c r="T1175" s="655">
        <v>1346</v>
      </c>
      <c r="U1175" s="655">
        <v>81625</v>
      </c>
      <c r="V1175" s="655">
        <v>0</v>
      </c>
      <c r="W1175" s="655">
        <v>41899</v>
      </c>
      <c r="X1175" s="655">
        <v>73270.12</v>
      </c>
      <c r="Y1175" s="655">
        <v>0</v>
      </c>
      <c r="Z1175" s="655">
        <v>0</v>
      </c>
      <c r="AA1175" s="655">
        <v>0</v>
      </c>
      <c r="AB1175" s="655">
        <v>0</v>
      </c>
      <c r="AC1175" s="655">
        <v>0</v>
      </c>
      <c r="AD1175" s="655">
        <v>23232</v>
      </c>
      <c r="AE1175" s="655">
        <v>3741648.12</v>
      </c>
      <c r="AF1175" s="655">
        <v>96690</v>
      </c>
      <c r="AG1175" s="655">
        <v>226183</v>
      </c>
      <c r="AH1175" s="655">
        <v>0</v>
      </c>
      <c r="AI1175" s="805">
        <v>732822</v>
      </c>
      <c r="AJ1175" s="655">
        <v>1478338</v>
      </c>
      <c r="AK1175" s="655">
        <v>6275681.1200000001</v>
      </c>
      <c r="AL1175" s="805">
        <v>4869929</v>
      </c>
      <c r="AM1175" s="655">
        <v>1405752.12</v>
      </c>
    </row>
    <row r="1176" spans="1:39" x14ac:dyDescent="0.2">
      <c r="A1176" s="648">
        <v>2016</v>
      </c>
      <c r="B1176" s="648">
        <v>11</v>
      </c>
      <c r="C1176" s="657" t="s">
        <v>250</v>
      </c>
      <c r="D1176" s="648">
        <v>3942</v>
      </c>
      <c r="E1176" s="648" t="s">
        <v>1169</v>
      </c>
      <c r="F1176" s="655">
        <v>4360074</v>
      </c>
      <c r="G1176" s="655">
        <v>0</v>
      </c>
      <c r="H1176" s="655">
        <v>51033</v>
      </c>
      <c r="I1176" s="655">
        <v>443420</v>
      </c>
      <c r="J1176" s="655">
        <v>369835</v>
      </c>
      <c r="K1176" s="655">
        <v>40685</v>
      </c>
      <c r="L1176" s="655">
        <v>44453</v>
      </c>
      <c r="M1176" s="655">
        <v>0</v>
      </c>
      <c r="N1176" s="655">
        <v>205158</v>
      </c>
      <c r="O1176" s="655">
        <v>0</v>
      </c>
      <c r="P1176" s="655">
        <v>35880</v>
      </c>
      <c r="Q1176" s="655">
        <v>39386</v>
      </c>
      <c r="R1176" s="655">
        <v>0</v>
      </c>
      <c r="S1176" s="655">
        <v>16811</v>
      </c>
      <c r="T1176" s="655">
        <v>2139</v>
      </c>
      <c r="U1176" s="655">
        <v>47550</v>
      </c>
      <c r="V1176" s="655">
        <v>0</v>
      </c>
      <c r="W1176" s="655">
        <v>197892</v>
      </c>
      <c r="X1176" s="655">
        <v>89960.24</v>
      </c>
      <c r="Y1176" s="655">
        <v>0</v>
      </c>
      <c r="Z1176" s="655">
        <v>0</v>
      </c>
      <c r="AA1176" s="655">
        <v>0</v>
      </c>
      <c r="AB1176" s="655">
        <v>0</v>
      </c>
      <c r="AC1176" s="655">
        <v>0</v>
      </c>
      <c r="AD1176" s="655">
        <v>25816</v>
      </c>
      <c r="AE1176" s="655">
        <v>5918460.2400000002</v>
      </c>
      <c r="AF1176" s="655">
        <v>16115</v>
      </c>
      <c r="AG1176" s="655">
        <v>245908</v>
      </c>
      <c r="AH1176" s="655">
        <v>0</v>
      </c>
      <c r="AI1176" s="805">
        <v>622180</v>
      </c>
      <c r="AJ1176" s="655">
        <v>1979172</v>
      </c>
      <c r="AK1176" s="655">
        <v>8781835.2400000002</v>
      </c>
      <c r="AL1176" s="805">
        <v>6811031</v>
      </c>
      <c r="AM1176" s="655">
        <v>1970804.2400000002</v>
      </c>
    </row>
    <row r="1177" spans="1:39" x14ac:dyDescent="0.2">
      <c r="A1177" s="648">
        <v>2016</v>
      </c>
      <c r="B1177" s="648">
        <v>13</v>
      </c>
      <c r="C1177" s="657" t="s">
        <v>251</v>
      </c>
      <c r="D1177" s="648">
        <v>3978</v>
      </c>
      <c r="E1177" s="648" t="s">
        <v>1480</v>
      </c>
      <c r="F1177" s="655">
        <v>3536883</v>
      </c>
      <c r="G1177" s="655">
        <v>3160</v>
      </c>
      <c r="H1177" s="655">
        <v>176330</v>
      </c>
      <c r="I1177" s="655">
        <v>439425</v>
      </c>
      <c r="J1177" s="655">
        <v>332103</v>
      </c>
      <c r="K1177" s="655">
        <v>36939</v>
      </c>
      <c r="L1177" s="655">
        <v>32984</v>
      </c>
      <c r="M1177" s="655">
        <v>0</v>
      </c>
      <c r="N1177" s="655">
        <v>173082</v>
      </c>
      <c r="O1177" s="655">
        <v>4365</v>
      </c>
      <c r="P1177" s="655">
        <v>28954</v>
      </c>
      <c r="Q1177" s="655">
        <v>32023</v>
      </c>
      <c r="R1177" s="655">
        <v>0</v>
      </c>
      <c r="S1177" s="655">
        <v>17774</v>
      </c>
      <c r="T1177" s="655">
        <v>1887</v>
      </c>
      <c r="U1177" s="655">
        <v>77263</v>
      </c>
      <c r="V1177" s="655">
        <v>465805</v>
      </c>
      <c r="W1177" s="655">
        <v>148016</v>
      </c>
      <c r="X1177" s="655">
        <v>279394.11</v>
      </c>
      <c r="Y1177" s="655">
        <v>0</v>
      </c>
      <c r="Z1177" s="655">
        <v>0</v>
      </c>
      <c r="AA1177" s="655">
        <v>0</v>
      </c>
      <c r="AB1177" s="655">
        <v>0</v>
      </c>
      <c r="AC1177" s="655">
        <v>0</v>
      </c>
      <c r="AD1177" s="655">
        <v>31373</v>
      </c>
      <c r="AE1177" s="655">
        <v>5755014.1100000003</v>
      </c>
      <c r="AF1177" s="655">
        <v>74129</v>
      </c>
      <c r="AG1177" s="655">
        <v>305541</v>
      </c>
      <c r="AH1177" s="655">
        <v>0</v>
      </c>
      <c r="AI1177" s="805">
        <v>621025</v>
      </c>
      <c r="AJ1177" s="655">
        <v>1465625</v>
      </c>
      <c r="AK1177" s="655">
        <v>8221334.1100000003</v>
      </c>
      <c r="AL1177" s="805">
        <v>5381970</v>
      </c>
      <c r="AM1177" s="655">
        <v>2839364.1100000003</v>
      </c>
    </row>
    <row r="1178" spans="1:39" x14ac:dyDescent="0.2">
      <c r="A1178" s="648">
        <v>2016</v>
      </c>
      <c r="B1178" s="648">
        <v>5</v>
      </c>
      <c r="C1178" s="657" t="s">
        <v>252</v>
      </c>
      <c r="D1178" s="648">
        <v>4023</v>
      </c>
      <c r="E1178" s="648" t="s">
        <v>1170</v>
      </c>
      <c r="F1178" s="655">
        <v>4120250</v>
      </c>
      <c r="G1178" s="655">
        <v>234714</v>
      </c>
      <c r="H1178" s="655">
        <v>46128</v>
      </c>
      <c r="I1178" s="655">
        <v>395109</v>
      </c>
      <c r="J1178" s="655">
        <v>389844</v>
      </c>
      <c r="K1178" s="655">
        <v>42192</v>
      </c>
      <c r="L1178" s="655">
        <v>33288</v>
      </c>
      <c r="M1178" s="655">
        <v>0</v>
      </c>
      <c r="N1178" s="655">
        <v>203573</v>
      </c>
      <c r="O1178" s="655">
        <v>5742</v>
      </c>
      <c r="P1178" s="655">
        <v>36207</v>
      </c>
      <c r="Q1178" s="655">
        <v>40668</v>
      </c>
      <c r="R1178" s="655">
        <v>610</v>
      </c>
      <c r="S1178" s="655">
        <v>22302</v>
      </c>
      <c r="T1178" s="655">
        <v>2658</v>
      </c>
      <c r="U1178" s="655">
        <v>203479</v>
      </c>
      <c r="V1178" s="655">
        <v>0</v>
      </c>
      <c r="W1178" s="655">
        <v>84256</v>
      </c>
      <c r="X1178" s="655">
        <v>278641.51</v>
      </c>
      <c r="Y1178" s="655">
        <v>0</v>
      </c>
      <c r="Z1178" s="655">
        <v>0</v>
      </c>
      <c r="AA1178" s="655">
        <v>0</v>
      </c>
      <c r="AB1178" s="655">
        <v>0</v>
      </c>
      <c r="AC1178" s="655">
        <v>-15808</v>
      </c>
      <c r="AD1178" s="655">
        <v>38009</v>
      </c>
      <c r="AE1178" s="655">
        <v>6085844.5099999998</v>
      </c>
      <c r="AF1178" s="655">
        <v>119251</v>
      </c>
      <c r="AG1178" s="655">
        <v>369954</v>
      </c>
      <c r="AH1178" s="655">
        <v>0</v>
      </c>
      <c r="AI1178" s="805">
        <v>2463221</v>
      </c>
      <c r="AJ1178" s="655">
        <v>888886</v>
      </c>
      <c r="AK1178" s="655">
        <v>9927156.5099999998</v>
      </c>
      <c r="AL1178" s="805">
        <v>8768206</v>
      </c>
      <c r="AM1178" s="655">
        <v>1158950.5099999998</v>
      </c>
    </row>
    <row r="1179" spans="1:39" x14ac:dyDescent="0.2">
      <c r="A1179" s="648">
        <v>2016</v>
      </c>
      <c r="B1179" s="648">
        <v>12</v>
      </c>
      <c r="C1179" s="657" t="s">
        <v>253</v>
      </c>
      <c r="D1179" s="648">
        <v>4033</v>
      </c>
      <c r="E1179" s="648" t="s">
        <v>1494</v>
      </c>
      <c r="F1179" s="655">
        <v>4348571</v>
      </c>
      <c r="G1179" s="655">
        <v>51975</v>
      </c>
      <c r="H1179" s="655">
        <v>218536</v>
      </c>
      <c r="I1179" s="655">
        <v>641670</v>
      </c>
      <c r="J1179" s="655">
        <v>376848</v>
      </c>
      <c r="K1179" s="655">
        <v>39302</v>
      </c>
      <c r="L1179" s="655">
        <v>37095</v>
      </c>
      <c r="M1179" s="655">
        <v>0</v>
      </c>
      <c r="N1179" s="655">
        <v>220803</v>
      </c>
      <c r="O1179" s="655">
        <v>14574</v>
      </c>
      <c r="P1179" s="655">
        <v>37167</v>
      </c>
      <c r="Q1179" s="655">
        <v>41731</v>
      </c>
      <c r="R1179" s="655">
        <v>0</v>
      </c>
      <c r="S1179" s="655">
        <v>22175</v>
      </c>
      <c r="T1179" s="655">
        <v>2650</v>
      </c>
      <c r="U1179" s="655">
        <v>105518</v>
      </c>
      <c r="V1179" s="655">
        <v>4663</v>
      </c>
      <c r="W1179" s="655">
        <v>100670</v>
      </c>
      <c r="X1179" s="655">
        <v>0</v>
      </c>
      <c r="Y1179" s="655">
        <v>0</v>
      </c>
      <c r="Z1179" s="655">
        <v>0</v>
      </c>
      <c r="AA1179" s="655">
        <v>0</v>
      </c>
      <c r="AB1179" s="655">
        <v>0</v>
      </c>
      <c r="AC1179" s="655">
        <v>0</v>
      </c>
      <c r="AD1179" s="655">
        <v>42589</v>
      </c>
      <c r="AE1179" s="655">
        <v>6221359</v>
      </c>
      <c r="AF1179" s="655">
        <v>93467</v>
      </c>
      <c r="AG1179" s="655">
        <v>371802</v>
      </c>
      <c r="AH1179" s="655">
        <v>0</v>
      </c>
      <c r="AI1179" s="805">
        <v>919779</v>
      </c>
      <c r="AJ1179" s="655">
        <v>1827478</v>
      </c>
      <c r="AK1179" s="655">
        <v>9433885</v>
      </c>
      <c r="AL1179" s="805">
        <v>8027620</v>
      </c>
      <c r="AM1179" s="655">
        <v>1406265</v>
      </c>
    </row>
    <row r="1180" spans="1:39" x14ac:dyDescent="0.2">
      <c r="A1180" s="648">
        <v>2016</v>
      </c>
      <c r="B1180" s="648">
        <v>9</v>
      </c>
      <c r="C1180" s="657" t="s">
        <v>254</v>
      </c>
      <c r="D1180" s="648">
        <v>4041</v>
      </c>
      <c r="E1180" s="648" t="s">
        <v>1171</v>
      </c>
      <c r="F1180" s="655">
        <v>8731752</v>
      </c>
      <c r="G1180" s="655">
        <v>0</v>
      </c>
      <c r="H1180" s="655">
        <v>252064</v>
      </c>
      <c r="I1180" s="655">
        <v>1648693</v>
      </c>
      <c r="J1180" s="655">
        <v>794974</v>
      </c>
      <c r="K1180" s="655">
        <v>93020</v>
      </c>
      <c r="L1180" s="655">
        <v>95283</v>
      </c>
      <c r="M1180" s="655">
        <v>0</v>
      </c>
      <c r="N1180" s="655">
        <v>457877</v>
      </c>
      <c r="O1180" s="655">
        <v>1794</v>
      </c>
      <c r="P1180" s="655">
        <v>75830</v>
      </c>
      <c r="Q1180" s="655">
        <v>82727</v>
      </c>
      <c r="R1180" s="655">
        <v>0</v>
      </c>
      <c r="S1180" s="655">
        <v>41193</v>
      </c>
      <c r="T1180" s="655">
        <v>4831</v>
      </c>
      <c r="U1180" s="655">
        <v>172019</v>
      </c>
      <c r="V1180" s="655">
        <v>30009</v>
      </c>
      <c r="W1180" s="655">
        <v>268097</v>
      </c>
      <c r="X1180" s="655">
        <v>240394.76</v>
      </c>
      <c r="Y1180" s="655">
        <v>0</v>
      </c>
      <c r="Z1180" s="655">
        <v>0</v>
      </c>
      <c r="AA1180" s="655">
        <v>0</v>
      </c>
      <c r="AB1180" s="655">
        <v>0</v>
      </c>
      <c r="AC1180" s="655">
        <v>28392</v>
      </c>
      <c r="AD1180" s="655">
        <v>74194</v>
      </c>
      <c r="AE1180" s="655">
        <v>12944755.76</v>
      </c>
      <c r="AF1180" s="655">
        <v>215941</v>
      </c>
      <c r="AG1180" s="655">
        <v>635759</v>
      </c>
      <c r="AH1180" s="655">
        <v>0</v>
      </c>
      <c r="AI1180" s="805">
        <v>2347814</v>
      </c>
      <c r="AJ1180" s="655">
        <v>3309479</v>
      </c>
      <c r="AK1180" s="655">
        <v>19453748.759999998</v>
      </c>
      <c r="AL1180" s="805">
        <v>15971027</v>
      </c>
      <c r="AM1180" s="655">
        <v>3482721.7599999979</v>
      </c>
    </row>
    <row r="1181" spans="1:39" x14ac:dyDescent="0.2">
      <c r="A1181" s="648">
        <v>2016</v>
      </c>
      <c r="B1181" s="648">
        <v>1</v>
      </c>
      <c r="C1181" s="657" t="s">
        <v>255</v>
      </c>
      <c r="D1181" s="648">
        <v>4043</v>
      </c>
      <c r="E1181" s="648" t="s">
        <v>1172</v>
      </c>
      <c r="F1181" s="655">
        <v>4683594</v>
      </c>
      <c r="G1181" s="655">
        <v>0</v>
      </c>
      <c r="H1181" s="655">
        <v>153269</v>
      </c>
      <c r="I1181" s="655">
        <v>390883</v>
      </c>
      <c r="J1181" s="655">
        <v>410866</v>
      </c>
      <c r="K1181" s="655">
        <v>45253</v>
      </c>
      <c r="L1181" s="655">
        <v>43857</v>
      </c>
      <c r="M1181" s="655">
        <v>0</v>
      </c>
      <c r="N1181" s="655">
        <v>233098</v>
      </c>
      <c r="O1181" s="655">
        <v>1702</v>
      </c>
      <c r="P1181" s="655">
        <v>39864</v>
      </c>
      <c r="Q1181" s="655">
        <v>44488</v>
      </c>
      <c r="R1181" s="655">
        <v>0</v>
      </c>
      <c r="S1181" s="655">
        <v>22936</v>
      </c>
      <c r="T1181" s="655">
        <v>2452</v>
      </c>
      <c r="U1181" s="655">
        <v>175779</v>
      </c>
      <c r="V1181" s="655">
        <v>0</v>
      </c>
      <c r="W1181" s="655">
        <v>70026</v>
      </c>
      <c r="X1181" s="655">
        <v>42349.46</v>
      </c>
      <c r="Y1181" s="655">
        <v>0</v>
      </c>
      <c r="Z1181" s="655">
        <v>0</v>
      </c>
      <c r="AA1181" s="655">
        <v>0</v>
      </c>
      <c r="AB1181" s="655">
        <v>0</v>
      </c>
      <c r="AC1181" s="655">
        <v>0</v>
      </c>
      <c r="AD1181" s="655">
        <v>45215</v>
      </c>
      <c r="AE1181" s="655">
        <v>6315201.46</v>
      </c>
      <c r="AF1181" s="655">
        <v>119251</v>
      </c>
      <c r="AG1181" s="655">
        <v>377170</v>
      </c>
      <c r="AH1181" s="655">
        <v>0</v>
      </c>
      <c r="AI1181" s="805">
        <v>978120</v>
      </c>
      <c r="AJ1181" s="655">
        <v>1852919</v>
      </c>
      <c r="AK1181" s="655">
        <v>9642661.4600000009</v>
      </c>
      <c r="AL1181" s="805">
        <v>7293579</v>
      </c>
      <c r="AM1181" s="655">
        <v>2349082.4600000009</v>
      </c>
    </row>
    <row r="1182" spans="1:39" x14ac:dyDescent="0.2">
      <c r="A1182" s="648">
        <v>2016</v>
      </c>
      <c r="B1182" s="648">
        <v>12</v>
      </c>
      <c r="C1182" s="657" t="s">
        <v>256</v>
      </c>
      <c r="D1182" s="648">
        <v>4068</v>
      </c>
      <c r="E1182" s="648" t="s">
        <v>1173</v>
      </c>
      <c r="F1182" s="655">
        <v>2878860</v>
      </c>
      <c r="G1182" s="655">
        <v>0</v>
      </c>
      <c r="H1182" s="655">
        <v>128071</v>
      </c>
      <c r="I1182" s="655">
        <v>335586</v>
      </c>
      <c r="J1182" s="655">
        <v>263788</v>
      </c>
      <c r="K1182" s="655">
        <v>27816</v>
      </c>
      <c r="L1182" s="655">
        <v>21086</v>
      </c>
      <c r="M1182" s="655">
        <v>0</v>
      </c>
      <c r="N1182" s="655">
        <v>143809</v>
      </c>
      <c r="O1182" s="655">
        <v>4740</v>
      </c>
      <c r="P1182" s="655">
        <v>23541</v>
      </c>
      <c r="Q1182" s="655">
        <v>26431</v>
      </c>
      <c r="R1182" s="655">
        <v>0</v>
      </c>
      <c r="S1182" s="655">
        <v>14443</v>
      </c>
      <c r="T1182" s="655">
        <v>1726</v>
      </c>
      <c r="U1182" s="655">
        <v>82791</v>
      </c>
      <c r="V1182" s="655">
        <v>0</v>
      </c>
      <c r="W1182" s="655">
        <v>95490</v>
      </c>
      <c r="X1182" s="655">
        <v>106731.08</v>
      </c>
      <c r="Y1182" s="655">
        <v>0</v>
      </c>
      <c r="Z1182" s="655">
        <v>0</v>
      </c>
      <c r="AA1182" s="655">
        <v>0</v>
      </c>
      <c r="AB1182" s="655">
        <v>0</v>
      </c>
      <c r="AC1182" s="655">
        <v>0</v>
      </c>
      <c r="AD1182" s="655">
        <v>28045</v>
      </c>
      <c r="AE1182" s="655">
        <v>4126864.08</v>
      </c>
      <c r="AF1182" s="655">
        <v>99913</v>
      </c>
      <c r="AG1182" s="655">
        <v>255240</v>
      </c>
      <c r="AH1182" s="655">
        <v>0</v>
      </c>
      <c r="AI1182" s="805">
        <v>458631</v>
      </c>
      <c r="AJ1182" s="655">
        <v>535900</v>
      </c>
      <c r="AK1182" s="655">
        <v>5476548.0800000001</v>
      </c>
      <c r="AL1182" s="805">
        <v>4681414</v>
      </c>
      <c r="AM1182" s="655">
        <v>795134.08000000007</v>
      </c>
    </row>
    <row r="1183" spans="1:39" x14ac:dyDescent="0.2">
      <c r="A1183" s="648">
        <v>2016</v>
      </c>
      <c r="B1183" s="648">
        <v>10</v>
      </c>
      <c r="C1183" s="657" t="s">
        <v>257</v>
      </c>
      <c r="D1183" s="648">
        <v>4086</v>
      </c>
      <c r="E1183" s="648" t="s">
        <v>1174</v>
      </c>
      <c r="F1183" s="655">
        <v>12672999</v>
      </c>
      <c r="G1183" s="655">
        <v>0</v>
      </c>
      <c r="H1183" s="655">
        <v>145988</v>
      </c>
      <c r="I1183" s="655">
        <v>1384378</v>
      </c>
      <c r="J1183" s="655">
        <v>1112700</v>
      </c>
      <c r="K1183" s="655">
        <v>134162</v>
      </c>
      <c r="L1183" s="655">
        <v>136291</v>
      </c>
      <c r="M1183" s="655">
        <v>0</v>
      </c>
      <c r="N1183" s="655">
        <v>606283</v>
      </c>
      <c r="O1183" s="655">
        <v>0</v>
      </c>
      <c r="P1183" s="655">
        <v>107095</v>
      </c>
      <c r="Q1183" s="655">
        <v>117656</v>
      </c>
      <c r="R1183" s="655">
        <v>0</v>
      </c>
      <c r="S1183" s="655">
        <v>56526</v>
      </c>
      <c r="T1183" s="655">
        <v>6569</v>
      </c>
      <c r="U1183" s="655">
        <v>113017</v>
      </c>
      <c r="V1183" s="655">
        <v>0</v>
      </c>
      <c r="W1183" s="655">
        <v>430244</v>
      </c>
      <c r="X1183" s="655">
        <v>577252.4</v>
      </c>
      <c r="Y1183" s="655">
        <v>0</v>
      </c>
      <c r="Z1183" s="655">
        <v>0</v>
      </c>
      <c r="AA1183" s="655">
        <v>0</v>
      </c>
      <c r="AB1183" s="655">
        <v>0</v>
      </c>
      <c r="AC1183" s="655">
        <v>12936</v>
      </c>
      <c r="AD1183" s="655">
        <v>80131</v>
      </c>
      <c r="AE1183" s="655">
        <v>17533965.399999999</v>
      </c>
      <c r="AF1183" s="655">
        <v>286847</v>
      </c>
      <c r="AG1183" s="655">
        <v>824125</v>
      </c>
      <c r="AH1183" s="655">
        <v>0</v>
      </c>
      <c r="AI1183" s="805">
        <v>5836602</v>
      </c>
      <c r="AJ1183" s="655">
        <v>7519575</v>
      </c>
      <c r="AK1183" s="655">
        <v>32001114.399999999</v>
      </c>
      <c r="AL1183" s="805">
        <v>23858297</v>
      </c>
      <c r="AM1183" s="655">
        <v>8142817.3999999985</v>
      </c>
    </row>
    <row r="1184" spans="1:39" x14ac:dyDescent="0.2">
      <c r="A1184" s="648">
        <v>2016</v>
      </c>
      <c r="B1184" s="648">
        <v>7</v>
      </c>
      <c r="C1184" s="657" t="s">
        <v>258</v>
      </c>
      <c r="D1184" s="648">
        <v>4104</v>
      </c>
      <c r="E1184" s="648" t="s">
        <v>1175</v>
      </c>
      <c r="F1184" s="655">
        <v>34932495</v>
      </c>
      <c r="G1184" s="655">
        <v>0</v>
      </c>
      <c r="H1184" s="655">
        <v>2115644</v>
      </c>
      <c r="I1184" s="655">
        <v>4513655</v>
      </c>
      <c r="J1184" s="655">
        <v>2892122</v>
      </c>
      <c r="K1184" s="655">
        <v>323692</v>
      </c>
      <c r="L1184" s="655">
        <v>453094</v>
      </c>
      <c r="M1184" s="655">
        <v>1683782</v>
      </c>
      <c r="N1184" s="655">
        <v>1743305</v>
      </c>
      <c r="O1184" s="655">
        <v>0</v>
      </c>
      <c r="P1184" s="655">
        <v>296547</v>
      </c>
      <c r="Q1184" s="655">
        <v>331267</v>
      </c>
      <c r="R1184" s="655">
        <v>0</v>
      </c>
      <c r="S1184" s="655">
        <v>222010</v>
      </c>
      <c r="T1184" s="655">
        <v>25479</v>
      </c>
      <c r="U1184" s="655">
        <v>1725085</v>
      </c>
      <c r="V1184" s="655">
        <v>0</v>
      </c>
      <c r="W1184" s="655">
        <v>1430447</v>
      </c>
      <c r="X1184" s="655">
        <v>1218764.25</v>
      </c>
      <c r="Y1184" s="655">
        <v>0</v>
      </c>
      <c r="Z1184" s="655">
        <v>0</v>
      </c>
      <c r="AA1184" s="655">
        <v>0</v>
      </c>
      <c r="AB1184" s="655">
        <v>0</v>
      </c>
      <c r="AC1184" s="655">
        <v>-6407</v>
      </c>
      <c r="AD1184" s="655">
        <v>232815</v>
      </c>
      <c r="AE1184" s="655">
        <v>53668166.25</v>
      </c>
      <c r="AF1184" s="655">
        <v>634931</v>
      </c>
      <c r="AG1184" s="655">
        <v>1944692</v>
      </c>
      <c r="AH1184" s="655">
        <v>0</v>
      </c>
      <c r="AI1184" s="805">
        <v>5365008</v>
      </c>
      <c r="AJ1184" s="655">
        <v>19846031</v>
      </c>
      <c r="AK1184" s="655">
        <v>81458828.25</v>
      </c>
      <c r="AL1184" s="805">
        <v>60212743</v>
      </c>
      <c r="AM1184" s="655">
        <v>21246085.25</v>
      </c>
    </row>
    <row r="1185" spans="1:39" x14ac:dyDescent="0.2">
      <c r="A1185" s="648">
        <v>2016</v>
      </c>
      <c r="B1185" s="648">
        <v>11</v>
      </c>
      <c r="C1185" s="657" t="s">
        <v>259</v>
      </c>
      <c r="D1185" s="648">
        <v>4122</v>
      </c>
      <c r="E1185" s="648" t="s">
        <v>1176</v>
      </c>
      <c r="F1185" s="655">
        <v>3388662</v>
      </c>
      <c r="G1185" s="655">
        <v>22273</v>
      </c>
      <c r="H1185" s="655">
        <v>28317</v>
      </c>
      <c r="I1185" s="655">
        <v>347826</v>
      </c>
      <c r="J1185" s="655">
        <v>290875</v>
      </c>
      <c r="K1185" s="655">
        <v>27683</v>
      </c>
      <c r="L1185" s="655">
        <v>31484</v>
      </c>
      <c r="M1185" s="655">
        <v>0</v>
      </c>
      <c r="N1185" s="655">
        <v>159586</v>
      </c>
      <c r="O1185" s="655">
        <v>179</v>
      </c>
      <c r="P1185" s="655">
        <v>28672</v>
      </c>
      <c r="Q1185" s="655">
        <v>31474</v>
      </c>
      <c r="R1185" s="655">
        <v>0</v>
      </c>
      <c r="S1185" s="655">
        <v>13077</v>
      </c>
      <c r="T1185" s="655">
        <v>1664</v>
      </c>
      <c r="U1185" s="655">
        <v>95316</v>
      </c>
      <c r="V1185" s="655">
        <v>0</v>
      </c>
      <c r="W1185" s="655">
        <v>105039</v>
      </c>
      <c r="X1185" s="655">
        <v>83858.100000000006</v>
      </c>
      <c r="Y1185" s="655">
        <v>0</v>
      </c>
      <c r="Z1185" s="655">
        <v>0</v>
      </c>
      <c r="AA1185" s="655">
        <v>0</v>
      </c>
      <c r="AB1185" s="655">
        <v>0</v>
      </c>
      <c r="AC1185" s="655">
        <v>-12732</v>
      </c>
      <c r="AD1185" s="655">
        <v>22923</v>
      </c>
      <c r="AE1185" s="655">
        <v>4620330.0999999996</v>
      </c>
      <c r="AF1185" s="655">
        <v>116028</v>
      </c>
      <c r="AG1185" s="655">
        <v>247123</v>
      </c>
      <c r="AH1185" s="655">
        <v>0</v>
      </c>
      <c r="AI1185" s="805">
        <v>1227270</v>
      </c>
      <c r="AJ1185" s="655">
        <v>1977197</v>
      </c>
      <c r="AK1185" s="655">
        <v>8187948.0999999996</v>
      </c>
      <c r="AL1185" s="805">
        <v>6154524</v>
      </c>
      <c r="AM1185" s="655">
        <v>2033424.0999999996</v>
      </c>
    </row>
    <row r="1186" spans="1:39" x14ac:dyDescent="0.2">
      <c r="A1186" s="648">
        <v>2016</v>
      </c>
      <c r="B1186" s="648">
        <v>7</v>
      </c>
      <c r="C1186" s="657" t="s">
        <v>260</v>
      </c>
      <c r="D1186" s="648">
        <v>4131</v>
      </c>
      <c r="E1186" s="648" t="s">
        <v>1177</v>
      </c>
      <c r="F1186" s="655">
        <v>24413169</v>
      </c>
      <c r="G1186" s="655">
        <v>0</v>
      </c>
      <c r="H1186" s="655">
        <v>404618</v>
      </c>
      <c r="I1186" s="655">
        <v>3834214</v>
      </c>
      <c r="J1186" s="655">
        <v>2032346</v>
      </c>
      <c r="K1186" s="655">
        <v>241809</v>
      </c>
      <c r="L1186" s="655">
        <v>274133</v>
      </c>
      <c r="M1186" s="655">
        <v>0</v>
      </c>
      <c r="N1186" s="655">
        <v>1242443</v>
      </c>
      <c r="O1186" s="655">
        <v>10984</v>
      </c>
      <c r="P1186" s="655">
        <v>223351</v>
      </c>
      <c r="Q1186" s="655">
        <v>249502</v>
      </c>
      <c r="R1186" s="655">
        <v>0</v>
      </c>
      <c r="S1186" s="655">
        <v>158225</v>
      </c>
      <c r="T1186" s="655">
        <v>18158</v>
      </c>
      <c r="U1186" s="655">
        <v>1205676</v>
      </c>
      <c r="V1186" s="655">
        <v>0</v>
      </c>
      <c r="W1186" s="655">
        <v>192414</v>
      </c>
      <c r="X1186" s="655">
        <v>3753753.94</v>
      </c>
      <c r="Y1186" s="655">
        <v>0</v>
      </c>
      <c r="Z1186" s="655">
        <v>0</v>
      </c>
      <c r="AA1186" s="655">
        <v>0</v>
      </c>
      <c r="AB1186" s="655">
        <v>0</v>
      </c>
      <c r="AC1186" s="655">
        <v>0</v>
      </c>
      <c r="AD1186" s="655">
        <v>218724</v>
      </c>
      <c r="AE1186" s="655">
        <v>38036071.939999998</v>
      </c>
      <c r="AF1186" s="655">
        <v>444774</v>
      </c>
      <c r="AG1186" s="655">
        <v>1832941</v>
      </c>
      <c r="AH1186" s="655">
        <v>0</v>
      </c>
      <c r="AI1186" s="805">
        <v>5357462</v>
      </c>
      <c r="AJ1186" s="655">
        <v>8197665</v>
      </c>
      <c r="AK1186" s="655">
        <v>53868913.939999998</v>
      </c>
      <c r="AL1186" s="805">
        <v>43371095</v>
      </c>
      <c r="AM1186" s="655">
        <v>10497818.939999998</v>
      </c>
    </row>
    <row r="1187" spans="1:39" x14ac:dyDescent="0.2">
      <c r="A1187" s="648">
        <v>2016</v>
      </c>
      <c r="B1187" s="648">
        <v>12</v>
      </c>
      <c r="C1187" s="657" t="s">
        <v>261</v>
      </c>
      <c r="D1187" s="648">
        <v>4149</v>
      </c>
      <c r="E1187" s="648" t="s">
        <v>641</v>
      </c>
      <c r="F1187" s="655">
        <v>9106993</v>
      </c>
      <c r="G1187" s="655">
        <v>0</v>
      </c>
      <c r="H1187" s="655">
        <v>181666</v>
      </c>
      <c r="I1187" s="655">
        <v>936254</v>
      </c>
      <c r="J1187" s="655">
        <v>767158</v>
      </c>
      <c r="K1187" s="655">
        <v>91955</v>
      </c>
      <c r="L1187" s="655">
        <v>88149</v>
      </c>
      <c r="M1187" s="655">
        <v>0</v>
      </c>
      <c r="N1187" s="655">
        <v>448973</v>
      </c>
      <c r="O1187" s="655">
        <v>0</v>
      </c>
      <c r="P1187" s="655">
        <v>100102</v>
      </c>
      <c r="Q1187" s="655">
        <v>112393</v>
      </c>
      <c r="R1187" s="655">
        <v>0</v>
      </c>
      <c r="S1187" s="655">
        <v>45091</v>
      </c>
      <c r="T1187" s="655">
        <v>5389</v>
      </c>
      <c r="U1187" s="655">
        <v>302843</v>
      </c>
      <c r="V1187" s="655">
        <v>44221</v>
      </c>
      <c r="W1187" s="655">
        <v>112078</v>
      </c>
      <c r="X1187" s="655">
        <v>0</v>
      </c>
      <c r="Y1187" s="655">
        <v>0</v>
      </c>
      <c r="Z1187" s="655">
        <v>0</v>
      </c>
      <c r="AA1187" s="655">
        <v>0</v>
      </c>
      <c r="AB1187" s="655">
        <v>0</v>
      </c>
      <c r="AC1187" s="655">
        <v>-5765</v>
      </c>
      <c r="AD1187" s="655">
        <v>71335</v>
      </c>
      <c r="AE1187" s="655">
        <v>12266165</v>
      </c>
      <c r="AF1187" s="655">
        <v>196603</v>
      </c>
      <c r="AG1187" s="655">
        <v>713897</v>
      </c>
      <c r="AH1187" s="655">
        <v>0</v>
      </c>
      <c r="AI1187" s="805">
        <v>1885667</v>
      </c>
      <c r="AJ1187" s="655">
        <v>3993746</v>
      </c>
      <c r="AK1187" s="655">
        <v>19056078</v>
      </c>
      <c r="AL1187" s="805">
        <v>14716879</v>
      </c>
      <c r="AM1187" s="655">
        <v>4339199</v>
      </c>
    </row>
    <row r="1188" spans="1:39" x14ac:dyDescent="0.2">
      <c r="A1188" s="648">
        <v>2016</v>
      </c>
      <c r="B1188" s="648">
        <v>15</v>
      </c>
      <c r="C1188" s="657" t="s">
        <v>262</v>
      </c>
      <c r="D1188" s="648">
        <v>4203</v>
      </c>
      <c r="E1188" s="648" t="s">
        <v>1178</v>
      </c>
      <c r="F1188" s="655">
        <v>4875754</v>
      </c>
      <c r="G1188" s="655">
        <v>0</v>
      </c>
      <c r="H1188" s="655">
        <v>136803</v>
      </c>
      <c r="I1188" s="655">
        <v>444774</v>
      </c>
      <c r="J1188" s="655">
        <v>426247</v>
      </c>
      <c r="K1188" s="655">
        <v>41685</v>
      </c>
      <c r="L1188" s="655">
        <v>43954</v>
      </c>
      <c r="M1188" s="655">
        <v>0</v>
      </c>
      <c r="N1188" s="655">
        <v>231715</v>
      </c>
      <c r="O1188" s="655">
        <v>23758</v>
      </c>
      <c r="P1188" s="655">
        <v>39849</v>
      </c>
      <c r="Q1188" s="655">
        <v>43772</v>
      </c>
      <c r="R1188" s="655">
        <v>618</v>
      </c>
      <c r="S1188" s="655">
        <v>23202</v>
      </c>
      <c r="T1188" s="655">
        <v>2509</v>
      </c>
      <c r="U1188" s="655">
        <v>145414</v>
      </c>
      <c r="V1188" s="655">
        <v>0</v>
      </c>
      <c r="W1188" s="655">
        <v>97864</v>
      </c>
      <c r="X1188" s="655">
        <v>0</v>
      </c>
      <c r="Y1188" s="655">
        <v>0</v>
      </c>
      <c r="Z1188" s="655">
        <v>0</v>
      </c>
      <c r="AA1188" s="655">
        <v>0</v>
      </c>
      <c r="AB1188" s="655">
        <v>0</v>
      </c>
      <c r="AC1188" s="655">
        <v>0</v>
      </c>
      <c r="AD1188" s="655">
        <v>41596</v>
      </c>
      <c r="AE1188" s="655">
        <v>6536322</v>
      </c>
      <c r="AF1188" s="655">
        <v>0</v>
      </c>
      <c r="AG1188" s="655">
        <v>388305</v>
      </c>
      <c r="AH1188" s="655">
        <v>0</v>
      </c>
      <c r="AI1188" s="805">
        <v>1331288</v>
      </c>
      <c r="AJ1188" s="655">
        <v>3216940</v>
      </c>
      <c r="AK1188" s="655">
        <v>11472855</v>
      </c>
      <c r="AL1188" s="805">
        <v>8419921</v>
      </c>
      <c r="AM1188" s="655">
        <v>3052934</v>
      </c>
    </row>
    <row r="1189" spans="1:39" x14ac:dyDescent="0.2">
      <c r="A1189" s="648">
        <v>2016</v>
      </c>
      <c r="B1189" s="648">
        <v>11</v>
      </c>
      <c r="C1189" s="657" t="s">
        <v>263</v>
      </c>
      <c r="D1189" s="648">
        <v>4212</v>
      </c>
      <c r="E1189" s="648" t="s">
        <v>1179</v>
      </c>
      <c r="F1189" s="655">
        <v>2108487</v>
      </c>
      <c r="G1189" s="655">
        <v>0</v>
      </c>
      <c r="H1189" s="655">
        <v>67438</v>
      </c>
      <c r="I1189" s="655">
        <v>301157</v>
      </c>
      <c r="J1189" s="655">
        <v>211172</v>
      </c>
      <c r="K1189" s="655">
        <v>21808</v>
      </c>
      <c r="L1189" s="655">
        <v>26057</v>
      </c>
      <c r="M1189" s="655">
        <v>0</v>
      </c>
      <c r="N1189" s="655">
        <v>102916</v>
      </c>
      <c r="O1189" s="655">
        <v>7023</v>
      </c>
      <c r="P1189" s="655">
        <v>17203</v>
      </c>
      <c r="Q1189" s="655">
        <v>18884</v>
      </c>
      <c r="R1189" s="655">
        <v>0</v>
      </c>
      <c r="S1189" s="655">
        <v>8433</v>
      </c>
      <c r="T1189" s="655">
        <v>1073</v>
      </c>
      <c r="U1189" s="655">
        <v>13451</v>
      </c>
      <c r="V1189" s="655">
        <v>0</v>
      </c>
      <c r="W1189" s="655">
        <v>58659</v>
      </c>
      <c r="X1189" s="655">
        <v>0</v>
      </c>
      <c r="Y1189" s="655">
        <v>0</v>
      </c>
      <c r="Z1189" s="655">
        <v>0</v>
      </c>
      <c r="AA1189" s="655">
        <v>0</v>
      </c>
      <c r="AB1189" s="655">
        <v>0</v>
      </c>
      <c r="AC1189" s="655">
        <v>50928</v>
      </c>
      <c r="AD1189" s="655">
        <v>20816</v>
      </c>
      <c r="AE1189" s="655">
        <v>2993873</v>
      </c>
      <c r="AF1189" s="655">
        <v>87021</v>
      </c>
      <c r="AG1189" s="655">
        <v>129567</v>
      </c>
      <c r="AH1189" s="655">
        <v>0</v>
      </c>
      <c r="AI1189" s="805">
        <v>727805</v>
      </c>
      <c r="AJ1189" s="655">
        <v>1070120</v>
      </c>
      <c r="AK1189" s="655">
        <v>5008386</v>
      </c>
      <c r="AL1189" s="805">
        <v>3932109</v>
      </c>
      <c r="AM1189" s="655">
        <v>1076277</v>
      </c>
    </row>
    <row r="1190" spans="1:39" x14ac:dyDescent="0.2">
      <c r="A1190" s="648">
        <v>2016</v>
      </c>
      <c r="B1190" s="648">
        <v>10</v>
      </c>
      <c r="C1190" s="657" t="s">
        <v>264</v>
      </c>
      <c r="D1190" s="648">
        <v>4269</v>
      </c>
      <c r="E1190" s="648" t="s">
        <v>642</v>
      </c>
      <c r="F1190" s="655">
        <v>3443945</v>
      </c>
      <c r="G1190" s="655">
        <v>167886</v>
      </c>
      <c r="H1190" s="655">
        <v>104109</v>
      </c>
      <c r="I1190" s="655">
        <v>472088</v>
      </c>
      <c r="J1190" s="655">
        <v>329586</v>
      </c>
      <c r="K1190" s="655">
        <v>32536</v>
      </c>
      <c r="L1190" s="655">
        <v>34448</v>
      </c>
      <c r="M1190" s="655">
        <v>0</v>
      </c>
      <c r="N1190" s="655">
        <v>169231</v>
      </c>
      <c r="O1190" s="655">
        <v>12017</v>
      </c>
      <c r="P1190" s="655">
        <v>28369</v>
      </c>
      <c r="Q1190" s="655">
        <v>31166</v>
      </c>
      <c r="R1190" s="655">
        <v>0</v>
      </c>
      <c r="S1190" s="655">
        <v>16253</v>
      </c>
      <c r="T1190" s="655">
        <v>1890</v>
      </c>
      <c r="U1190" s="655">
        <v>96672</v>
      </c>
      <c r="V1190" s="655">
        <v>0</v>
      </c>
      <c r="W1190" s="655">
        <v>94217</v>
      </c>
      <c r="X1190" s="655">
        <v>138168.97</v>
      </c>
      <c r="Y1190" s="655">
        <v>0</v>
      </c>
      <c r="Z1190" s="655">
        <v>0</v>
      </c>
      <c r="AA1190" s="655">
        <v>0</v>
      </c>
      <c r="AB1190" s="655">
        <v>0</v>
      </c>
      <c r="AC1190" s="655">
        <v>0</v>
      </c>
      <c r="AD1190" s="655">
        <v>35327</v>
      </c>
      <c r="AE1190" s="655">
        <v>5137254.97</v>
      </c>
      <c r="AF1190" s="655">
        <v>103136</v>
      </c>
      <c r="AG1190" s="655">
        <v>300071</v>
      </c>
      <c r="AH1190" s="655">
        <v>0</v>
      </c>
      <c r="AI1190" s="805">
        <v>638216</v>
      </c>
      <c r="AJ1190" s="655">
        <v>1924372</v>
      </c>
      <c r="AK1190" s="655">
        <v>8103049.9699999997</v>
      </c>
      <c r="AL1190" s="805">
        <v>5842103</v>
      </c>
      <c r="AM1190" s="655">
        <v>2260946.9699999997</v>
      </c>
    </row>
    <row r="1191" spans="1:39" x14ac:dyDescent="0.2">
      <c r="A1191" s="648">
        <v>2016</v>
      </c>
      <c r="B1191" s="648">
        <v>10</v>
      </c>
      <c r="C1191" s="657" t="s">
        <v>265</v>
      </c>
      <c r="D1191" s="648">
        <v>4271</v>
      </c>
      <c r="E1191" s="648" t="s">
        <v>1180</v>
      </c>
      <c r="F1191" s="655">
        <v>7924456</v>
      </c>
      <c r="G1191" s="655">
        <v>117103</v>
      </c>
      <c r="H1191" s="655">
        <v>206438</v>
      </c>
      <c r="I1191" s="655">
        <v>834954</v>
      </c>
      <c r="J1191" s="655">
        <v>704750</v>
      </c>
      <c r="K1191" s="655">
        <v>76554</v>
      </c>
      <c r="L1191" s="655">
        <v>78498</v>
      </c>
      <c r="M1191" s="655">
        <v>0</v>
      </c>
      <c r="N1191" s="655">
        <v>382341</v>
      </c>
      <c r="O1191" s="655">
        <v>5135</v>
      </c>
      <c r="P1191" s="655">
        <v>66598</v>
      </c>
      <c r="Q1191" s="655">
        <v>73166</v>
      </c>
      <c r="R1191" s="655">
        <v>0</v>
      </c>
      <c r="S1191" s="655">
        <v>36078</v>
      </c>
      <c r="T1191" s="655">
        <v>4195</v>
      </c>
      <c r="U1191" s="655">
        <v>206762</v>
      </c>
      <c r="V1191" s="655">
        <v>0</v>
      </c>
      <c r="W1191" s="655">
        <v>46472</v>
      </c>
      <c r="X1191" s="655">
        <v>334930.71999999997</v>
      </c>
      <c r="Y1191" s="655">
        <v>0</v>
      </c>
      <c r="Z1191" s="655">
        <v>0</v>
      </c>
      <c r="AA1191" s="655">
        <v>0</v>
      </c>
      <c r="AB1191" s="655">
        <v>0</v>
      </c>
      <c r="AC1191" s="655">
        <v>-6390</v>
      </c>
      <c r="AD1191" s="655">
        <v>55121</v>
      </c>
      <c r="AE1191" s="655">
        <v>11036919.720000001</v>
      </c>
      <c r="AF1191" s="655">
        <v>238502</v>
      </c>
      <c r="AG1191" s="655">
        <v>614938</v>
      </c>
      <c r="AH1191" s="655">
        <v>0</v>
      </c>
      <c r="AI1191" s="805">
        <v>3142884</v>
      </c>
      <c r="AJ1191" s="655">
        <v>3065243</v>
      </c>
      <c r="AK1191" s="655">
        <v>18098486.719999999</v>
      </c>
      <c r="AL1191" s="805">
        <v>14610792</v>
      </c>
      <c r="AM1191" s="655">
        <v>3487694.7199999988</v>
      </c>
    </row>
    <row r="1192" spans="1:39" x14ac:dyDescent="0.2">
      <c r="A1192" s="648">
        <v>2016</v>
      </c>
      <c r="B1192" s="648">
        <v>13</v>
      </c>
      <c r="C1192" s="657" t="s">
        <v>266</v>
      </c>
      <c r="D1192" s="648">
        <v>4356</v>
      </c>
      <c r="E1192" s="648" t="s">
        <v>1181</v>
      </c>
      <c r="F1192" s="655">
        <v>5372096</v>
      </c>
      <c r="G1192" s="655">
        <v>152268</v>
      </c>
      <c r="H1192" s="655">
        <v>63216</v>
      </c>
      <c r="I1192" s="655">
        <v>743159</v>
      </c>
      <c r="J1192" s="655">
        <v>450848</v>
      </c>
      <c r="K1192" s="655">
        <v>44601</v>
      </c>
      <c r="L1192" s="655">
        <v>52867</v>
      </c>
      <c r="M1192" s="655">
        <v>0</v>
      </c>
      <c r="N1192" s="655">
        <v>268830</v>
      </c>
      <c r="O1192" s="655">
        <v>1191</v>
      </c>
      <c r="P1192" s="655">
        <v>44671</v>
      </c>
      <c r="Q1192" s="655">
        <v>49406</v>
      </c>
      <c r="R1192" s="655">
        <v>0</v>
      </c>
      <c r="S1192" s="655">
        <v>27650</v>
      </c>
      <c r="T1192" s="655">
        <v>2934</v>
      </c>
      <c r="U1192" s="655">
        <v>105435</v>
      </c>
      <c r="V1192" s="655">
        <v>0</v>
      </c>
      <c r="W1192" s="655">
        <v>185000</v>
      </c>
      <c r="X1192" s="655">
        <v>97317.63</v>
      </c>
      <c r="Y1192" s="655">
        <v>0</v>
      </c>
      <c r="Z1192" s="655">
        <v>0</v>
      </c>
      <c r="AA1192" s="655">
        <v>0</v>
      </c>
      <c r="AB1192" s="655">
        <v>0</v>
      </c>
      <c r="AC1192" s="655">
        <v>0</v>
      </c>
      <c r="AD1192" s="655">
        <v>44838</v>
      </c>
      <c r="AE1192" s="655">
        <v>7616651.6299999999</v>
      </c>
      <c r="AF1192" s="655">
        <v>128920</v>
      </c>
      <c r="AG1192" s="655">
        <v>416592</v>
      </c>
      <c r="AH1192" s="655">
        <v>0</v>
      </c>
      <c r="AI1192" s="805">
        <v>623882</v>
      </c>
      <c r="AJ1192" s="655">
        <v>2356395</v>
      </c>
      <c r="AK1192" s="655">
        <v>11142440.629999999</v>
      </c>
      <c r="AL1192" s="805">
        <v>8755190</v>
      </c>
      <c r="AM1192" s="655">
        <v>2387250.629999999</v>
      </c>
    </row>
    <row r="1193" spans="1:39" x14ac:dyDescent="0.2">
      <c r="A1193" s="648">
        <v>2016</v>
      </c>
      <c r="B1193" s="648">
        <v>1</v>
      </c>
      <c r="C1193" s="657" t="s">
        <v>267</v>
      </c>
      <c r="D1193" s="648">
        <v>4419</v>
      </c>
      <c r="E1193" s="648" t="s">
        <v>643</v>
      </c>
      <c r="F1193" s="655">
        <v>5032753</v>
      </c>
      <c r="G1193" s="655">
        <v>103363</v>
      </c>
      <c r="H1193" s="655">
        <v>119864</v>
      </c>
      <c r="I1193" s="655">
        <v>485642</v>
      </c>
      <c r="J1193" s="655">
        <v>448691</v>
      </c>
      <c r="K1193" s="655">
        <v>54633</v>
      </c>
      <c r="L1193" s="655">
        <v>55205</v>
      </c>
      <c r="M1193" s="655">
        <v>0</v>
      </c>
      <c r="N1193" s="655">
        <v>253295</v>
      </c>
      <c r="O1193" s="655">
        <v>12192</v>
      </c>
      <c r="P1193" s="655">
        <v>41189</v>
      </c>
      <c r="Q1193" s="655">
        <v>45967</v>
      </c>
      <c r="R1193" s="655">
        <v>0</v>
      </c>
      <c r="S1193" s="655">
        <v>25381</v>
      </c>
      <c r="T1193" s="655">
        <v>2712</v>
      </c>
      <c r="U1193" s="655">
        <v>229358</v>
      </c>
      <c r="V1193" s="655">
        <v>0</v>
      </c>
      <c r="W1193" s="655">
        <v>40195</v>
      </c>
      <c r="X1193" s="655">
        <v>164428.72</v>
      </c>
      <c r="Y1193" s="655">
        <v>0</v>
      </c>
      <c r="Z1193" s="655">
        <v>0</v>
      </c>
      <c r="AA1193" s="655">
        <v>0</v>
      </c>
      <c r="AB1193" s="655">
        <v>0</v>
      </c>
      <c r="AC1193" s="655">
        <v>0</v>
      </c>
      <c r="AD1193" s="655">
        <v>49021</v>
      </c>
      <c r="AE1193" s="655">
        <v>7065847.7199999997</v>
      </c>
      <c r="AF1193" s="655">
        <v>154704</v>
      </c>
      <c r="AG1193" s="655">
        <v>381614</v>
      </c>
      <c r="AH1193" s="655">
        <v>0</v>
      </c>
      <c r="AI1193" s="805">
        <v>951855</v>
      </c>
      <c r="AJ1193" s="655">
        <v>875047</v>
      </c>
      <c r="AK1193" s="655">
        <v>9429067.7199999988</v>
      </c>
      <c r="AL1193" s="805">
        <v>8703820</v>
      </c>
      <c r="AM1193" s="655">
        <v>725247.71999999881</v>
      </c>
    </row>
    <row r="1194" spans="1:39" x14ac:dyDescent="0.2">
      <c r="A1194" s="648">
        <v>2016</v>
      </c>
      <c r="B1194" s="648">
        <v>7</v>
      </c>
      <c r="C1194" s="657" t="s">
        <v>268</v>
      </c>
      <c r="D1194" s="648">
        <v>4437</v>
      </c>
      <c r="E1194" s="648" t="s">
        <v>1182</v>
      </c>
      <c r="F1194" s="655">
        <v>3392530</v>
      </c>
      <c r="G1194" s="655">
        <v>149569</v>
      </c>
      <c r="H1194" s="655">
        <v>44510</v>
      </c>
      <c r="I1194" s="655">
        <v>312889</v>
      </c>
      <c r="J1194" s="655">
        <v>285416</v>
      </c>
      <c r="K1194" s="655">
        <v>27589</v>
      </c>
      <c r="L1194" s="655">
        <v>36806</v>
      </c>
      <c r="M1194" s="655">
        <v>0</v>
      </c>
      <c r="N1194" s="655">
        <v>164801</v>
      </c>
      <c r="O1194" s="655">
        <v>5901</v>
      </c>
      <c r="P1194" s="655">
        <v>27899</v>
      </c>
      <c r="Q1194" s="655">
        <v>31166</v>
      </c>
      <c r="R1194" s="655">
        <v>0</v>
      </c>
      <c r="S1194" s="655">
        <v>21790</v>
      </c>
      <c r="T1194" s="655">
        <v>2501</v>
      </c>
      <c r="U1194" s="655">
        <v>147792</v>
      </c>
      <c r="V1194" s="655">
        <v>0</v>
      </c>
      <c r="W1194" s="655">
        <v>6366</v>
      </c>
      <c r="X1194" s="655">
        <v>213696.5</v>
      </c>
      <c r="Y1194" s="655">
        <v>0</v>
      </c>
      <c r="Z1194" s="655">
        <v>0</v>
      </c>
      <c r="AA1194" s="655">
        <v>0</v>
      </c>
      <c r="AB1194" s="655">
        <v>0</v>
      </c>
      <c r="AC1194" s="655">
        <v>-6621</v>
      </c>
      <c r="AD1194" s="655">
        <v>24738</v>
      </c>
      <c r="AE1194" s="655">
        <v>4839862.5</v>
      </c>
      <c r="AF1194" s="655">
        <v>109582</v>
      </c>
      <c r="AG1194" s="655">
        <v>301362</v>
      </c>
      <c r="AH1194" s="655">
        <v>0</v>
      </c>
      <c r="AI1194" s="805">
        <v>529773</v>
      </c>
      <c r="AJ1194" s="655">
        <v>1364390</v>
      </c>
      <c r="AK1194" s="655">
        <v>7144969.5</v>
      </c>
      <c r="AL1194" s="805">
        <v>5737532</v>
      </c>
      <c r="AM1194" s="655">
        <v>1407437.5</v>
      </c>
    </row>
    <row r="1195" spans="1:39" x14ac:dyDescent="0.2">
      <c r="A1195" s="648">
        <v>2016</v>
      </c>
      <c r="B1195" s="648">
        <v>10</v>
      </c>
      <c r="C1195" s="657" t="s">
        <v>269</v>
      </c>
      <c r="D1195" s="648">
        <v>4446</v>
      </c>
      <c r="E1195" s="648" t="s">
        <v>1183</v>
      </c>
      <c r="F1195" s="655">
        <v>6631645</v>
      </c>
      <c r="G1195" s="655">
        <v>0</v>
      </c>
      <c r="H1195" s="655">
        <v>152551</v>
      </c>
      <c r="I1195" s="655">
        <v>1008154</v>
      </c>
      <c r="J1195" s="655">
        <v>577795</v>
      </c>
      <c r="K1195" s="655">
        <v>55987</v>
      </c>
      <c r="L1195" s="655">
        <v>60555</v>
      </c>
      <c r="M1195" s="655">
        <v>0</v>
      </c>
      <c r="N1195" s="655">
        <v>334712</v>
      </c>
      <c r="O1195" s="655">
        <v>0</v>
      </c>
      <c r="P1195" s="655">
        <v>58056</v>
      </c>
      <c r="Q1195" s="655">
        <v>63781</v>
      </c>
      <c r="R1195" s="655">
        <v>0</v>
      </c>
      <c r="S1195" s="655">
        <v>31206</v>
      </c>
      <c r="T1195" s="655">
        <v>3627</v>
      </c>
      <c r="U1195" s="655">
        <v>245599</v>
      </c>
      <c r="V1195" s="655">
        <v>0</v>
      </c>
      <c r="W1195" s="655">
        <v>141554</v>
      </c>
      <c r="X1195" s="655">
        <v>53676.47</v>
      </c>
      <c r="Y1195" s="655">
        <v>0</v>
      </c>
      <c r="Z1195" s="655">
        <v>0</v>
      </c>
      <c r="AA1195" s="655">
        <v>0</v>
      </c>
      <c r="AB1195" s="655">
        <v>0</v>
      </c>
      <c r="AC1195" s="655">
        <v>13878</v>
      </c>
      <c r="AD1195" s="655">
        <v>48152</v>
      </c>
      <c r="AE1195" s="655">
        <v>9384624.4700000007</v>
      </c>
      <c r="AF1195" s="655">
        <v>177265</v>
      </c>
      <c r="AG1195" s="655">
        <v>505066</v>
      </c>
      <c r="AH1195" s="655">
        <v>0</v>
      </c>
      <c r="AI1195" s="805">
        <v>1943151</v>
      </c>
      <c r="AJ1195" s="655">
        <v>815493</v>
      </c>
      <c r="AK1195" s="655">
        <v>12825599.470000001</v>
      </c>
      <c r="AL1195" s="805">
        <v>11694799</v>
      </c>
      <c r="AM1195" s="655">
        <v>1130800.4700000007</v>
      </c>
    </row>
    <row r="1196" spans="1:39" x14ac:dyDescent="0.2">
      <c r="A1196" s="648">
        <v>2016</v>
      </c>
      <c r="B1196" s="648">
        <v>15</v>
      </c>
      <c r="C1196" s="657" t="s">
        <v>270</v>
      </c>
      <c r="D1196" s="648">
        <v>4491</v>
      </c>
      <c r="E1196" s="648" t="s">
        <v>1184</v>
      </c>
      <c r="F1196" s="655">
        <v>2236117</v>
      </c>
      <c r="G1196" s="655">
        <v>32910</v>
      </c>
      <c r="H1196" s="655">
        <v>122010</v>
      </c>
      <c r="I1196" s="655">
        <v>241274</v>
      </c>
      <c r="J1196" s="655">
        <v>225344</v>
      </c>
      <c r="K1196" s="655">
        <v>25254</v>
      </c>
      <c r="L1196" s="655">
        <v>28130</v>
      </c>
      <c r="M1196" s="655">
        <v>0</v>
      </c>
      <c r="N1196" s="655">
        <v>107893</v>
      </c>
      <c r="O1196" s="655">
        <v>696</v>
      </c>
      <c r="P1196" s="655">
        <v>18290</v>
      </c>
      <c r="Q1196" s="655">
        <v>20091</v>
      </c>
      <c r="R1196" s="655">
        <v>289</v>
      </c>
      <c r="S1196" s="655">
        <v>10869</v>
      </c>
      <c r="T1196" s="655">
        <v>1175</v>
      </c>
      <c r="U1196" s="655">
        <v>108210</v>
      </c>
      <c r="V1196" s="655">
        <v>0</v>
      </c>
      <c r="W1196" s="655">
        <v>46472</v>
      </c>
      <c r="X1196" s="655">
        <v>22051.85</v>
      </c>
      <c r="Y1196" s="655">
        <v>0</v>
      </c>
      <c r="Z1196" s="655">
        <v>0</v>
      </c>
      <c r="AA1196" s="655">
        <v>0</v>
      </c>
      <c r="AB1196" s="655">
        <v>0</v>
      </c>
      <c r="AC1196" s="655">
        <v>-5029</v>
      </c>
      <c r="AD1196" s="655">
        <v>14721</v>
      </c>
      <c r="AE1196" s="655">
        <v>3227325.85</v>
      </c>
      <c r="AF1196" s="655">
        <v>64460</v>
      </c>
      <c r="AG1196" s="655">
        <v>160125</v>
      </c>
      <c r="AH1196" s="655">
        <v>0</v>
      </c>
      <c r="AI1196" s="805">
        <v>951922</v>
      </c>
      <c r="AJ1196" s="655">
        <v>1272250</v>
      </c>
      <c r="AK1196" s="655">
        <v>5676082.8499999996</v>
      </c>
      <c r="AL1196" s="805">
        <v>4283456</v>
      </c>
      <c r="AM1196" s="655">
        <v>1392626.8499999996</v>
      </c>
    </row>
    <row r="1197" spans="1:39" x14ac:dyDescent="0.2">
      <c r="A1197" s="648">
        <v>2016</v>
      </c>
      <c r="B1197" s="648">
        <v>13</v>
      </c>
      <c r="C1197" s="657" t="s">
        <v>271</v>
      </c>
      <c r="D1197" s="648">
        <v>4505</v>
      </c>
      <c r="E1197" s="648" t="s">
        <v>1185</v>
      </c>
      <c r="F1197" s="655">
        <v>1573276</v>
      </c>
      <c r="G1197" s="655">
        <v>46970</v>
      </c>
      <c r="H1197" s="655">
        <v>63361</v>
      </c>
      <c r="I1197" s="655">
        <v>263473</v>
      </c>
      <c r="J1197" s="655">
        <v>140727</v>
      </c>
      <c r="K1197" s="655">
        <v>12699</v>
      </c>
      <c r="L1197" s="655">
        <v>16358</v>
      </c>
      <c r="M1197" s="655">
        <v>0</v>
      </c>
      <c r="N1197" s="655">
        <v>79828</v>
      </c>
      <c r="O1197" s="655">
        <v>4750</v>
      </c>
      <c r="P1197" s="655">
        <v>12710</v>
      </c>
      <c r="Q1197" s="655">
        <v>14058</v>
      </c>
      <c r="R1197" s="655">
        <v>0</v>
      </c>
      <c r="S1197" s="655">
        <v>8198</v>
      </c>
      <c r="T1197" s="655">
        <v>870</v>
      </c>
      <c r="U1197" s="655">
        <v>36611</v>
      </c>
      <c r="V1197" s="655">
        <v>0</v>
      </c>
      <c r="W1197" s="655">
        <v>164956</v>
      </c>
      <c r="X1197" s="655">
        <v>0</v>
      </c>
      <c r="Y1197" s="655">
        <v>0</v>
      </c>
      <c r="Z1197" s="655">
        <v>0</v>
      </c>
      <c r="AA1197" s="655">
        <v>0</v>
      </c>
      <c r="AB1197" s="655">
        <v>0</v>
      </c>
      <c r="AC1197" s="655">
        <v>0</v>
      </c>
      <c r="AD1197" s="655">
        <v>14742</v>
      </c>
      <c r="AE1197" s="655">
        <v>2424103</v>
      </c>
      <c r="AF1197" s="655">
        <v>67683</v>
      </c>
      <c r="AG1197" s="655">
        <v>124160</v>
      </c>
      <c r="AH1197" s="655">
        <v>0</v>
      </c>
      <c r="AI1197" s="805">
        <v>390235</v>
      </c>
      <c r="AJ1197" s="655">
        <v>457854</v>
      </c>
      <c r="AK1197" s="655">
        <v>3464035</v>
      </c>
      <c r="AL1197" s="805">
        <v>2936961</v>
      </c>
      <c r="AM1197" s="655">
        <v>527074</v>
      </c>
    </row>
    <row r="1198" spans="1:39" x14ac:dyDescent="0.2">
      <c r="A1198" s="648">
        <v>2016</v>
      </c>
      <c r="B1198" s="648">
        <v>15</v>
      </c>
      <c r="C1198" s="657" t="s">
        <v>272</v>
      </c>
      <c r="D1198" s="648">
        <v>4509</v>
      </c>
      <c r="E1198" s="648" t="s">
        <v>1186</v>
      </c>
      <c r="F1198" s="655">
        <v>1431012</v>
      </c>
      <c r="G1198" s="655">
        <v>0</v>
      </c>
      <c r="H1198" s="655">
        <v>70371</v>
      </c>
      <c r="I1198" s="655">
        <v>165469</v>
      </c>
      <c r="J1198" s="655">
        <v>127159</v>
      </c>
      <c r="K1198" s="655">
        <v>13891</v>
      </c>
      <c r="L1198" s="655">
        <v>18652</v>
      </c>
      <c r="M1198" s="655">
        <v>0</v>
      </c>
      <c r="N1198" s="655">
        <v>69528</v>
      </c>
      <c r="O1198" s="655">
        <v>0</v>
      </c>
      <c r="P1198" s="655">
        <v>11702</v>
      </c>
      <c r="Q1198" s="655">
        <v>12854</v>
      </c>
      <c r="R1198" s="655">
        <v>185</v>
      </c>
      <c r="S1198" s="655">
        <v>6962</v>
      </c>
      <c r="T1198" s="655">
        <v>753</v>
      </c>
      <c r="U1198" s="655">
        <v>0</v>
      </c>
      <c r="V1198" s="655">
        <v>161079</v>
      </c>
      <c r="W1198" s="655">
        <v>25464</v>
      </c>
      <c r="X1198" s="655">
        <v>156440.76999999999</v>
      </c>
      <c r="Y1198" s="655">
        <v>0</v>
      </c>
      <c r="Z1198" s="655">
        <v>0</v>
      </c>
      <c r="AA1198" s="655">
        <v>0</v>
      </c>
      <c r="AB1198" s="655">
        <v>0</v>
      </c>
      <c r="AC1198" s="655">
        <v>0</v>
      </c>
      <c r="AD1198" s="655">
        <v>10949</v>
      </c>
      <c r="AE1198" s="655">
        <v>2260572.77</v>
      </c>
      <c r="AF1198" s="655">
        <v>29007</v>
      </c>
      <c r="AG1198" s="655">
        <v>100843</v>
      </c>
      <c r="AH1198" s="655">
        <v>0</v>
      </c>
      <c r="AI1198" s="805">
        <v>318322</v>
      </c>
      <c r="AJ1198" s="655">
        <v>-161079</v>
      </c>
      <c r="AK1198" s="655">
        <v>2547665.77</v>
      </c>
      <c r="AL1198" s="805">
        <v>2445318</v>
      </c>
      <c r="AM1198" s="655">
        <v>102347.77000000002</v>
      </c>
    </row>
    <row r="1199" spans="1:39" x14ac:dyDescent="0.2">
      <c r="A1199" s="648">
        <v>2016</v>
      </c>
      <c r="B1199" s="648">
        <v>15</v>
      </c>
      <c r="C1199" s="657" t="s">
        <v>273</v>
      </c>
      <c r="D1199" s="648">
        <v>4518</v>
      </c>
      <c r="E1199" s="648" t="s">
        <v>1187</v>
      </c>
      <c r="F1199" s="655">
        <v>1369130</v>
      </c>
      <c r="G1199" s="655">
        <v>121908</v>
      </c>
      <c r="H1199" s="655">
        <v>106965</v>
      </c>
      <c r="I1199" s="655">
        <v>173268</v>
      </c>
      <c r="J1199" s="655">
        <v>143015</v>
      </c>
      <c r="K1199" s="655">
        <v>14635</v>
      </c>
      <c r="L1199" s="655">
        <v>16472</v>
      </c>
      <c r="M1199" s="655">
        <v>0</v>
      </c>
      <c r="N1199" s="655">
        <v>67173</v>
      </c>
      <c r="O1199" s="655">
        <v>2800</v>
      </c>
      <c r="P1199" s="655">
        <v>11175</v>
      </c>
      <c r="Q1199" s="655">
        <v>12275</v>
      </c>
      <c r="R1199" s="655">
        <v>180</v>
      </c>
      <c r="S1199" s="655">
        <v>7004</v>
      </c>
      <c r="T1199" s="655">
        <v>757</v>
      </c>
      <c r="U1199" s="655">
        <v>0</v>
      </c>
      <c r="V1199" s="655">
        <v>0</v>
      </c>
      <c r="W1199" s="655">
        <v>67683</v>
      </c>
      <c r="X1199" s="655">
        <v>0</v>
      </c>
      <c r="Y1199" s="655">
        <v>21778.36</v>
      </c>
      <c r="Z1199" s="655">
        <v>0</v>
      </c>
      <c r="AA1199" s="655">
        <v>0</v>
      </c>
      <c r="AB1199" s="655">
        <v>0</v>
      </c>
      <c r="AC1199" s="655">
        <v>0</v>
      </c>
      <c r="AD1199" s="655">
        <v>12939</v>
      </c>
      <c r="AE1199" s="655">
        <v>2079722.64</v>
      </c>
      <c r="AF1199" s="655">
        <v>54791</v>
      </c>
      <c r="AG1199" s="655">
        <v>109741</v>
      </c>
      <c r="AH1199" s="655">
        <v>0</v>
      </c>
      <c r="AI1199" s="805">
        <v>339747</v>
      </c>
      <c r="AJ1199" s="655">
        <v>388797</v>
      </c>
      <c r="AK1199" s="655">
        <v>2972798.6399999997</v>
      </c>
      <c r="AL1199" s="805">
        <v>2431787</v>
      </c>
      <c r="AM1199" s="655">
        <v>541011.63999999966</v>
      </c>
    </row>
    <row r="1200" spans="1:39" x14ac:dyDescent="0.2">
      <c r="A1200" s="648">
        <v>2016</v>
      </c>
      <c r="B1200" s="648">
        <v>13</v>
      </c>
      <c r="C1200" s="657" t="s">
        <v>274</v>
      </c>
      <c r="D1200" s="648">
        <v>4527</v>
      </c>
      <c r="E1200" s="648" t="s">
        <v>1189</v>
      </c>
      <c r="F1200" s="655">
        <v>4172503</v>
      </c>
      <c r="G1200" s="655">
        <v>0</v>
      </c>
      <c r="H1200" s="655">
        <v>107898</v>
      </c>
      <c r="I1200" s="655">
        <v>628778</v>
      </c>
      <c r="J1200" s="655">
        <v>410651</v>
      </c>
      <c r="K1200" s="655">
        <v>51242</v>
      </c>
      <c r="L1200" s="655">
        <v>47386</v>
      </c>
      <c r="M1200" s="655">
        <v>0</v>
      </c>
      <c r="N1200" s="655">
        <v>210969</v>
      </c>
      <c r="O1200" s="655">
        <v>0</v>
      </c>
      <c r="P1200" s="655">
        <v>34123</v>
      </c>
      <c r="Q1200" s="655">
        <v>37740</v>
      </c>
      <c r="R1200" s="655">
        <v>0</v>
      </c>
      <c r="S1200" s="655">
        <v>21665</v>
      </c>
      <c r="T1200" s="655">
        <v>2301</v>
      </c>
      <c r="U1200" s="655">
        <v>154729</v>
      </c>
      <c r="V1200" s="655">
        <v>0</v>
      </c>
      <c r="W1200" s="655">
        <v>86087</v>
      </c>
      <c r="X1200" s="655">
        <v>0</v>
      </c>
      <c r="Y1200" s="655">
        <v>0</v>
      </c>
      <c r="Z1200" s="655">
        <v>0</v>
      </c>
      <c r="AA1200" s="655">
        <v>0</v>
      </c>
      <c r="AB1200" s="655">
        <v>0</v>
      </c>
      <c r="AC1200" s="655">
        <v>0</v>
      </c>
      <c r="AD1200" s="655">
        <v>39236</v>
      </c>
      <c r="AE1200" s="655">
        <v>5926836</v>
      </c>
      <c r="AF1200" s="655">
        <v>119251</v>
      </c>
      <c r="AG1200" s="655">
        <v>333424</v>
      </c>
      <c r="AH1200" s="655">
        <v>0</v>
      </c>
      <c r="AI1200" s="805">
        <v>966289</v>
      </c>
      <c r="AJ1200" s="655">
        <v>1110759</v>
      </c>
      <c r="AK1200" s="655">
        <v>8456559</v>
      </c>
      <c r="AL1200" s="805">
        <v>7274981</v>
      </c>
      <c r="AM1200" s="655">
        <v>1181578</v>
      </c>
    </row>
    <row r="1201" spans="1:39" x14ac:dyDescent="0.2">
      <c r="A1201" s="648">
        <v>2016</v>
      </c>
      <c r="B1201" s="648">
        <v>15</v>
      </c>
      <c r="C1201" s="657" t="s">
        <v>275</v>
      </c>
      <c r="D1201" s="648">
        <v>4536</v>
      </c>
      <c r="E1201" s="648" t="s">
        <v>1190</v>
      </c>
      <c r="F1201" s="655">
        <v>12828185</v>
      </c>
      <c r="G1201" s="655">
        <v>0</v>
      </c>
      <c r="H1201" s="655">
        <v>289754</v>
      </c>
      <c r="I1201" s="655">
        <v>1761498</v>
      </c>
      <c r="J1201" s="655">
        <v>1086396</v>
      </c>
      <c r="K1201" s="655">
        <v>129993</v>
      </c>
      <c r="L1201" s="655">
        <v>145237</v>
      </c>
      <c r="M1201" s="655">
        <v>622264</v>
      </c>
      <c r="N1201" s="655">
        <v>635396</v>
      </c>
      <c r="O1201" s="655">
        <v>0</v>
      </c>
      <c r="P1201" s="655">
        <v>105104</v>
      </c>
      <c r="Q1201" s="655">
        <v>115453</v>
      </c>
      <c r="R1201" s="655">
        <v>1696</v>
      </c>
      <c r="S1201" s="655">
        <v>63623</v>
      </c>
      <c r="T1201" s="655">
        <v>6881</v>
      </c>
      <c r="U1201" s="655">
        <v>0</v>
      </c>
      <c r="V1201" s="655">
        <v>0</v>
      </c>
      <c r="W1201" s="655">
        <v>153084</v>
      </c>
      <c r="X1201" s="655">
        <v>134865.49</v>
      </c>
      <c r="Y1201" s="655">
        <v>0</v>
      </c>
      <c r="Z1201" s="655">
        <v>0</v>
      </c>
      <c r="AA1201" s="655">
        <v>0</v>
      </c>
      <c r="AB1201" s="655">
        <v>0</v>
      </c>
      <c r="AC1201" s="655">
        <v>0</v>
      </c>
      <c r="AD1201" s="655">
        <v>93333</v>
      </c>
      <c r="AE1201" s="655">
        <v>17986096.489999998</v>
      </c>
      <c r="AF1201" s="655">
        <v>364199</v>
      </c>
      <c r="AG1201" s="655">
        <v>530240</v>
      </c>
      <c r="AH1201" s="655">
        <v>0</v>
      </c>
      <c r="AI1201" s="805">
        <v>2330186</v>
      </c>
      <c r="AJ1201" s="655">
        <v>5529430</v>
      </c>
      <c r="AK1201" s="655">
        <v>26740151.489999998</v>
      </c>
      <c r="AL1201" s="805">
        <v>21777834</v>
      </c>
      <c r="AM1201" s="655">
        <v>4962317.4899999984</v>
      </c>
    </row>
    <row r="1202" spans="1:39" x14ac:dyDescent="0.2">
      <c r="A1202" s="648">
        <v>2016</v>
      </c>
      <c r="B1202" s="648">
        <v>10</v>
      </c>
      <c r="C1202" s="657" t="s">
        <v>276</v>
      </c>
      <c r="D1202" s="648">
        <v>4554</v>
      </c>
      <c r="E1202" s="648" t="s">
        <v>1191</v>
      </c>
      <c r="F1202" s="655">
        <v>6912046</v>
      </c>
      <c r="G1202" s="655">
        <v>129075</v>
      </c>
      <c r="H1202" s="655">
        <v>132556</v>
      </c>
      <c r="I1202" s="655">
        <v>560286</v>
      </c>
      <c r="J1202" s="655">
        <v>607211</v>
      </c>
      <c r="K1202" s="655">
        <v>68564</v>
      </c>
      <c r="L1202" s="655">
        <v>74500</v>
      </c>
      <c r="M1202" s="655">
        <v>0</v>
      </c>
      <c r="N1202" s="655">
        <v>327375</v>
      </c>
      <c r="O1202" s="655">
        <v>6590</v>
      </c>
      <c r="P1202" s="655">
        <v>57845</v>
      </c>
      <c r="Q1202" s="655">
        <v>63549</v>
      </c>
      <c r="R1202" s="655">
        <v>0</v>
      </c>
      <c r="S1202" s="655">
        <v>31095</v>
      </c>
      <c r="T1202" s="655">
        <v>3616</v>
      </c>
      <c r="U1202" s="655">
        <v>220822</v>
      </c>
      <c r="V1202" s="655">
        <v>614</v>
      </c>
      <c r="W1202" s="655">
        <v>212202</v>
      </c>
      <c r="X1202" s="655">
        <v>299305.27</v>
      </c>
      <c r="Y1202" s="655">
        <v>0</v>
      </c>
      <c r="Z1202" s="655">
        <v>0</v>
      </c>
      <c r="AA1202" s="655">
        <v>0</v>
      </c>
      <c r="AB1202" s="655">
        <v>0</v>
      </c>
      <c r="AC1202" s="655">
        <v>19098</v>
      </c>
      <c r="AD1202" s="655">
        <v>45951</v>
      </c>
      <c r="AE1202" s="655">
        <v>9680398.2699999996</v>
      </c>
      <c r="AF1202" s="655">
        <v>161190</v>
      </c>
      <c r="AG1202" s="655">
        <v>494216</v>
      </c>
      <c r="AH1202" s="655">
        <v>0</v>
      </c>
      <c r="AI1202" s="805">
        <v>2545493</v>
      </c>
      <c r="AJ1202" s="655">
        <v>3120566</v>
      </c>
      <c r="AK1202" s="655">
        <v>16001863.27</v>
      </c>
      <c r="AL1202" s="805">
        <v>12746169</v>
      </c>
      <c r="AM1202" s="655">
        <v>3255694.2699999996</v>
      </c>
    </row>
    <row r="1203" spans="1:39" x14ac:dyDescent="0.2">
      <c r="A1203" s="648">
        <v>2016</v>
      </c>
      <c r="B1203" s="648">
        <v>13</v>
      </c>
      <c r="C1203" s="657" t="s">
        <v>277</v>
      </c>
      <c r="D1203" s="648">
        <v>4572</v>
      </c>
      <c r="E1203" s="648" t="s">
        <v>1192</v>
      </c>
      <c r="F1203" s="655">
        <v>1652754</v>
      </c>
      <c r="G1203" s="655">
        <v>87112</v>
      </c>
      <c r="H1203" s="655">
        <v>95942</v>
      </c>
      <c r="I1203" s="655">
        <v>227350</v>
      </c>
      <c r="J1203" s="655">
        <v>176953</v>
      </c>
      <c r="K1203" s="655">
        <v>17540</v>
      </c>
      <c r="L1203" s="655">
        <v>21610</v>
      </c>
      <c r="M1203" s="655">
        <v>0</v>
      </c>
      <c r="N1203" s="655">
        <v>82651</v>
      </c>
      <c r="O1203" s="655">
        <v>4926</v>
      </c>
      <c r="P1203" s="655">
        <v>13501</v>
      </c>
      <c r="Q1203" s="655">
        <v>14932</v>
      </c>
      <c r="R1203" s="655">
        <v>0</v>
      </c>
      <c r="S1203" s="655">
        <v>8765</v>
      </c>
      <c r="T1203" s="655">
        <v>930</v>
      </c>
      <c r="U1203" s="655">
        <v>27658</v>
      </c>
      <c r="V1203" s="655">
        <v>0</v>
      </c>
      <c r="W1203" s="655">
        <v>22561</v>
      </c>
      <c r="X1203" s="655">
        <v>0</v>
      </c>
      <c r="Y1203" s="655">
        <v>42271.79</v>
      </c>
      <c r="Z1203" s="655">
        <v>0</v>
      </c>
      <c r="AA1203" s="655">
        <v>0</v>
      </c>
      <c r="AB1203" s="655">
        <v>0</v>
      </c>
      <c r="AC1203" s="655">
        <v>0</v>
      </c>
      <c r="AD1203" s="655">
        <v>15048</v>
      </c>
      <c r="AE1203" s="655">
        <v>2397865.21</v>
      </c>
      <c r="AF1203" s="655">
        <v>64460</v>
      </c>
      <c r="AG1203" s="655">
        <v>116971</v>
      </c>
      <c r="AH1203" s="655">
        <v>0</v>
      </c>
      <c r="AI1203" s="805">
        <v>894789</v>
      </c>
      <c r="AJ1203" s="655">
        <v>3330958</v>
      </c>
      <c r="AK1203" s="655">
        <v>6805043.21</v>
      </c>
      <c r="AL1203" s="805">
        <v>3308609</v>
      </c>
      <c r="AM1203" s="655">
        <v>3496434.21</v>
      </c>
    </row>
    <row r="1204" spans="1:39" x14ac:dyDescent="0.2">
      <c r="A1204" s="648">
        <v>2016</v>
      </c>
      <c r="B1204" s="648">
        <v>9</v>
      </c>
      <c r="C1204" s="657" t="s">
        <v>278</v>
      </c>
      <c r="D1204" s="648">
        <v>4581</v>
      </c>
      <c r="E1204" s="648" t="s">
        <v>1193</v>
      </c>
      <c r="F1204" s="655">
        <v>34346866</v>
      </c>
      <c r="G1204" s="655">
        <v>15809</v>
      </c>
      <c r="H1204" s="655">
        <v>836820</v>
      </c>
      <c r="I1204" s="655">
        <v>4444775</v>
      </c>
      <c r="J1204" s="655">
        <v>2893694</v>
      </c>
      <c r="K1204" s="655">
        <v>315761</v>
      </c>
      <c r="L1204" s="655">
        <v>389293</v>
      </c>
      <c r="M1204" s="655">
        <v>1666084</v>
      </c>
      <c r="N1204" s="655">
        <v>1711081</v>
      </c>
      <c r="O1204" s="655">
        <v>0</v>
      </c>
      <c r="P1204" s="655">
        <v>286082</v>
      </c>
      <c r="Q1204" s="655">
        <v>312105</v>
      </c>
      <c r="R1204" s="655">
        <v>0</v>
      </c>
      <c r="S1204" s="655">
        <v>153939</v>
      </c>
      <c r="T1204" s="655">
        <v>18054</v>
      </c>
      <c r="U1204" s="655">
        <v>1109183</v>
      </c>
      <c r="V1204" s="655">
        <v>601790</v>
      </c>
      <c r="W1204" s="655">
        <v>472999</v>
      </c>
      <c r="X1204" s="655">
        <v>0</v>
      </c>
      <c r="Y1204" s="655">
        <v>0</v>
      </c>
      <c r="Z1204" s="655">
        <v>0</v>
      </c>
      <c r="AA1204" s="655">
        <v>0</v>
      </c>
      <c r="AB1204" s="655">
        <v>0</v>
      </c>
      <c r="AC1204" s="655">
        <v>82121</v>
      </c>
      <c r="AD1204" s="655">
        <v>253669</v>
      </c>
      <c r="AE1204" s="655">
        <v>49402787</v>
      </c>
      <c r="AF1204" s="655">
        <v>883022</v>
      </c>
      <c r="AG1204" s="655">
        <v>2252817</v>
      </c>
      <c r="AH1204" s="655">
        <v>0</v>
      </c>
      <c r="AI1204" s="805">
        <v>4011489</v>
      </c>
      <c r="AJ1204" s="655">
        <v>6982132</v>
      </c>
      <c r="AK1204" s="655">
        <v>63532247</v>
      </c>
      <c r="AL1204" s="805">
        <v>54828102</v>
      </c>
      <c r="AM1204" s="655">
        <v>8704145</v>
      </c>
    </row>
    <row r="1205" spans="1:39" x14ac:dyDescent="0.2">
      <c r="A1205" s="648">
        <v>2016</v>
      </c>
      <c r="B1205" s="648">
        <v>7</v>
      </c>
      <c r="C1205" s="657" t="s">
        <v>279</v>
      </c>
      <c r="D1205" s="648">
        <v>4599</v>
      </c>
      <c r="E1205" s="648" t="s">
        <v>644</v>
      </c>
      <c r="F1205" s="655">
        <v>4094815</v>
      </c>
      <c r="G1205" s="655">
        <v>134438</v>
      </c>
      <c r="H1205" s="655">
        <v>76401</v>
      </c>
      <c r="I1205" s="655">
        <v>423253</v>
      </c>
      <c r="J1205" s="655">
        <v>346309</v>
      </c>
      <c r="K1205" s="655">
        <v>39340</v>
      </c>
      <c r="L1205" s="655">
        <v>34072</v>
      </c>
      <c r="M1205" s="655">
        <v>0</v>
      </c>
      <c r="N1205" s="655">
        <v>197512</v>
      </c>
      <c r="O1205" s="655">
        <v>3461</v>
      </c>
      <c r="P1205" s="655">
        <v>33203</v>
      </c>
      <c r="Q1205" s="655">
        <v>37091</v>
      </c>
      <c r="R1205" s="655">
        <v>0</v>
      </c>
      <c r="S1205" s="655">
        <v>25654</v>
      </c>
      <c r="T1205" s="655">
        <v>2945</v>
      </c>
      <c r="U1205" s="655">
        <v>61406</v>
      </c>
      <c r="V1205" s="655">
        <v>0</v>
      </c>
      <c r="W1205" s="655">
        <v>49476</v>
      </c>
      <c r="X1205" s="655">
        <v>24389.23</v>
      </c>
      <c r="Y1205" s="655">
        <v>0</v>
      </c>
      <c r="Z1205" s="655">
        <v>0</v>
      </c>
      <c r="AA1205" s="655">
        <v>0</v>
      </c>
      <c r="AB1205" s="655">
        <v>0</v>
      </c>
      <c r="AC1205" s="655">
        <v>0</v>
      </c>
      <c r="AD1205" s="655">
        <v>37009</v>
      </c>
      <c r="AE1205" s="655">
        <v>5546756.2300000004</v>
      </c>
      <c r="AF1205" s="655">
        <v>190157</v>
      </c>
      <c r="AG1205" s="655">
        <v>336817</v>
      </c>
      <c r="AH1205" s="655">
        <v>0</v>
      </c>
      <c r="AI1205" s="805">
        <v>612840</v>
      </c>
      <c r="AJ1205" s="655">
        <v>1311553</v>
      </c>
      <c r="AK1205" s="655">
        <v>7998123.2300000004</v>
      </c>
      <c r="AL1205" s="805">
        <v>6727018</v>
      </c>
      <c r="AM1205" s="655">
        <v>1271105.2300000004</v>
      </c>
    </row>
    <row r="1206" spans="1:39" x14ac:dyDescent="0.2">
      <c r="A1206" s="648">
        <v>2016</v>
      </c>
      <c r="B1206" s="648">
        <v>11</v>
      </c>
      <c r="C1206" s="657" t="s">
        <v>280</v>
      </c>
      <c r="D1206" s="648">
        <v>4617</v>
      </c>
      <c r="E1206" s="648" t="s">
        <v>1194</v>
      </c>
      <c r="F1206" s="655">
        <v>10136980</v>
      </c>
      <c r="G1206" s="655">
        <v>0</v>
      </c>
      <c r="H1206" s="655">
        <v>117523</v>
      </c>
      <c r="I1206" s="655">
        <v>961550</v>
      </c>
      <c r="J1206" s="655">
        <v>868578</v>
      </c>
      <c r="K1206" s="655">
        <v>105616</v>
      </c>
      <c r="L1206" s="655">
        <v>118794</v>
      </c>
      <c r="M1206" s="655">
        <v>0</v>
      </c>
      <c r="N1206" s="655">
        <v>474020</v>
      </c>
      <c r="O1206" s="655">
        <v>0</v>
      </c>
      <c r="P1206" s="655">
        <v>83334</v>
      </c>
      <c r="Q1206" s="655">
        <v>91476</v>
      </c>
      <c r="R1206" s="655">
        <v>0</v>
      </c>
      <c r="S1206" s="655">
        <v>38843</v>
      </c>
      <c r="T1206" s="655">
        <v>4941</v>
      </c>
      <c r="U1206" s="655">
        <v>500559</v>
      </c>
      <c r="V1206" s="655">
        <v>74427</v>
      </c>
      <c r="W1206" s="655">
        <v>139736</v>
      </c>
      <c r="X1206" s="655">
        <v>450753.54</v>
      </c>
      <c r="Y1206" s="655">
        <v>0</v>
      </c>
      <c r="Z1206" s="655">
        <v>0</v>
      </c>
      <c r="AA1206" s="655">
        <v>0</v>
      </c>
      <c r="AB1206" s="655">
        <v>0</v>
      </c>
      <c r="AC1206" s="655">
        <v>-446</v>
      </c>
      <c r="AD1206" s="655">
        <v>69114</v>
      </c>
      <c r="AE1206" s="655">
        <v>14097570.539999999</v>
      </c>
      <c r="AF1206" s="655">
        <v>302962</v>
      </c>
      <c r="AG1206" s="655">
        <v>681813</v>
      </c>
      <c r="AH1206" s="655">
        <v>0</v>
      </c>
      <c r="AI1206" s="805">
        <v>2640669</v>
      </c>
      <c r="AJ1206" s="655">
        <v>5674026</v>
      </c>
      <c r="AK1206" s="655">
        <v>23397040.539999999</v>
      </c>
      <c r="AL1206" s="805">
        <v>17601455</v>
      </c>
      <c r="AM1206" s="655">
        <v>5795585.5399999991</v>
      </c>
    </row>
    <row r="1207" spans="1:39" x14ac:dyDescent="0.2">
      <c r="A1207" s="648">
        <v>2016</v>
      </c>
      <c r="B1207" s="648">
        <v>5</v>
      </c>
      <c r="C1207" s="657" t="s">
        <v>281</v>
      </c>
      <c r="D1207" s="648">
        <v>4644</v>
      </c>
      <c r="E1207" s="648" t="s">
        <v>645</v>
      </c>
      <c r="F1207" s="655">
        <v>3030933</v>
      </c>
      <c r="G1207" s="655">
        <v>103015</v>
      </c>
      <c r="H1207" s="655">
        <v>209963</v>
      </c>
      <c r="I1207" s="655">
        <v>277607</v>
      </c>
      <c r="J1207" s="655">
        <v>268620</v>
      </c>
      <c r="K1207" s="655">
        <v>28602</v>
      </c>
      <c r="L1207" s="655">
        <v>34615</v>
      </c>
      <c r="M1207" s="655">
        <v>0</v>
      </c>
      <c r="N1207" s="655">
        <v>148502</v>
      </c>
      <c r="O1207" s="655">
        <v>3207</v>
      </c>
      <c r="P1207" s="655">
        <v>24952</v>
      </c>
      <c r="Q1207" s="655">
        <v>28026</v>
      </c>
      <c r="R1207" s="655">
        <v>446</v>
      </c>
      <c r="S1207" s="655">
        <v>16164</v>
      </c>
      <c r="T1207" s="655">
        <v>1926</v>
      </c>
      <c r="U1207" s="655">
        <v>74846</v>
      </c>
      <c r="V1207" s="655">
        <v>0</v>
      </c>
      <c r="W1207" s="655">
        <v>44439</v>
      </c>
      <c r="X1207" s="655">
        <v>0</v>
      </c>
      <c r="Y1207" s="655">
        <v>0</v>
      </c>
      <c r="Z1207" s="655">
        <v>0</v>
      </c>
      <c r="AA1207" s="655">
        <v>0</v>
      </c>
      <c r="AB1207" s="655">
        <v>0</v>
      </c>
      <c r="AC1207" s="655">
        <v>32275</v>
      </c>
      <c r="AD1207" s="655">
        <v>22754</v>
      </c>
      <c r="AE1207" s="655">
        <v>4305384</v>
      </c>
      <c r="AF1207" s="655">
        <v>109582</v>
      </c>
      <c r="AG1207" s="655">
        <v>266072</v>
      </c>
      <c r="AH1207" s="655">
        <v>0</v>
      </c>
      <c r="AI1207" s="805">
        <v>676559</v>
      </c>
      <c r="AJ1207" s="655">
        <v>2632210</v>
      </c>
      <c r="AK1207" s="655">
        <v>7989807</v>
      </c>
      <c r="AL1207" s="805">
        <v>5321433</v>
      </c>
      <c r="AM1207" s="655">
        <v>2668374</v>
      </c>
    </row>
    <row r="1208" spans="1:39" x14ac:dyDescent="0.2">
      <c r="A1208" s="648">
        <v>2016</v>
      </c>
      <c r="B1208" s="648">
        <v>1</v>
      </c>
      <c r="C1208" s="657" t="s">
        <v>282</v>
      </c>
      <c r="D1208" s="648">
        <v>4662</v>
      </c>
      <c r="E1208" s="648" t="s">
        <v>1195</v>
      </c>
      <c r="F1208" s="655">
        <v>6254554</v>
      </c>
      <c r="G1208" s="655">
        <v>60015</v>
      </c>
      <c r="H1208" s="655">
        <v>177149</v>
      </c>
      <c r="I1208" s="655">
        <v>757276</v>
      </c>
      <c r="J1208" s="655">
        <v>543853</v>
      </c>
      <c r="K1208" s="655">
        <v>60246</v>
      </c>
      <c r="L1208" s="655">
        <v>48573</v>
      </c>
      <c r="M1208" s="655">
        <v>0</v>
      </c>
      <c r="N1208" s="655">
        <v>323691</v>
      </c>
      <c r="O1208" s="655">
        <v>665</v>
      </c>
      <c r="P1208" s="655">
        <v>58364</v>
      </c>
      <c r="Q1208" s="655">
        <v>65135</v>
      </c>
      <c r="R1208" s="655">
        <v>0</v>
      </c>
      <c r="S1208" s="655">
        <v>31897</v>
      </c>
      <c r="T1208" s="655">
        <v>3408</v>
      </c>
      <c r="U1208" s="655">
        <v>308846</v>
      </c>
      <c r="V1208" s="655">
        <v>0</v>
      </c>
      <c r="W1208" s="655">
        <v>77610</v>
      </c>
      <c r="X1208" s="655">
        <v>432712</v>
      </c>
      <c r="Y1208" s="655">
        <v>0</v>
      </c>
      <c r="Z1208" s="655">
        <v>0</v>
      </c>
      <c r="AA1208" s="655">
        <v>0</v>
      </c>
      <c r="AB1208" s="655">
        <v>0</v>
      </c>
      <c r="AC1208" s="655">
        <v>0</v>
      </c>
      <c r="AD1208" s="655">
        <v>58022</v>
      </c>
      <c r="AE1208" s="655">
        <v>9145972</v>
      </c>
      <c r="AF1208" s="655">
        <v>196603</v>
      </c>
      <c r="AG1208" s="655">
        <v>524741</v>
      </c>
      <c r="AH1208" s="655">
        <v>0</v>
      </c>
      <c r="AI1208" s="805">
        <v>1123781</v>
      </c>
      <c r="AJ1208" s="655">
        <v>1137772</v>
      </c>
      <c r="AK1208" s="655">
        <v>12128869</v>
      </c>
      <c r="AL1208" s="805">
        <v>10646821</v>
      </c>
      <c r="AM1208" s="655">
        <v>1482048</v>
      </c>
    </row>
    <row r="1209" spans="1:39" x14ac:dyDescent="0.2">
      <c r="A1209" s="648">
        <v>2016</v>
      </c>
      <c r="B1209" s="648">
        <v>15</v>
      </c>
      <c r="C1209" s="657" t="s">
        <v>283</v>
      </c>
      <c r="D1209" s="648">
        <v>4689</v>
      </c>
      <c r="E1209" s="648" t="s">
        <v>1196</v>
      </c>
      <c r="F1209" s="655">
        <v>3164341</v>
      </c>
      <c r="G1209" s="655">
        <v>215731</v>
      </c>
      <c r="H1209" s="655">
        <v>69746</v>
      </c>
      <c r="I1209" s="655">
        <v>438264</v>
      </c>
      <c r="J1209" s="655">
        <v>299497</v>
      </c>
      <c r="K1209" s="655">
        <v>31395</v>
      </c>
      <c r="L1209" s="655">
        <v>35621</v>
      </c>
      <c r="M1209" s="655">
        <v>0</v>
      </c>
      <c r="N1209" s="655">
        <v>156897</v>
      </c>
      <c r="O1209" s="655">
        <v>10476</v>
      </c>
      <c r="P1209" s="655">
        <v>26091</v>
      </c>
      <c r="Q1209" s="655">
        <v>28661</v>
      </c>
      <c r="R1209" s="655">
        <v>418</v>
      </c>
      <c r="S1209" s="655">
        <v>16753</v>
      </c>
      <c r="T1209" s="655">
        <v>1811</v>
      </c>
      <c r="U1209" s="655">
        <v>50536</v>
      </c>
      <c r="V1209" s="655">
        <v>0</v>
      </c>
      <c r="W1209" s="655">
        <v>56637</v>
      </c>
      <c r="X1209" s="655">
        <v>0</v>
      </c>
      <c r="Y1209" s="655">
        <v>49999.97</v>
      </c>
      <c r="Z1209" s="655">
        <v>0</v>
      </c>
      <c r="AA1209" s="655">
        <v>0</v>
      </c>
      <c r="AB1209" s="655">
        <v>0</v>
      </c>
      <c r="AC1209" s="655">
        <v>-5920</v>
      </c>
      <c r="AD1209" s="655">
        <v>25009</v>
      </c>
      <c r="AE1209" s="655">
        <v>4521946.03</v>
      </c>
      <c r="AF1209" s="655">
        <v>67683</v>
      </c>
      <c r="AG1209" s="655">
        <v>217575</v>
      </c>
      <c r="AH1209" s="655">
        <v>0</v>
      </c>
      <c r="AI1209" s="805">
        <v>1104042</v>
      </c>
      <c r="AJ1209" s="655">
        <v>1481695</v>
      </c>
      <c r="AK1209" s="655">
        <v>7392941.0300000003</v>
      </c>
      <c r="AL1209" s="805">
        <v>5995477</v>
      </c>
      <c r="AM1209" s="655">
        <v>1397464.0300000003</v>
      </c>
    </row>
    <row r="1210" spans="1:39" x14ac:dyDescent="0.2">
      <c r="A1210" s="648">
        <v>2016</v>
      </c>
      <c r="B1210" s="648">
        <v>11</v>
      </c>
      <c r="C1210" s="657" t="s">
        <v>284</v>
      </c>
      <c r="D1210" s="648">
        <v>4725</v>
      </c>
      <c r="E1210" s="648" t="s">
        <v>1197</v>
      </c>
      <c r="F1210" s="655">
        <v>19042129</v>
      </c>
      <c r="G1210" s="655">
        <v>264211</v>
      </c>
      <c r="H1210" s="655">
        <v>328868</v>
      </c>
      <c r="I1210" s="655">
        <v>2455281</v>
      </c>
      <c r="J1210" s="655">
        <v>1614882</v>
      </c>
      <c r="K1210" s="655">
        <v>179471</v>
      </c>
      <c r="L1210" s="655">
        <v>210970</v>
      </c>
      <c r="M1210" s="655">
        <v>0</v>
      </c>
      <c r="N1210" s="655">
        <v>918159</v>
      </c>
      <c r="O1210" s="655">
        <v>4931</v>
      </c>
      <c r="P1210" s="655">
        <v>160303</v>
      </c>
      <c r="Q1210" s="655">
        <v>175964</v>
      </c>
      <c r="R1210" s="655">
        <v>0</v>
      </c>
      <c r="S1210" s="655">
        <v>75390</v>
      </c>
      <c r="T1210" s="655">
        <v>9611</v>
      </c>
      <c r="U1210" s="655">
        <v>434752</v>
      </c>
      <c r="V1210" s="655">
        <v>0</v>
      </c>
      <c r="W1210" s="655">
        <v>195402</v>
      </c>
      <c r="X1210" s="655">
        <v>616851.11</v>
      </c>
      <c r="Y1210" s="655">
        <v>0</v>
      </c>
      <c r="Z1210" s="655">
        <v>0</v>
      </c>
      <c r="AA1210" s="655">
        <v>0</v>
      </c>
      <c r="AB1210" s="655">
        <v>0</v>
      </c>
      <c r="AC1210" s="655">
        <v>-13369</v>
      </c>
      <c r="AD1210" s="655">
        <v>154889</v>
      </c>
      <c r="AE1210" s="655">
        <v>26518917.109999999</v>
      </c>
      <c r="AF1210" s="655">
        <v>296516</v>
      </c>
      <c r="AG1210" s="655">
        <v>1305688</v>
      </c>
      <c r="AH1210" s="655">
        <v>0</v>
      </c>
      <c r="AI1210" s="805">
        <v>1591650</v>
      </c>
      <c r="AJ1210" s="655">
        <v>5614349</v>
      </c>
      <c r="AK1210" s="655">
        <v>35327120.109999999</v>
      </c>
      <c r="AL1210" s="805">
        <v>30635600</v>
      </c>
      <c r="AM1210" s="655">
        <v>4691520.1099999994</v>
      </c>
    </row>
    <row r="1211" spans="1:39" x14ac:dyDescent="0.2">
      <c r="A1211" s="648">
        <v>2016</v>
      </c>
      <c r="B1211" s="648">
        <v>7</v>
      </c>
      <c r="C1211" s="657" t="s">
        <v>285</v>
      </c>
      <c r="D1211" s="648">
        <v>4772</v>
      </c>
      <c r="E1211" s="648" t="s">
        <v>1479</v>
      </c>
      <c r="F1211" s="655">
        <v>5319984</v>
      </c>
      <c r="G1211" s="655">
        <v>126230</v>
      </c>
      <c r="H1211" s="655">
        <v>61329</v>
      </c>
      <c r="I1211" s="655">
        <v>550573</v>
      </c>
      <c r="J1211" s="655">
        <v>488697</v>
      </c>
      <c r="K1211" s="655">
        <v>54826</v>
      </c>
      <c r="L1211" s="655">
        <v>49612</v>
      </c>
      <c r="M1211" s="655">
        <v>0</v>
      </c>
      <c r="N1211" s="655">
        <v>260048</v>
      </c>
      <c r="O1211" s="655">
        <v>14916</v>
      </c>
      <c r="P1211" s="655">
        <v>45349</v>
      </c>
      <c r="Q1211" s="655">
        <v>50659</v>
      </c>
      <c r="R1211" s="655">
        <v>0</v>
      </c>
      <c r="S1211" s="655">
        <v>33942</v>
      </c>
      <c r="T1211" s="655">
        <v>3897</v>
      </c>
      <c r="U1211" s="655">
        <v>122165</v>
      </c>
      <c r="V1211" s="655">
        <v>0</v>
      </c>
      <c r="W1211" s="655">
        <v>184614</v>
      </c>
      <c r="X1211" s="655">
        <v>150249.78</v>
      </c>
      <c r="Y1211" s="655">
        <v>0</v>
      </c>
      <c r="Z1211" s="655">
        <v>0</v>
      </c>
      <c r="AA1211" s="655">
        <v>0</v>
      </c>
      <c r="AB1211" s="655">
        <v>0</v>
      </c>
      <c r="AC1211" s="655">
        <v>0</v>
      </c>
      <c r="AD1211" s="655">
        <v>46457</v>
      </c>
      <c r="AE1211" s="655">
        <v>7470633.7800000003</v>
      </c>
      <c r="AF1211" s="655">
        <v>103136</v>
      </c>
      <c r="AG1211" s="655">
        <v>443703</v>
      </c>
      <c r="AH1211" s="655">
        <v>0</v>
      </c>
      <c r="AI1211" s="805">
        <v>1527980</v>
      </c>
      <c r="AJ1211" s="655">
        <v>1355779</v>
      </c>
      <c r="AK1211" s="655">
        <v>10901231.780000001</v>
      </c>
      <c r="AL1211" s="805">
        <v>9363011</v>
      </c>
      <c r="AM1211" s="655">
        <v>1538220.7800000012</v>
      </c>
    </row>
    <row r="1212" spans="1:39" x14ac:dyDescent="0.2">
      <c r="A1212" s="648">
        <v>2016</v>
      </c>
      <c r="B1212" s="648">
        <v>9</v>
      </c>
      <c r="C1212" s="657" t="s">
        <v>286</v>
      </c>
      <c r="D1212" s="648">
        <v>4773</v>
      </c>
      <c r="E1212" s="648" t="s">
        <v>1198</v>
      </c>
      <c r="F1212" s="655">
        <v>3657919</v>
      </c>
      <c r="G1212" s="655">
        <v>0</v>
      </c>
      <c r="H1212" s="655">
        <v>57755</v>
      </c>
      <c r="I1212" s="655">
        <v>353448</v>
      </c>
      <c r="J1212" s="655">
        <v>336555</v>
      </c>
      <c r="K1212" s="655">
        <v>37939</v>
      </c>
      <c r="L1212" s="655">
        <v>40640</v>
      </c>
      <c r="M1212" s="655">
        <v>0</v>
      </c>
      <c r="N1212" s="655">
        <v>173706</v>
      </c>
      <c r="O1212" s="655">
        <v>0</v>
      </c>
      <c r="P1212" s="655">
        <v>29796</v>
      </c>
      <c r="Q1212" s="655">
        <v>32506</v>
      </c>
      <c r="R1212" s="655">
        <v>0</v>
      </c>
      <c r="S1212" s="655">
        <v>15628</v>
      </c>
      <c r="T1212" s="655">
        <v>1833</v>
      </c>
      <c r="U1212" s="655">
        <v>155374</v>
      </c>
      <c r="V1212" s="655">
        <v>0</v>
      </c>
      <c r="W1212" s="655">
        <v>63195</v>
      </c>
      <c r="X1212" s="655">
        <v>58524.7</v>
      </c>
      <c r="Y1212" s="655">
        <v>0</v>
      </c>
      <c r="Z1212" s="655">
        <v>0</v>
      </c>
      <c r="AA1212" s="655">
        <v>0</v>
      </c>
      <c r="AB1212" s="655">
        <v>0</v>
      </c>
      <c r="AC1212" s="655">
        <v>0</v>
      </c>
      <c r="AD1212" s="655">
        <v>30807</v>
      </c>
      <c r="AE1212" s="655">
        <v>4984011.7</v>
      </c>
      <c r="AF1212" s="655">
        <v>109582</v>
      </c>
      <c r="AG1212" s="655">
        <v>284550</v>
      </c>
      <c r="AH1212" s="655">
        <v>0</v>
      </c>
      <c r="AI1212" s="805">
        <v>3525700</v>
      </c>
      <c r="AJ1212" s="655">
        <v>1463056</v>
      </c>
      <c r="AK1212" s="655">
        <v>10366899.699999999</v>
      </c>
      <c r="AL1212" s="805">
        <v>8873611</v>
      </c>
      <c r="AM1212" s="655">
        <v>1493288.6999999993</v>
      </c>
    </row>
    <row r="1213" spans="1:39" x14ac:dyDescent="0.2">
      <c r="A1213" s="648">
        <v>2016</v>
      </c>
      <c r="B1213" s="648">
        <v>1</v>
      </c>
      <c r="C1213" s="657" t="s">
        <v>287</v>
      </c>
      <c r="D1213" s="648">
        <v>4774</v>
      </c>
      <c r="E1213" s="648" t="s">
        <v>1199</v>
      </c>
      <c r="F1213" s="655">
        <v>5346352</v>
      </c>
      <c r="G1213" s="655">
        <v>112197</v>
      </c>
      <c r="H1213" s="655">
        <v>203266</v>
      </c>
      <c r="I1213" s="655">
        <v>791575</v>
      </c>
      <c r="J1213" s="655">
        <v>464164</v>
      </c>
      <c r="K1213" s="655">
        <v>50771</v>
      </c>
      <c r="L1213" s="655">
        <v>49022</v>
      </c>
      <c r="M1213" s="655">
        <v>0</v>
      </c>
      <c r="N1213" s="655">
        <v>278085</v>
      </c>
      <c r="O1213" s="655">
        <v>6870</v>
      </c>
      <c r="P1213" s="655">
        <v>43256</v>
      </c>
      <c r="Q1213" s="655">
        <v>48275</v>
      </c>
      <c r="R1213" s="655">
        <v>0</v>
      </c>
      <c r="S1213" s="655">
        <v>27363</v>
      </c>
      <c r="T1213" s="655">
        <v>2925</v>
      </c>
      <c r="U1213" s="655">
        <v>253499</v>
      </c>
      <c r="V1213" s="655">
        <v>0</v>
      </c>
      <c r="W1213" s="655">
        <v>58739</v>
      </c>
      <c r="X1213" s="655">
        <v>191952.22</v>
      </c>
      <c r="Y1213" s="655">
        <v>0</v>
      </c>
      <c r="Z1213" s="655">
        <v>0</v>
      </c>
      <c r="AA1213" s="655">
        <v>0</v>
      </c>
      <c r="AB1213" s="655">
        <v>0</v>
      </c>
      <c r="AC1213" s="655">
        <v>51904</v>
      </c>
      <c r="AD1213" s="655">
        <v>52809</v>
      </c>
      <c r="AE1213" s="655">
        <v>7927406.2199999997</v>
      </c>
      <c r="AF1213" s="655">
        <v>132143</v>
      </c>
      <c r="AG1213" s="655">
        <v>415396</v>
      </c>
      <c r="AH1213" s="655">
        <v>0</v>
      </c>
      <c r="AI1213" s="805">
        <v>2262100</v>
      </c>
      <c r="AJ1213" s="655">
        <v>2561369</v>
      </c>
      <c r="AK1213" s="655">
        <v>13298414.219999999</v>
      </c>
      <c r="AL1213" s="805">
        <v>10520996</v>
      </c>
      <c r="AM1213" s="655">
        <v>2777418.2199999988</v>
      </c>
    </row>
    <row r="1214" spans="1:39" x14ac:dyDescent="0.2">
      <c r="A1214" s="648">
        <v>2016</v>
      </c>
      <c r="B1214" s="648">
        <v>5</v>
      </c>
      <c r="C1214" s="657" t="s">
        <v>288</v>
      </c>
      <c r="D1214" s="648">
        <v>4775</v>
      </c>
      <c r="E1214" s="648" t="s">
        <v>1200</v>
      </c>
      <c r="F1214" s="655">
        <v>1402592</v>
      </c>
      <c r="G1214" s="655">
        <v>0</v>
      </c>
      <c r="H1214" s="655">
        <v>186909</v>
      </c>
      <c r="I1214" s="655">
        <v>171685</v>
      </c>
      <c r="J1214" s="655">
        <v>136017</v>
      </c>
      <c r="K1214" s="655">
        <v>14554</v>
      </c>
      <c r="L1214" s="655">
        <v>13551</v>
      </c>
      <c r="M1214" s="655">
        <v>0</v>
      </c>
      <c r="N1214" s="655">
        <v>69795</v>
      </c>
      <c r="O1214" s="655">
        <v>12963</v>
      </c>
      <c r="P1214" s="655">
        <v>11361</v>
      </c>
      <c r="Q1214" s="655">
        <v>12761</v>
      </c>
      <c r="R1214" s="655">
        <v>208</v>
      </c>
      <c r="S1214" s="655">
        <v>7434</v>
      </c>
      <c r="T1214" s="655">
        <v>885</v>
      </c>
      <c r="U1214" s="655">
        <v>12379</v>
      </c>
      <c r="V1214" s="655">
        <v>0</v>
      </c>
      <c r="W1214" s="655">
        <v>31830</v>
      </c>
      <c r="X1214" s="655">
        <v>0</v>
      </c>
      <c r="Y1214" s="655">
        <v>0</v>
      </c>
      <c r="Z1214" s="655">
        <v>0</v>
      </c>
      <c r="AA1214" s="655">
        <v>0</v>
      </c>
      <c r="AB1214" s="655">
        <v>0</v>
      </c>
      <c r="AC1214" s="655">
        <v>-4248</v>
      </c>
      <c r="AD1214" s="655">
        <v>14615</v>
      </c>
      <c r="AE1214" s="655">
        <v>2066061</v>
      </c>
      <c r="AF1214" s="655">
        <v>35453</v>
      </c>
      <c r="AG1214" s="655">
        <v>128337</v>
      </c>
      <c r="AH1214" s="655">
        <v>0</v>
      </c>
      <c r="AI1214" s="805">
        <v>292968</v>
      </c>
      <c r="AJ1214" s="655">
        <v>294519</v>
      </c>
      <c r="AK1214" s="655">
        <v>2817338</v>
      </c>
      <c r="AL1214" s="805">
        <v>2441266</v>
      </c>
      <c r="AM1214" s="655">
        <v>376072</v>
      </c>
    </row>
    <row r="1215" spans="1:39" x14ac:dyDescent="0.2">
      <c r="A1215" s="648">
        <v>2016</v>
      </c>
      <c r="B1215" s="648">
        <v>15</v>
      </c>
      <c r="C1215" s="657" t="s">
        <v>289</v>
      </c>
      <c r="D1215" s="648">
        <v>4776</v>
      </c>
      <c r="E1215" s="648" t="s">
        <v>1201</v>
      </c>
      <c r="F1215" s="655">
        <v>3174240</v>
      </c>
      <c r="G1215" s="655">
        <v>76098</v>
      </c>
      <c r="H1215" s="655">
        <v>55800</v>
      </c>
      <c r="I1215" s="655">
        <v>481360</v>
      </c>
      <c r="J1215" s="655">
        <v>284733</v>
      </c>
      <c r="K1215" s="655">
        <v>30487</v>
      </c>
      <c r="L1215" s="655">
        <v>35837</v>
      </c>
      <c r="M1215" s="655">
        <v>0</v>
      </c>
      <c r="N1215" s="655">
        <v>155185</v>
      </c>
      <c r="O1215" s="655">
        <v>5738</v>
      </c>
      <c r="P1215" s="655">
        <v>27356</v>
      </c>
      <c r="Q1215" s="655">
        <v>30050</v>
      </c>
      <c r="R1215" s="655">
        <v>413</v>
      </c>
      <c r="S1215" s="655">
        <v>15539</v>
      </c>
      <c r="T1215" s="655">
        <v>1680</v>
      </c>
      <c r="U1215" s="655">
        <v>91357</v>
      </c>
      <c r="V1215" s="655">
        <v>0</v>
      </c>
      <c r="W1215" s="655">
        <v>44968</v>
      </c>
      <c r="X1215" s="655">
        <v>23607.58</v>
      </c>
      <c r="Y1215" s="655">
        <v>0</v>
      </c>
      <c r="Z1215" s="655">
        <v>0</v>
      </c>
      <c r="AA1215" s="655">
        <v>0</v>
      </c>
      <c r="AB1215" s="655">
        <v>0</v>
      </c>
      <c r="AC1215" s="655">
        <v>0</v>
      </c>
      <c r="AD1215" s="655">
        <v>25355</v>
      </c>
      <c r="AE1215" s="655">
        <v>4509093.58</v>
      </c>
      <c r="AF1215" s="655">
        <v>80575</v>
      </c>
      <c r="AG1215" s="655">
        <v>97155</v>
      </c>
      <c r="AH1215" s="655">
        <v>0</v>
      </c>
      <c r="AI1215" s="805">
        <v>799458</v>
      </c>
      <c r="AJ1215" s="655">
        <v>943510</v>
      </c>
      <c r="AK1215" s="655">
        <v>6429791.5800000001</v>
      </c>
      <c r="AL1215" s="805">
        <v>5721171</v>
      </c>
      <c r="AM1215" s="655">
        <v>708620.58000000007</v>
      </c>
    </row>
    <row r="1216" spans="1:39" x14ac:dyDescent="0.2">
      <c r="A1216" s="648">
        <v>2016</v>
      </c>
      <c r="B1216" s="648">
        <v>10</v>
      </c>
      <c r="C1216" s="657" t="s">
        <v>290</v>
      </c>
      <c r="D1216" s="648">
        <v>4777</v>
      </c>
      <c r="E1216" s="648" t="s">
        <v>1237</v>
      </c>
      <c r="F1216" s="655">
        <v>4407507</v>
      </c>
      <c r="G1216" s="655">
        <v>116236</v>
      </c>
      <c r="H1216" s="655">
        <v>158660</v>
      </c>
      <c r="I1216" s="655">
        <v>367812</v>
      </c>
      <c r="J1216" s="655">
        <v>376728</v>
      </c>
      <c r="K1216" s="655">
        <v>39106</v>
      </c>
      <c r="L1216" s="655">
        <v>38736</v>
      </c>
      <c r="M1216" s="655">
        <v>0</v>
      </c>
      <c r="N1216" s="655">
        <v>207636</v>
      </c>
      <c r="O1216" s="655">
        <v>8133</v>
      </c>
      <c r="P1216" s="655">
        <v>35909</v>
      </c>
      <c r="Q1216" s="655">
        <v>39450</v>
      </c>
      <c r="R1216" s="655">
        <v>0</v>
      </c>
      <c r="S1216" s="655">
        <v>19598</v>
      </c>
      <c r="T1216" s="655">
        <v>2279</v>
      </c>
      <c r="U1216" s="655">
        <v>15069</v>
      </c>
      <c r="V1216" s="655">
        <v>0</v>
      </c>
      <c r="W1216" s="655">
        <v>89761</v>
      </c>
      <c r="X1216" s="655">
        <v>32156.66</v>
      </c>
      <c r="Y1216" s="655">
        <v>0</v>
      </c>
      <c r="Z1216" s="655">
        <v>0</v>
      </c>
      <c r="AA1216" s="655">
        <v>0</v>
      </c>
      <c r="AB1216" s="655">
        <v>0</v>
      </c>
      <c r="AC1216" s="655">
        <v>0</v>
      </c>
      <c r="AD1216" s="655">
        <v>34751</v>
      </c>
      <c r="AE1216" s="655">
        <v>5920025.6600000001</v>
      </c>
      <c r="AF1216" s="655">
        <v>87021</v>
      </c>
      <c r="AG1216" s="655">
        <v>335797</v>
      </c>
      <c r="AH1216" s="655">
        <v>0</v>
      </c>
      <c r="AI1216" s="805">
        <v>820572</v>
      </c>
      <c r="AJ1216" s="655">
        <v>1312718</v>
      </c>
      <c r="AK1216" s="655">
        <v>8476133.6600000001</v>
      </c>
      <c r="AL1216" s="805">
        <v>6571480</v>
      </c>
      <c r="AM1216" s="655">
        <v>1904653.6600000001</v>
      </c>
    </row>
    <row r="1217" spans="1:39" x14ac:dyDescent="0.2">
      <c r="A1217" s="648">
        <v>2016</v>
      </c>
      <c r="B1217" s="648">
        <v>5</v>
      </c>
      <c r="C1217" s="657" t="s">
        <v>291</v>
      </c>
      <c r="D1217" s="648">
        <v>4778</v>
      </c>
      <c r="E1217" s="648" t="s">
        <v>1238</v>
      </c>
      <c r="F1217" s="655">
        <v>1751707</v>
      </c>
      <c r="G1217" s="655">
        <v>109504</v>
      </c>
      <c r="H1217" s="655">
        <v>219372</v>
      </c>
      <c r="I1217" s="655">
        <v>340163</v>
      </c>
      <c r="J1217" s="655">
        <v>163070</v>
      </c>
      <c r="K1217" s="655">
        <v>18229</v>
      </c>
      <c r="L1217" s="655">
        <v>16074</v>
      </c>
      <c r="M1217" s="655">
        <v>0</v>
      </c>
      <c r="N1217" s="655">
        <v>94646</v>
      </c>
      <c r="O1217" s="655">
        <v>14375</v>
      </c>
      <c r="P1217" s="655">
        <v>16830</v>
      </c>
      <c r="Q1217" s="655">
        <v>18903</v>
      </c>
      <c r="R1217" s="655">
        <v>285</v>
      </c>
      <c r="S1217" s="655">
        <v>10493</v>
      </c>
      <c r="T1217" s="655">
        <v>1250</v>
      </c>
      <c r="U1217" s="655">
        <v>29061</v>
      </c>
      <c r="V1217" s="655">
        <v>0</v>
      </c>
      <c r="W1217" s="655">
        <v>53474</v>
      </c>
      <c r="X1217" s="655">
        <v>189719.87</v>
      </c>
      <c r="Y1217" s="655">
        <v>0</v>
      </c>
      <c r="Z1217" s="655">
        <v>0</v>
      </c>
      <c r="AA1217" s="655">
        <v>0</v>
      </c>
      <c r="AB1217" s="655">
        <v>0</v>
      </c>
      <c r="AC1217" s="655">
        <v>19209</v>
      </c>
      <c r="AD1217" s="655">
        <v>21324</v>
      </c>
      <c r="AE1217" s="655">
        <v>3045040.87</v>
      </c>
      <c r="AF1217" s="655">
        <v>74129</v>
      </c>
      <c r="AG1217" s="655">
        <v>169389</v>
      </c>
      <c r="AH1217" s="655">
        <v>0</v>
      </c>
      <c r="AI1217" s="805">
        <v>1302679</v>
      </c>
      <c r="AJ1217" s="655">
        <v>208656</v>
      </c>
      <c r="AK1217" s="655">
        <v>4799893.87</v>
      </c>
      <c r="AL1217" s="805">
        <v>4450644</v>
      </c>
      <c r="AM1217" s="655">
        <v>349249.87000000011</v>
      </c>
    </row>
    <row r="1218" spans="1:39" x14ac:dyDescent="0.2">
      <c r="A1218" s="648">
        <v>2016</v>
      </c>
      <c r="B1218" s="648">
        <v>11</v>
      </c>
      <c r="C1218" s="657" t="s">
        <v>292</v>
      </c>
      <c r="D1218" s="648">
        <v>4779</v>
      </c>
      <c r="E1218" s="648" t="s">
        <v>1239</v>
      </c>
      <c r="F1218" s="655">
        <v>9523320</v>
      </c>
      <c r="G1218" s="655">
        <v>0</v>
      </c>
      <c r="H1218" s="655">
        <v>96477</v>
      </c>
      <c r="I1218" s="655">
        <v>532440</v>
      </c>
      <c r="J1218" s="655">
        <v>761363</v>
      </c>
      <c r="K1218" s="655">
        <v>78819</v>
      </c>
      <c r="L1218" s="655">
        <v>77238</v>
      </c>
      <c r="M1218" s="655">
        <v>461953</v>
      </c>
      <c r="N1218" s="655">
        <v>429484</v>
      </c>
      <c r="O1218" s="655">
        <v>0</v>
      </c>
      <c r="P1218" s="655">
        <v>78494</v>
      </c>
      <c r="Q1218" s="655">
        <v>86163</v>
      </c>
      <c r="R1218" s="655">
        <v>0</v>
      </c>
      <c r="S1218" s="655">
        <v>35194</v>
      </c>
      <c r="T1218" s="655">
        <v>4477</v>
      </c>
      <c r="U1218" s="655">
        <v>276964</v>
      </c>
      <c r="V1218" s="655">
        <v>0</v>
      </c>
      <c r="W1218" s="655">
        <v>260805</v>
      </c>
      <c r="X1218" s="655">
        <v>291669.34999999998</v>
      </c>
      <c r="Y1218" s="655">
        <v>0</v>
      </c>
      <c r="Z1218" s="655">
        <v>0</v>
      </c>
      <c r="AA1218" s="655">
        <v>0</v>
      </c>
      <c r="AB1218" s="655">
        <v>0</v>
      </c>
      <c r="AC1218" s="655">
        <v>6366</v>
      </c>
      <c r="AD1218" s="655">
        <v>39904</v>
      </c>
      <c r="AE1218" s="655">
        <v>12961322.35</v>
      </c>
      <c r="AF1218" s="655">
        <v>267509</v>
      </c>
      <c r="AG1218" s="655">
        <v>624158</v>
      </c>
      <c r="AH1218" s="655">
        <v>0</v>
      </c>
      <c r="AI1218" s="805">
        <v>1323943</v>
      </c>
      <c r="AJ1218" s="655">
        <v>3683256</v>
      </c>
      <c r="AK1218" s="655">
        <v>18860188.350000001</v>
      </c>
      <c r="AL1218" s="805">
        <v>14721829</v>
      </c>
      <c r="AM1218" s="655">
        <v>4138359.3500000015</v>
      </c>
    </row>
    <row r="1219" spans="1:39" x14ac:dyDescent="0.2">
      <c r="A1219" s="648">
        <v>2016</v>
      </c>
      <c r="B1219" s="648">
        <v>9</v>
      </c>
      <c r="C1219" s="657" t="s">
        <v>293</v>
      </c>
      <c r="D1219" s="648">
        <v>4784</v>
      </c>
      <c r="E1219" s="648" t="s">
        <v>1243</v>
      </c>
      <c r="F1219" s="655">
        <v>19636450</v>
      </c>
      <c r="G1219" s="655">
        <v>0</v>
      </c>
      <c r="H1219" s="655">
        <v>273452</v>
      </c>
      <c r="I1219" s="655">
        <v>1777613</v>
      </c>
      <c r="J1219" s="655">
        <v>1663798</v>
      </c>
      <c r="K1219" s="655">
        <v>186464</v>
      </c>
      <c r="L1219" s="655">
        <v>178696</v>
      </c>
      <c r="M1219" s="655">
        <v>0</v>
      </c>
      <c r="N1219" s="655">
        <v>944564</v>
      </c>
      <c r="O1219" s="655">
        <v>0</v>
      </c>
      <c r="P1219" s="655">
        <v>161854</v>
      </c>
      <c r="Q1219" s="655">
        <v>176576</v>
      </c>
      <c r="R1219" s="655">
        <v>0</v>
      </c>
      <c r="S1219" s="655">
        <v>84979</v>
      </c>
      <c r="T1219" s="655">
        <v>9966</v>
      </c>
      <c r="U1219" s="655">
        <v>969637</v>
      </c>
      <c r="V1219" s="655">
        <v>0</v>
      </c>
      <c r="W1219" s="655">
        <v>205627</v>
      </c>
      <c r="X1219" s="655">
        <v>362460.3</v>
      </c>
      <c r="Y1219" s="655">
        <v>0</v>
      </c>
      <c r="Z1219" s="655">
        <v>0</v>
      </c>
      <c r="AA1219" s="655">
        <v>0</v>
      </c>
      <c r="AB1219" s="655">
        <v>0</v>
      </c>
      <c r="AC1219" s="655">
        <v>-12732</v>
      </c>
      <c r="AD1219" s="655">
        <v>130713</v>
      </c>
      <c r="AE1219" s="655">
        <v>26488691.300000001</v>
      </c>
      <c r="AF1219" s="655">
        <v>518983</v>
      </c>
      <c r="AG1219" s="655">
        <v>1454079</v>
      </c>
      <c r="AH1219" s="655">
        <v>0</v>
      </c>
      <c r="AI1219" s="805">
        <v>3623309</v>
      </c>
      <c r="AJ1219" s="655">
        <v>4515504</v>
      </c>
      <c r="AK1219" s="655">
        <v>36600566.299999997</v>
      </c>
      <c r="AL1219" s="805">
        <v>32308296</v>
      </c>
      <c r="AM1219" s="655">
        <v>4292270.299999997</v>
      </c>
    </row>
    <row r="1220" spans="1:39" x14ac:dyDescent="0.2">
      <c r="A1220" s="648">
        <v>2016</v>
      </c>
      <c r="B1220" s="648">
        <v>7</v>
      </c>
      <c r="C1220" s="657" t="s">
        <v>294</v>
      </c>
      <c r="D1220" s="648">
        <v>4785</v>
      </c>
      <c r="E1220" s="648" t="s">
        <v>1244</v>
      </c>
      <c r="F1220" s="655">
        <v>3117286</v>
      </c>
      <c r="G1220" s="655">
        <v>45463</v>
      </c>
      <c r="H1220" s="655">
        <v>42492</v>
      </c>
      <c r="I1220" s="655">
        <v>400490</v>
      </c>
      <c r="J1220" s="655">
        <v>300600</v>
      </c>
      <c r="K1220" s="655">
        <v>32042</v>
      </c>
      <c r="L1220" s="655">
        <v>30055</v>
      </c>
      <c r="M1220" s="655">
        <v>0</v>
      </c>
      <c r="N1220" s="655">
        <v>156455</v>
      </c>
      <c r="O1220" s="655">
        <v>3224</v>
      </c>
      <c r="P1220" s="655">
        <v>25671</v>
      </c>
      <c r="Q1220" s="655">
        <v>28677</v>
      </c>
      <c r="R1220" s="655">
        <v>0</v>
      </c>
      <c r="S1220" s="655">
        <v>19925</v>
      </c>
      <c r="T1220" s="655">
        <v>2287</v>
      </c>
      <c r="U1220" s="655">
        <v>104749</v>
      </c>
      <c r="V1220" s="655">
        <v>0</v>
      </c>
      <c r="W1220" s="655">
        <v>19098</v>
      </c>
      <c r="X1220" s="655">
        <v>3372.35</v>
      </c>
      <c r="Y1220" s="655">
        <v>0</v>
      </c>
      <c r="Z1220" s="655">
        <v>0</v>
      </c>
      <c r="AA1220" s="655">
        <v>0</v>
      </c>
      <c r="AB1220" s="655">
        <v>0</v>
      </c>
      <c r="AC1220" s="655">
        <v>0</v>
      </c>
      <c r="AD1220" s="655">
        <v>23815</v>
      </c>
      <c r="AE1220" s="655">
        <v>4308071.3499999996</v>
      </c>
      <c r="AF1220" s="655">
        <v>0</v>
      </c>
      <c r="AG1220" s="655">
        <v>254886</v>
      </c>
      <c r="AH1220" s="655">
        <v>0</v>
      </c>
      <c r="AI1220" s="805">
        <v>630946</v>
      </c>
      <c r="AJ1220" s="655">
        <v>1298191</v>
      </c>
      <c r="AK1220" s="655">
        <v>6492094.3499999996</v>
      </c>
      <c r="AL1220" s="805">
        <v>5144144</v>
      </c>
      <c r="AM1220" s="655">
        <v>1347950.3499999996</v>
      </c>
    </row>
    <row r="1221" spans="1:39" x14ac:dyDescent="0.2">
      <c r="A1221" s="648">
        <v>2016</v>
      </c>
      <c r="B1221" s="648">
        <v>1</v>
      </c>
      <c r="C1221" s="657" t="s">
        <v>295</v>
      </c>
      <c r="D1221" s="648">
        <v>4787</v>
      </c>
      <c r="E1221" s="648" t="s">
        <v>1245</v>
      </c>
      <c r="F1221" s="655">
        <v>1856465</v>
      </c>
      <c r="G1221" s="655">
        <v>56475</v>
      </c>
      <c r="H1221" s="655">
        <v>42083</v>
      </c>
      <c r="I1221" s="655">
        <v>182239</v>
      </c>
      <c r="J1221" s="655">
        <v>150373</v>
      </c>
      <c r="K1221" s="655">
        <v>13565</v>
      </c>
      <c r="L1221" s="655">
        <v>19487</v>
      </c>
      <c r="M1221" s="655">
        <v>0</v>
      </c>
      <c r="N1221" s="655">
        <v>92577</v>
      </c>
      <c r="O1221" s="655">
        <v>5202</v>
      </c>
      <c r="P1221" s="655">
        <v>15373</v>
      </c>
      <c r="Q1221" s="655">
        <v>17156</v>
      </c>
      <c r="R1221" s="655">
        <v>0</v>
      </c>
      <c r="S1221" s="655">
        <v>9616</v>
      </c>
      <c r="T1221" s="655">
        <v>1027</v>
      </c>
      <c r="U1221" s="655">
        <v>91690</v>
      </c>
      <c r="V1221" s="655">
        <v>0</v>
      </c>
      <c r="W1221" s="655">
        <v>204439</v>
      </c>
      <c r="X1221" s="655">
        <v>196329.09</v>
      </c>
      <c r="Y1221" s="655">
        <v>0</v>
      </c>
      <c r="Z1221" s="655">
        <v>0</v>
      </c>
      <c r="AA1221" s="655">
        <v>0</v>
      </c>
      <c r="AB1221" s="655">
        <v>0</v>
      </c>
      <c r="AC1221" s="655">
        <v>0</v>
      </c>
      <c r="AD1221" s="655">
        <v>17982</v>
      </c>
      <c r="AE1221" s="655">
        <v>2936114.09</v>
      </c>
      <c r="AF1221" s="655">
        <v>41899</v>
      </c>
      <c r="AG1221" s="655">
        <v>161089</v>
      </c>
      <c r="AH1221" s="655">
        <v>0</v>
      </c>
      <c r="AI1221" s="805">
        <v>362327</v>
      </c>
      <c r="AJ1221" s="655">
        <v>140379</v>
      </c>
      <c r="AK1221" s="655">
        <v>3641808.09</v>
      </c>
      <c r="AL1221" s="805">
        <v>3482533</v>
      </c>
      <c r="AM1221" s="655">
        <v>159275.08999999985</v>
      </c>
    </row>
    <row r="1222" spans="1:39" x14ac:dyDescent="0.2">
      <c r="A1222" s="648">
        <v>2016</v>
      </c>
      <c r="B1222" s="648">
        <v>7</v>
      </c>
      <c r="C1222" s="657" t="s">
        <v>296</v>
      </c>
      <c r="D1222" s="648">
        <v>4788</v>
      </c>
      <c r="E1222" s="648" t="s">
        <v>1246</v>
      </c>
      <c r="F1222" s="655">
        <v>3364864</v>
      </c>
      <c r="G1222" s="655">
        <v>40145</v>
      </c>
      <c r="H1222" s="655">
        <v>15392</v>
      </c>
      <c r="I1222" s="655">
        <v>316639</v>
      </c>
      <c r="J1222" s="655">
        <v>282224</v>
      </c>
      <c r="K1222" s="655">
        <v>32352</v>
      </c>
      <c r="L1222" s="655">
        <v>27515</v>
      </c>
      <c r="M1222" s="655">
        <v>0</v>
      </c>
      <c r="N1222" s="655">
        <v>160598</v>
      </c>
      <c r="O1222" s="655">
        <v>3160</v>
      </c>
      <c r="P1222" s="655">
        <v>27156</v>
      </c>
      <c r="Q1222" s="655">
        <v>30336</v>
      </c>
      <c r="R1222" s="655">
        <v>0</v>
      </c>
      <c r="S1222" s="655">
        <v>20903</v>
      </c>
      <c r="T1222" s="655">
        <v>2400</v>
      </c>
      <c r="U1222" s="655">
        <v>115006</v>
      </c>
      <c r="V1222" s="655">
        <v>0</v>
      </c>
      <c r="W1222" s="655">
        <v>44562</v>
      </c>
      <c r="X1222" s="655">
        <v>150187.59</v>
      </c>
      <c r="Y1222" s="655">
        <v>0</v>
      </c>
      <c r="Z1222" s="655">
        <v>0</v>
      </c>
      <c r="AA1222" s="655">
        <v>0</v>
      </c>
      <c r="AB1222" s="655">
        <v>0</v>
      </c>
      <c r="AC1222" s="655">
        <v>0</v>
      </c>
      <c r="AD1222" s="655">
        <v>25116</v>
      </c>
      <c r="AE1222" s="655">
        <v>4608323.59</v>
      </c>
      <c r="AF1222" s="655">
        <v>119251</v>
      </c>
      <c r="AG1222" s="655">
        <v>279790</v>
      </c>
      <c r="AH1222" s="655">
        <v>0</v>
      </c>
      <c r="AI1222" s="805">
        <v>860490</v>
      </c>
      <c r="AJ1222" s="655">
        <v>1946444</v>
      </c>
      <c r="AK1222" s="655">
        <v>7814298.5899999999</v>
      </c>
      <c r="AL1222" s="805">
        <v>5769799</v>
      </c>
      <c r="AM1222" s="655">
        <v>2044499.5899999999</v>
      </c>
    </row>
    <row r="1223" spans="1:39" x14ac:dyDescent="0.2">
      <c r="A1223" s="648">
        <v>2016</v>
      </c>
      <c r="B1223" s="648">
        <v>11</v>
      </c>
      <c r="C1223" s="657" t="s">
        <v>297</v>
      </c>
      <c r="D1223" s="648">
        <v>4797</v>
      </c>
      <c r="E1223" s="648" t="s">
        <v>1247</v>
      </c>
      <c r="F1223" s="655">
        <v>16494669</v>
      </c>
      <c r="G1223" s="655">
        <v>0</v>
      </c>
      <c r="H1223" s="655">
        <v>149270</v>
      </c>
      <c r="I1223" s="655">
        <v>1868502</v>
      </c>
      <c r="J1223" s="655">
        <v>1435773</v>
      </c>
      <c r="K1223" s="655">
        <v>149824</v>
      </c>
      <c r="L1223" s="655">
        <v>148800</v>
      </c>
      <c r="M1223" s="655">
        <v>800117</v>
      </c>
      <c r="N1223" s="655">
        <v>784295</v>
      </c>
      <c r="O1223" s="655">
        <v>0</v>
      </c>
      <c r="P1223" s="655">
        <v>138364</v>
      </c>
      <c r="Q1223" s="655">
        <v>151883</v>
      </c>
      <c r="R1223" s="655">
        <v>0</v>
      </c>
      <c r="S1223" s="655">
        <v>64268</v>
      </c>
      <c r="T1223" s="655">
        <v>8176</v>
      </c>
      <c r="U1223" s="655">
        <v>570149</v>
      </c>
      <c r="V1223" s="655">
        <v>27680</v>
      </c>
      <c r="W1223" s="655">
        <v>578722</v>
      </c>
      <c r="X1223" s="655">
        <v>505048.24</v>
      </c>
      <c r="Y1223" s="655">
        <v>0</v>
      </c>
      <c r="Z1223" s="655">
        <v>0</v>
      </c>
      <c r="AA1223" s="655">
        <v>0</v>
      </c>
      <c r="AB1223" s="655">
        <v>0</v>
      </c>
      <c r="AC1223" s="655">
        <v>-382</v>
      </c>
      <c r="AD1223" s="655">
        <v>95234</v>
      </c>
      <c r="AE1223" s="655">
        <v>23779924.239999998</v>
      </c>
      <c r="AF1223" s="655">
        <v>386760</v>
      </c>
      <c r="AG1223" s="655">
        <v>969887</v>
      </c>
      <c r="AH1223" s="655">
        <v>0</v>
      </c>
      <c r="AI1223" s="805">
        <v>2483206</v>
      </c>
      <c r="AJ1223" s="655">
        <v>14329471</v>
      </c>
      <c r="AK1223" s="655">
        <v>41949248.239999995</v>
      </c>
      <c r="AL1223" s="805">
        <v>26127565</v>
      </c>
      <c r="AM1223" s="655">
        <v>15821683.239999995</v>
      </c>
    </row>
    <row r="1224" spans="1:39" x14ac:dyDescent="0.2">
      <c r="A1224" s="648">
        <v>2016</v>
      </c>
      <c r="B1224" s="648">
        <v>13</v>
      </c>
      <c r="C1224" s="657" t="s">
        <v>298</v>
      </c>
      <c r="D1224" s="648">
        <v>5510</v>
      </c>
      <c r="E1224" s="648" t="s">
        <v>1248</v>
      </c>
      <c r="F1224" s="655">
        <v>4409709</v>
      </c>
      <c r="G1224" s="655">
        <v>174639</v>
      </c>
      <c r="H1224" s="655">
        <v>192426</v>
      </c>
      <c r="I1224" s="655">
        <v>391272</v>
      </c>
      <c r="J1224" s="655">
        <v>392678</v>
      </c>
      <c r="K1224" s="655">
        <v>42409</v>
      </c>
      <c r="L1224" s="655">
        <v>39479</v>
      </c>
      <c r="M1224" s="655">
        <v>0</v>
      </c>
      <c r="N1224" s="655">
        <v>211054</v>
      </c>
      <c r="O1224" s="655">
        <v>6841</v>
      </c>
      <c r="P1224" s="655">
        <v>36074</v>
      </c>
      <c r="Q1224" s="655">
        <v>39898</v>
      </c>
      <c r="R1224" s="655">
        <v>0</v>
      </c>
      <c r="S1224" s="655">
        <v>22375</v>
      </c>
      <c r="T1224" s="655">
        <v>2375</v>
      </c>
      <c r="U1224" s="655">
        <v>149984</v>
      </c>
      <c r="V1224" s="655">
        <v>0</v>
      </c>
      <c r="W1224" s="655">
        <v>123705</v>
      </c>
      <c r="X1224" s="655">
        <v>387701.98</v>
      </c>
      <c r="Y1224" s="655">
        <v>0</v>
      </c>
      <c r="Z1224" s="655">
        <v>0</v>
      </c>
      <c r="AA1224" s="655">
        <v>0</v>
      </c>
      <c r="AB1224" s="655">
        <v>0</v>
      </c>
      <c r="AC1224" s="655">
        <v>31830</v>
      </c>
      <c r="AD1224" s="655">
        <v>33188</v>
      </c>
      <c r="AE1224" s="655">
        <v>6621261.9800000004</v>
      </c>
      <c r="AF1224" s="655">
        <v>145035</v>
      </c>
      <c r="AG1224" s="655">
        <v>390174</v>
      </c>
      <c r="AH1224" s="655">
        <v>0</v>
      </c>
      <c r="AI1224" s="805">
        <v>743855</v>
      </c>
      <c r="AJ1224" s="655">
        <v>1327304</v>
      </c>
      <c r="AK1224" s="655">
        <v>9227629.9800000004</v>
      </c>
      <c r="AL1224" s="805">
        <v>7496742</v>
      </c>
      <c r="AM1224" s="655">
        <v>1730887.9800000004</v>
      </c>
    </row>
    <row r="1225" spans="1:39" x14ac:dyDescent="0.2">
      <c r="A1225" s="648">
        <v>2016</v>
      </c>
      <c r="B1225" s="648">
        <v>5</v>
      </c>
      <c r="C1225" s="657" t="s">
        <v>299</v>
      </c>
      <c r="D1225" s="648">
        <v>4860</v>
      </c>
      <c r="E1225" s="648" t="s">
        <v>1249</v>
      </c>
      <c r="F1225" s="655">
        <v>2134271</v>
      </c>
      <c r="G1225" s="655">
        <v>9377</v>
      </c>
      <c r="H1225" s="655">
        <v>155013</v>
      </c>
      <c r="I1225" s="655">
        <v>146518</v>
      </c>
      <c r="J1225" s="655">
        <v>195332</v>
      </c>
      <c r="K1225" s="655">
        <v>23790</v>
      </c>
      <c r="L1225" s="655">
        <v>17922</v>
      </c>
      <c r="M1225" s="655">
        <v>0</v>
      </c>
      <c r="N1225" s="655">
        <v>103785</v>
      </c>
      <c r="O1225" s="655">
        <v>0</v>
      </c>
      <c r="P1225" s="655">
        <v>17573</v>
      </c>
      <c r="Q1225" s="655">
        <v>19738</v>
      </c>
      <c r="R1225" s="655">
        <v>311</v>
      </c>
      <c r="S1225" s="655">
        <v>11054</v>
      </c>
      <c r="T1225" s="655">
        <v>1316</v>
      </c>
      <c r="U1225" s="655">
        <v>77988</v>
      </c>
      <c r="V1225" s="655">
        <v>43780</v>
      </c>
      <c r="W1225" s="655">
        <v>66210</v>
      </c>
      <c r="X1225" s="655">
        <v>0</v>
      </c>
      <c r="Y1225" s="655">
        <v>3437.7</v>
      </c>
      <c r="Z1225" s="655">
        <v>0</v>
      </c>
      <c r="AA1225" s="655">
        <v>0</v>
      </c>
      <c r="AB1225" s="655">
        <v>0</v>
      </c>
      <c r="AC1225" s="655">
        <v>0</v>
      </c>
      <c r="AD1225" s="655">
        <v>20134</v>
      </c>
      <c r="AE1225" s="655">
        <v>3000406.3</v>
      </c>
      <c r="AF1225" s="655">
        <v>45122</v>
      </c>
      <c r="AG1225" s="655">
        <v>177794</v>
      </c>
      <c r="AH1225" s="655">
        <v>0</v>
      </c>
      <c r="AI1225" s="805">
        <v>1464770</v>
      </c>
      <c r="AJ1225" s="655">
        <v>1194557</v>
      </c>
      <c r="AK1225" s="655">
        <v>5882649.2999999998</v>
      </c>
      <c r="AL1225" s="805">
        <v>4619843</v>
      </c>
      <c r="AM1225" s="655">
        <v>1262806.2999999998</v>
      </c>
    </row>
    <row r="1226" spans="1:39" x14ac:dyDescent="0.2">
      <c r="A1226" s="648">
        <v>2016</v>
      </c>
      <c r="B1226" s="648">
        <v>1</v>
      </c>
      <c r="C1226" s="657" t="s">
        <v>300</v>
      </c>
      <c r="D1226" s="648">
        <v>4869</v>
      </c>
      <c r="E1226" s="648" t="s">
        <v>1250</v>
      </c>
      <c r="F1226" s="655">
        <v>8468779</v>
      </c>
      <c r="G1226" s="655">
        <v>0</v>
      </c>
      <c r="H1226" s="655">
        <v>181487</v>
      </c>
      <c r="I1226" s="655">
        <v>1496551</v>
      </c>
      <c r="J1226" s="655">
        <v>736185</v>
      </c>
      <c r="K1226" s="655">
        <v>84596</v>
      </c>
      <c r="L1226" s="655">
        <v>85693</v>
      </c>
      <c r="M1226" s="655">
        <v>408204</v>
      </c>
      <c r="N1226" s="655">
        <v>457127</v>
      </c>
      <c r="O1226" s="655">
        <v>0</v>
      </c>
      <c r="P1226" s="655">
        <v>73207</v>
      </c>
      <c r="Q1226" s="655">
        <v>81700</v>
      </c>
      <c r="R1226" s="655">
        <v>0</v>
      </c>
      <c r="S1226" s="655">
        <v>44980</v>
      </c>
      <c r="T1226" s="655">
        <v>4808</v>
      </c>
      <c r="U1226" s="655">
        <v>212851</v>
      </c>
      <c r="V1226" s="655">
        <v>0</v>
      </c>
      <c r="W1226" s="655">
        <v>111194</v>
      </c>
      <c r="X1226" s="655">
        <v>309359.21999999997</v>
      </c>
      <c r="Y1226" s="655">
        <v>0</v>
      </c>
      <c r="Z1226" s="655">
        <v>0</v>
      </c>
      <c r="AA1226" s="655">
        <v>0</v>
      </c>
      <c r="AB1226" s="655">
        <v>0</v>
      </c>
      <c r="AC1226" s="655">
        <v>-750</v>
      </c>
      <c r="AD1226" s="655">
        <v>78419</v>
      </c>
      <c r="AE1226" s="655">
        <v>12677552.220000001</v>
      </c>
      <c r="AF1226" s="655">
        <v>190157</v>
      </c>
      <c r="AG1226" s="655">
        <v>386753</v>
      </c>
      <c r="AH1226" s="655">
        <v>0</v>
      </c>
      <c r="AI1226" s="805">
        <v>1873927</v>
      </c>
      <c r="AJ1226" s="655">
        <v>5063739</v>
      </c>
      <c r="AK1226" s="655">
        <v>20192128.219999999</v>
      </c>
      <c r="AL1226" s="805">
        <v>15004226</v>
      </c>
      <c r="AM1226" s="655">
        <v>5187902.2199999988</v>
      </c>
    </row>
    <row r="1227" spans="1:39" x14ac:dyDescent="0.2">
      <c r="A1227" s="648">
        <v>2016</v>
      </c>
      <c r="B1227" s="648">
        <v>11</v>
      </c>
      <c r="C1227" s="657" t="s">
        <v>301</v>
      </c>
      <c r="D1227" s="648">
        <v>4878</v>
      </c>
      <c r="E1227" s="648" t="s">
        <v>1251</v>
      </c>
      <c r="F1227" s="655">
        <v>4006189</v>
      </c>
      <c r="G1227" s="655">
        <v>0</v>
      </c>
      <c r="H1227" s="655">
        <v>55378</v>
      </c>
      <c r="I1227" s="655">
        <v>524833</v>
      </c>
      <c r="J1227" s="655">
        <v>359594</v>
      </c>
      <c r="K1227" s="655">
        <v>39012</v>
      </c>
      <c r="L1227" s="655">
        <v>38228</v>
      </c>
      <c r="M1227" s="655">
        <v>0</v>
      </c>
      <c r="N1227" s="655">
        <v>193521</v>
      </c>
      <c r="O1227" s="655">
        <v>1645</v>
      </c>
      <c r="P1227" s="655">
        <v>33092</v>
      </c>
      <c r="Q1227" s="655">
        <v>36325</v>
      </c>
      <c r="R1227" s="655">
        <v>0</v>
      </c>
      <c r="S1227" s="655">
        <v>15858</v>
      </c>
      <c r="T1227" s="655">
        <v>2017</v>
      </c>
      <c r="U1227" s="655">
        <v>85810</v>
      </c>
      <c r="V1227" s="655">
        <v>0</v>
      </c>
      <c r="W1227" s="655">
        <v>109582</v>
      </c>
      <c r="X1227" s="655">
        <v>38821.53</v>
      </c>
      <c r="Y1227" s="655">
        <v>0</v>
      </c>
      <c r="Z1227" s="655">
        <v>0</v>
      </c>
      <c r="AA1227" s="655">
        <v>0</v>
      </c>
      <c r="AB1227" s="655">
        <v>0</v>
      </c>
      <c r="AC1227" s="655">
        <v>0</v>
      </c>
      <c r="AD1227" s="655">
        <v>31557</v>
      </c>
      <c r="AE1227" s="655">
        <v>5508348.5300000003</v>
      </c>
      <c r="AF1227" s="655">
        <v>103136</v>
      </c>
      <c r="AG1227" s="655">
        <v>319053</v>
      </c>
      <c r="AH1227" s="655">
        <v>0</v>
      </c>
      <c r="AI1227" s="805">
        <v>1252705</v>
      </c>
      <c r="AJ1227" s="655">
        <v>426022</v>
      </c>
      <c r="AK1227" s="655">
        <v>7609264.5300000003</v>
      </c>
      <c r="AL1227" s="805">
        <v>7184767</v>
      </c>
      <c r="AM1227" s="655">
        <v>424497.53000000026</v>
      </c>
    </row>
    <row r="1228" spans="1:39" x14ac:dyDescent="0.2">
      <c r="A1228" s="648">
        <v>2016</v>
      </c>
      <c r="B1228" s="648">
        <v>5</v>
      </c>
      <c r="C1228" s="657" t="s">
        <v>302</v>
      </c>
      <c r="D1228" s="648">
        <v>4890</v>
      </c>
      <c r="E1228" s="648" t="s">
        <v>1252</v>
      </c>
      <c r="F1228" s="655">
        <v>5972916</v>
      </c>
      <c r="G1228" s="655">
        <v>0</v>
      </c>
      <c r="H1228" s="655">
        <v>69187</v>
      </c>
      <c r="I1228" s="655">
        <v>804399</v>
      </c>
      <c r="J1228" s="655">
        <v>523740</v>
      </c>
      <c r="K1228" s="655">
        <v>59646</v>
      </c>
      <c r="L1228" s="655">
        <v>57677</v>
      </c>
      <c r="M1228" s="655">
        <v>0</v>
      </c>
      <c r="N1228" s="655">
        <v>307728</v>
      </c>
      <c r="O1228" s="655">
        <v>0</v>
      </c>
      <c r="P1228" s="655">
        <v>49586</v>
      </c>
      <c r="Q1228" s="655">
        <v>55694</v>
      </c>
      <c r="R1228" s="655">
        <v>921</v>
      </c>
      <c r="S1228" s="655">
        <v>32775</v>
      </c>
      <c r="T1228" s="655">
        <v>3903</v>
      </c>
      <c r="U1228" s="655">
        <v>216786</v>
      </c>
      <c r="V1228" s="655">
        <v>0</v>
      </c>
      <c r="W1228" s="655">
        <v>227780</v>
      </c>
      <c r="X1228" s="655">
        <v>442895.38</v>
      </c>
      <c r="Y1228" s="655">
        <v>0</v>
      </c>
      <c r="Z1228" s="655">
        <v>0</v>
      </c>
      <c r="AA1228" s="655">
        <v>0</v>
      </c>
      <c r="AB1228" s="655">
        <v>0</v>
      </c>
      <c r="AC1228" s="655">
        <v>-8613</v>
      </c>
      <c r="AD1228" s="655">
        <v>46312</v>
      </c>
      <c r="AE1228" s="655">
        <v>8770708.3800000008</v>
      </c>
      <c r="AF1228" s="655">
        <v>164373</v>
      </c>
      <c r="AG1228" s="655">
        <v>560081</v>
      </c>
      <c r="AH1228" s="655">
        <v>0</v>
      </c>
      <c r="AI1228" s="805">
        <v>1582292</v>
      </c>
      <c r="AJ1228" s="655">
        <v>1299746</v>
      </c>
      <c r="AK1228" s="655">
        <v>12377200.380000001</v>
      </c>
      <c r="AL1228" s="805">
        <v>10903320</v>
      </c>
      <c r="AM1228" s="655">
        <v>1473880.3800000008</v>
      </c>
    </row>
    <row r="1229" spans="1:39" x14ac:dyDescent="0.2">
      <c r="A1229" s="648">
        <v>2016</v>
      </c>
      <c r="B1229" s="648">
        <v>10</v>
      </c>
      <c r="C1229" s="657" t="s">
        <v>303</v>
      </c>
      <c r="D1229" s="648">
        <v>4905</v>
      </c>
      <c r="E1229" s="648" t="s">
        <v>1253</v>
      </c>
      <c r="F1229" s="655">
        <v>1534421</v>
      </c>
      <c r="G1229" s="655">
        <v>0</v>
      </c>
      <c r="H1229" s="655">
        <v>33123</v>
      </c>
      <c r="I1229" s="655">
        <v>260709</v>
      </c>
      <c r="J1229" s="655">
        <v>164065</v>
      </c>
      <c r="K1229" s="655">
        <v>16822</v>
      </c>
      <c r="L1229" s="655">
        <v>16321</v>
      </c>
      <c r="M1229" s="655">
        <v>0</v>
      </c>
      <c r="N1229" s="655">
        <v>78502</v>
      </c>
      <c r="O1229" s="655">
        <v>0</v>
      </c>
      <c r="P1229" s="655">
        <v>12550</v>
      </c>
      <c r="Q1229" s="655">
        <v>13787</v>
      </c>
      <c r="R1229" s="655">
        <v>0</v>
      </c>
      <c r="S1229" s="655">
        <v>7319</v>
      </c>
      <c r="T1229" s="655">
        <v>851</v>
      </c>
      <c r="U1229" s="655">
        <v>0</v>
      </c>
      <c r="V1229" s="655">
        <v>0</v>
      </c>
      <c r="W1229" s="655">
        <v>98570</v>
      </c>
      <c r="X1229" s="655">
        <v>82849.52</v>
      </c>
      <c r="Y1229" s="655">
        <v>0</v>
      </c>
      <c r="Z1229" s="655">
        <v>0</v>
      </c>
      <c r="AA1229" s="655">
        <v>0</v>
      </c>
      <c r="AB1229" s="655">
        <v>0</v>
      </c>
      <c r="AC1229" s="655">
        <v>19134</v>
      </c>
      <c r="AD1229" s="655">
        <v>14596</v>
      </c>
      <c r="AE1229" s="655">
        <v>2324427.52</v>
      </c>
      <c r="AF1229" s="655">
        <v>38676</v>
      </c>
      <c r="AG1229" s="655">
        <v>121587</v>
      </c>
      <c r="AH1229" s="655">
        <v>0</v>
      </c>
      <c r="AI1229" s="805">
        <v>130890</v>
      </c>
      <c r="AJ1229" s="655">
        <v>2857</v>
      </c>
      <c r="AK1229" s="655">
        <v>2618437.52</v>
      </c>
      <c r="AL1229" s="805">
        <v>2941814</v>
      </c>
      <c r="AM1229" s="655">
        <v>-323376.48</v>
      </c>
    </row>
    <row r="1230" spans="1:39" x14ac:dyDescent="0.2">
      <c r="A1230" s="648">
        <v>2016</v>
      </c>
      <c r="B1230" s="648">
        <v>13</v>
      </c>
      <c r="C1230" s="657" t="s">
        <v>304</v>
      </c>
      <c r="D1230" s="648">
        <v>4978</v>
      </c>
      <c r="E1230" s="648" t="s">
        <v>1254</v>
      </c>
      <c r="F1230" s="655">
        <v>1295646</v>
      </c>
      <c r="G1230" s="655">
        <v>0</v>
      </c>
      <c r="H1230" s="655">
        <v>65968</v>
      </c>
      <c r="I1230" s="655">
        <v>190544</v>
      </c>
      <c r="J1230" s="655">
        <v>141377</v>
      </c>
      <c r="K1230" s="655">
        <v>15714</v>
      </c>
      <c r="L1230" s="655">
        <v>10522</v>
      </c>
      <c r="M1230" s="655">
        <v>0</v>
      </c>
      <c r="N1230" s="655">
        <v>65334</v>
      </c>
      <c r="O1230" s="655">
        <v>7432</v>
      </c>
      <c r="P1230" s="655">
        <v>10970</v>
      </c>
      <c r="Q1230" s="655">
        <v>12133</v>
      </c>
      <c r="R1230" s="655">
        <v>0</v>
      </c>
      <c r="S1230" s="655">
        <v>6709</v>
      </c>
      <c r="T1230" s="655">
        <v>712</v>
      </c>
      <c r="U1230" s="655">
        <v>14389</v>
      </c>
      <c r="V1230" s="655">
        <v>183057</v>
      </c>
      <c r="W1230" s="655">
        <v>89124</v>
      </c>
      <c r="X1230" s="655">
        <v>0</v>
      </c>
      <c r="Y1230" s="655">
        <v>0</v>
      </c>
      <c r="Z1230" s="655">
        <v>0</v>
      </c>
      <c r="AA1230" s="655">
        <v>0</v>
      </c>
      <c r="AB1230" s="655">
        <v>0</v>
      </c>
      <c r="AC1230" s="655">
        <v>0</v>
      </c>
      <c r="AD1230" s="655">
        <v>14187</v>
      </c>
      <c r="AE1230" s="655">
        <v>2095444</v>
      </c>
      <c r="AF1230" s="655">
        <v>0</v>
      </c>
      <c r="AG1230" s="655">
        <v>113914</v>
      </c>
      <c r="AH1230" s="655">
        <v>0</v>
      </c>
      <c r="AI1230" s="805">
        <v>490450</v>
      </c>
      <c r="AJ1230" s="655">
        <v>-183057</v>
      </c>
      <c r="AK1230" s="655">
        <v>2516751</v>
      </c>
      <c r="AL1230" s="805">
        <v>2398632</v>
      </c>
      <c r="AM1230" s="655">
        <v>118119</v>
      </c>
    </row>
    <row r="1231" spans="1:39" x14ac:dyDescent="0.2">
      <c r="A1231" s="648">
        <v>2016</v>
      </c>
      <c r="B1231" s="648">
        <v>7</v>
      </c>
      <c r="C1231" s="657" t="s">
        <v>305</v>
      </c>
      <c r="D1231" s="648">
        <v>4995</v>
      </c>
      <c r="E1231" s="648" t="s">
        <v>1255</v>
      </c>
      <c r="F1231" s="655">
        <v>6044539</v>
      </c>
      <c r="G1231" s="655">
        <v>41131</v>
      </c>
      <c r="H1231" s="655">
        <v>44968</v>
      </c>
      <c r="I1231" s="655">
        <v>638009</v>
      </c>
      <c r="J1231" s="655">
        <v>516653</v>
      </c>
      <c r="K1231" s="655">
        <v>58735</v>
      </c>
      <c r="L1231" s="655">
        <v>54729</v>
      </c>
      <c r="M1231" s="655">
        <v>0</v>
      </c>
      <c r="N1231" s="655">
        <v>294606</v>
      </c>
      <c r="O1231" s="655">
        <v>0</v>
      </c>
      <c r="P1231" s="655">
        <v>49327</v>
      </c>
      <c r="Q1231" s="655">
        <v>55103</v>
      </c>
      <c r="R1231" s="655">
        <v>0</v>
      </c>
      <c r="S1231" s="655">
        <v>37580</v>
      </c>
      <c r="T1231" s="655">
        <v>4314</v>
      </c>
      <c r="U1231" s="655">
        <v>149254</v>
      </c>
      <c r="V1231" s="655">
        <v>0</v>
      </c>
      <c r="W1231" s="655">
        <v>167258</v>
      </c>
      <c r="X1231" s="655">
        <v>225408.74</v>
      </c>
      <c r="Y1231" s="655">
        <v>0</v>
      </c>
      <c r="Z1231" s="655">
        <v>0</v>
      </c>
      <c r="AA1231" s="655">
        <v>0</v>
      </c>
      <c r="AB1231" s="655">
        <v>0</v>
      </c>
      <c r="AC1231" s="655">
        <v>0</v>
      </c>
      <c r="AD1231" s="655">
        <v>47573</v>
      </c>
      <c r="AE1231" s="655">
        <v>8334041.7400000002</v>
      </c>
      <c r="AF1231" s="655">
        <v>167596</v>
      </c>
      <c r="AG1231" s="655">
        <v>469875</v>
      </c>
      <c r="AH1231" s="655">
        <v>0</v>
      </c>
      <c r="AI1231" s="805">
        <v>845927</v>
      </c>
      <c r="AJ1231" s="655">
        <v>1625851</v>
      </c>
      <c r="AK1231" s="655">
        <v>11443290.74</v>
      </c>
      <c r="AL1231" s="805">
        <v>10001245</v>
      </c>
      <c r="AM1231" s="655">
        <v>1442045.7400000002</v>
      </c>
    </row>
    <row r="1232" spans="1:39" x14ac:dyDescent="0.2">
      <c r="A1232" s="648">
        <v>2016</v>
      </c>
      <c r="B1232" s="648">
        <v>15</v>
      </c>
      <c r="C1232" s="657" t="s">
        <v>306</v>
      </c>
      <c r="D1232" s="648">
        <v>5013</v>
      </c>
      <c r="E1232" s="648" t="s">
        <v>1256</v>
      </c>
      <c r="F1232" s="655">
        <v>15861028</v>
      </c>
      <c r="G1232" s="655">
        <v>0</v>
      </c>
      <c r="H1232" s="655">
        <v>271267</v>
      </c>
      <c r="I1232" s="655">
        <v>1906791</v>
      </c>
      <c r="J1232" s="655">
        <v>1335122</v>
      </c>
      <c r="K1232" s="655">
        <v>157011</v>
      </c>
      <c r="L1232" s="655">
        <v>174899</v>
      </c>
      <c r="M1232" s="655">
        <v>0</v>
      </c>
      <c r="N1232" s="655">
        <v>773807</v>
      </c>
      <c r="O1232" s="655">
        <v>0</v>
      </c>
      <c r="P1232" s="655">
        <v>137784</v>
      </c>
      <c r="Q1232" s="655">
        <v>151351</v>
      </c>
      <c r="R1232" s="655">
        <v>2066</v>
      </c>
      <c r="S1232" s="655">
        <v>77483</v>
      </c>
      <c r="T1232" s="655">
        <v>8379</v>
      </c>
      <c r="U1232" s="655">
        <v>466470</v>
      </c>
      <c r="V1232" s="655">
        <v>38407</v>
      </c>
      <c r="W1232" s="655">
        <v>205508</v>
      </c>
      <c r="X1232" s="655">
        <v>424368.78</v>
      </c>
      <c r="Y1232" s="655">
        <v>0</v>
      </c>
      <c r="Z1232" s="655">
        <v>0</v>
      </c>
      <c r="AA1232" s="655">
        <v>0</v>
      </c>
      <c r="AB1232" s="655">
        <v>0</v>
      </c>
      <c r="AC1232" s="655">
        <v>-5475</v>
      </c>
      <c r="AD1232" s="655">
        <v>115216</v>
      </c>
      <c r="AE1232" s="655">
        <v>21871050.780000001</v>
      </c>
      <c r="AF1232" s="655">
        <v>399652</v>
      </c>
      <c r="AG1232" s="655">
        <v>982115</v>
      </c>
      <c r="AH1232" s="655">
        <v>0</v>
      </c>
      <c r="AI1232" s="805">
        <v>3017614</v>
      </c>
      <c r="AJ1232" s="655">
        <v>3326439</v>
      </c>
      <c r="AK1232" s="655">
        <v>29596870.780000001</v>
      </c>
      <c r="AL1232" s="805">
        <v>25471437</v>
      </c>
      <c r="AM1232" s="655">
        <v>4125433.7800000012</v>
      </c>
    </row>
    <row r="1233" spans="1:39" x14ac:dyDescent="0.2">
      <c r="A1233" s="648">
        <v>2016</v>
      </c>
      <c r="B1233" s="648">
        <v>15</v>
      </c>
      <c r="C1233" s="657" t="s">
        <v>307</v>
      </c>
      <c r="D1233" s="648">
        <v>5049</v>
      </c>
      <c r="E1233" s="648" t="s">
        <v>1257</v>
      </c>
      <c r="F1233" s="655">
        <v>29638063</v>
      </c>
      <c r="G1233" s="655">
        <v>0</v>
      </c>
      <c r="H1233" s="655">
        <v>634312</v>
      </c>
      <c r="I1233" s="655">
        <v>3380863</v>
      </c>
      <c r="J1233" s="655">
        <v>2461486</v>
      </c>
      <c r="K1233" s="655">
        <v>279093</v>
      </c>
      <c r="L1233" s="655">
        <v>356797</v>
      </c>
      <c r="M1233" s="655">
        <v>1437671</v>
      </c>
      <c r="N1233" s="655">
        <v>1438009</v>
      </c>
      <c r="O1233" s="655">
        <v>0</v>
      </c>
      <c r="P1233" s="655">
        <v>246050</v>
      </c>
      <c r="Q1233" s="655">
        <v>270277</v>
      </c>
      <c r="R1233" s="655">
        <v>3840</v>
      </c>
      <c r="S1233" s="655">
        <v>143990</v>
      </c>
      <c r="T1233" s="655">
        <v>15572</v>
      </c>
      <c r="U1233" s="655">
        <v>0</v>
      </c>
      <c r="V1233" s="655">
        <v>9647</v>
      </c>
      <c r="W1233" s="655">
        <v>665058</v>
      </c>
      <c r="X1233" s="655">
        <v>718109.86</v>
      </c>
      <c r="Y1233" s="655">
        <v>0</v>
      </c>
      <c r="Z1233" s="655">
        <v>0</v>
      </c>
      <c r="AA1233" s="655">
        <v>0</v>
      </c>
      <c r="AB1233" s="655">
        <v>0</v>
      </c>
      <c r="AC1233" s="655">
        <v>-4476</v>
      </c>
      <c r="AD1233" s="655">
        <v>217386</v>
      </c>
      <c r="AE1233" s="655">
        <v>41476975.859999999</v>
      </c>
      <c r="AF1233" s="655">
        <v>731621</v>
      </c>
      <c r="AG1233" s="655">
        <v>1628611</v>
      </c>
      <c r="AH1233" s="655">
        <v>0</v>
      </c>
      <c r="AI1233" s="805">
        <v>4361933</v>
      </c>
      <c r="AJ1233" s="655">
        <v>19414205</v>
      </c>
      <c r="AK1233" s="655">
        <v>67613345.859999999</v>
      </c>
      <c r="AL1233" s="805">
        <v>47679391</v>
      </c>
      <c r="AM1233" s="655">
        <v>19933954.859999999</v>
      </c>
    </row>
    <row r="1234" spans="1:39" x14ac:dyDescent="0.2">
      <c r="A1234" s="648">
        <v>2016</v>
      </c>
      <c r="B1234" s="648">
        <v>11</v>
      </c>
      <c r="C1234" s="657" t="s">
        <v>308</v>
      </c>
      <c r="D1234" s="648">
        <v>5121</v>
      </c>
      <c r="E1234" s="648" t="s">
        <v>1258</v>
      </c>
      <c r="F1234" s="655">
        <v>4608245</v>
      </c>
      <c r="G1234" s="655">
        <v>66761</v>
      </c>
      <c r="H1234" s="655">
        <v>56731</v>
      </c>
      <c r="I1234" s="655">
        <v>422149</v>
      </c>
      <c r="J1234" s="655">
        <v>389282</v>
      </c>
      <c r="K1234" s="655">
        <v>38151</v>
      </c>
      <c r="L1234" s="655">
        <v>40267</v>
      </c>
      <c r="M1234" s="655">
        <v>224574</v>
      </c>
      <c r="N1234" s="655">
        <v>214849</v>
      </c>
      <c r="O1234" s="655">
        <v>4058</v>
      </c>
      <c r="P1234" s="655">
        <v>37721</v>
      </c>
      <c r="Q1234" s="655">
        <v>41407</v>
      </c>
      <c r="R1234" s="655">
        <v>0</v>
      </c>
      <c r="S1234" s="655">
        <v>17659</v>
      </c>
      <c r="T1234" s="655">
        <v>2251</v>
      </c>
      <c r="U1234" s="655">
        <v>227550</v>
      </c>
      <c r="V1234" s="655">
        <v>0</v>
      </c>
      <c r="W1234" s="655">
        <v>123356</v>
      </c>
      <c r="X1234" s="655">
        <v>404059.97</v>
      </c>
      <c r="Y1234" s="655">
        <v>0</v>
      </c>
      <c r="Z1234" s="655">
        <v>0</v>
      </c>
      <c r="AA1234" s="655">
        <v>0</v>
      </c>
      <c r="AB1234" s="655">
        <v>0</v>
      </c>
      <c r="AC1234" s="655">
        <v>0</v>
      </c>
      <c r="AD1234" s="655">
        <v>32669</v>
      </c>
      <c r="AE1234" s="655">
        <v>6886401.9699999997</v>
      </c>
      <c r="AF1234" s="655">
        <v>128920</v>
      </c>
      <c r="AG1234" s="655">
        <v>392233</v>
      </c>
      <c r="AH1234" s="655">
        <v>0</v>
      </c>
      <c r="AI1234" s="805">
        <v>688103</v>
      </c>
      <c r="AJ1234" s="655">
        <v>1761976</v>
      </c>
      <c r="AK1234" s="655">
        <v>9857633.9699999988</v>
      </c>
      <c r="AL1234" s="805">
        <v>8244054</v>
      </c>
      <c r="AM1234" s="655">
        <v>1613579.9699999988</v>
      </c>
    </row>
    <row r="1235" spans="1:39" x14ac:dyDescent="0.2">
      <c r="A1235" s="648">
        <v>2016</v>
      </c>
      <c r="B1235" s="648">
        <v>5</v>
      </c>
      <c r="C1235" s="657" t="s">
        <v>309</v>
      </c>
      <c r="D1235" s="648">
        <v>5139</v>
      </c>
      <c r="E1235" s="648" t="s">
        <v>1259</v>
      </c>
      <c r="F1235" s="655">
        <v>1350375</v>
      </c>
      <c r="G1235" s="655">
        <v>0</v>
      </c>
      <c r="H1235" s="655">
        <v>246949</v>
      </c>
      <c r="I1235" s="655">
        <v>128623</v>
      </c>
      <c r="J1235" s="655">
        <v>117145</v>
      </c>
      <c r="K1235" s="655">
        <v>10296</v>
      </c>
      <c r="L1235" s="655">
        <v>14061</v>
      </c>
      <c r="M1235" s="655">
        <v>0</v>
      </c>
      <c r="N1235" s="655">
        <v>65601</v>
      </c>
      <c r="O1235" s="655">
        <v>0</v>
      </c>
      <c r="P1235" s="655">
        <v>10830</v>
      </c>
      <c r="Q1235" s="655">
        <v>12165</v>
      </c>
      <c r="R1235" s="655">
        <v>197</v>
      </c>
      <c r="S1235" s="655">
        <v>6987</v>
      </c>
      <c r="T1235" s="655">
        <v>832</v>
      </c>
      <c r="U1235" s="655">
        <v>46026</v>
      </c>
      <c r="V1235" s="655">
        <v>0</v>
      </c>
      <c r="W1235" s="655">
        <v>44562</v>
      </c>
      <c r="X1235" s="655">
        <v>48953.33</v>
      </c>
      <c r="Y1235" s="655">
        <v>0</v>
      </c>
      <c r="Z1235" s="655">
        <v>0</v>
      </c>
      <c r="AA1235" s="655">
        <v>0</v>
      </c>
      <c r="AB1235" s="655">
        <v>0</v>
      </c>
      <c r="AC1235" s="655">
        <v>0</v>
      </c>
      <c r="AD1235" s="655">
        <v>10377</v>
      </c>
      <c r="AE1235" s="655">
        <v>2093225.33</v>
      </c>
      <c r="AF1235" s="655">
        <v>51568</v>
      </c>
      <c r="AG1235" s="655">
        <v>115984</v>
      </c>
      <c r="AH1235" s="655">
        <v>0</v>
      </c>
      <c r="AI1235" s="805">
        <v>527732</v>
      </c>
      <c r="AJ1235" s="655">
        <v>728229</v>
      </c>
      <c r="AK1235" s="655">
        <v>3516738.33</v>
      </c>
      <c r="AL1235" s="805">
        <v>2542011</v>
      </c>
      <c r="AM1235" s="655">
        <v>974727.33000000007</v>
      </c>
    </row>
    <row r="1236" spans="1:39" x14ac:dyDescent="0.2">
      <c r="A1236" s="648">
        <v>2016</v>
      </c>
      <c r="B1236" s="648">
        <v>12</v>
      </c>
      <c r="C1236" s="657" t="s">
        <v>310</v>
      </c>
      <c r="D1236" s="648">
        <v>6099</v>
      </c>
      <c r="E1236" s="648" t="s">
        <v>646</v>
      </c>
      <c r="F1236" s="655">
        <v>4080072</v>
      </c>
      <c r="G1236" s="655">
        <v>270148</v>
      </c>
      <c r="H1236" s="655">
        <v>45045</v>
      </c>
      <c r="I1236" s="655">
        <v>743161</v>
      </c>
      <c r="J1236" s="655">
        <v>379719</v>
      </c>
      <c r="K1236" s="655">
        <v>44762</v>
      </c>
      <c r="L1236" s="655">
        <v>37589</v>
      </c>
      <c r="M1236" s="655">
        <v>0</v>
      </c>
      <c r="N1236" s="655">
        <v>215186</v>
      </c>
      <c r="O1236" s="655">
        <v>7399</v>
      </c>
      <c r="P1236" s="655">
        <v>37750</v>
      </c>
      <c r="Q1236" s="655">
        <v>42385</v>
      </c>
      <c r="R1236" s="655">
        <v>0</v>
      </c>
      <c r="S1236" s="655">
        <v>22347</v>
      </c>
      <c r="T1236" s="655">
        <v>2673</v>
      </c>
      <c r="U1236" s="655">
        <v>201492</v>
      </c>
      <c r="V1236" s="655">
        <v>0</v>
      </c>
      <c r="W1236" s="655">
        <v>34690</v>
      </c>
      <c r="X1236" s="655">
        <v>82156.320000000007</v>
      </c>
      <c r="Y1236" s="655">
        <v>0</v>
      </c>
      <c r="Z1236" s="655">
        <v>0</v>
      </c>
      <c r="AA1236" s="655">
        <v>0</v>
      </c>
      <c r="AB1236" s="655">
        <v>0</v>
      </c>
      <c r="AC1236" s="655">
        <v>0</v>
      </c>
      <c r="AD1236" s="655">
        <v>39658</v>
      </c>
      <c r="AE1236" s="655">
        <v>6206916.3200000003</v>
      </c>
      <c r="AF1236" s="655">
        <v>103096</v>
      </c>
      <c r="AG1236" s="655">
        <v>371291</v>
      </c>
      <c r="AH1236" s="655">
        <v>0</v>
      </c>
      <c r="AI1236" s="805">
        <v>523890</v>
      </c>
      <c r="AJ1236" s="655">
        <v>1039262</v>
      </c>
      <c r="AK1236" s="655">
        <v>8244455.3200000003</v>
      </c>
      <c r="AL1236" s="805">
        <v>6933844</v>
      </c>
      <c r="AM1236" s="655">
        <v>1310611.3200000003</v>
      </c>
    </row>
    <row r="1237" spans="1:39" x14ac:dyDescent="0.2">
      <c r="A1237" s="648">
        <v>2016</v>
      </c>
      <c r="B1237" s="648">
        <v>15</v>
      </c>
      <c r="C1237" s="657" t="s">
        <v>311</v>
      </c>
      <c r="D1237" s="648">
        <v>5163</v>
      </c>
      <c r="E1237" s="648" t="s">
        <v>1260</v>
      </c>
      <c r="F1237" s="655">
        <v>4105457</v>
      </c>
      <c r="G1237" s="655">
        <v>0</v>
      </c>
      <c r="H1237" s="655">
        <v>98243</v>
      </c>
      <c r="I1237" s="655">
        <v>402682</v>
      </c>
      <c r="J1237" s="655">
        <v>352416</v>
      </c>
      <c r="K1237" s="655">
        <v>39596</v>
      </c>
      <c r="L1237" s="655">
        <v>40730</v>
      </c>
      <c r="M1237" s="655">
        <v>0</v>
      </c>
      <c r="N1237" s="655">
        <v>196334</v>
      </c>
      <c r="O1237" s="655">
        <v>4227</v>
      </c>
      <c r="P1237" s="655">
        <v>33576</v>
      </c>
      <c r="Q1237" s="655">
        <v>36882</v>
      </c>
      <c r="R1237" s="655">
        <v>525</v>
      </c>
      <c r="S1237" s="655">
        <v>19659</v>
      </c>
      <c r="T1237" s="655">
        <v>2126</v>
      </c>
      <c r="U1237" s="655">
        <v>6423</v>
      </c>
      <c r="V1237" s="655">
        <v>0</v>
      </c>
      <c r="W1237" s="655">
        <v>100687</v>
      </c>
      <c r="X1237" s="655">
        <v>172254.12</v>
      </c>
      <c r="Y1237" s="655">
        <v>0</v>
      </c>
      <c r="Z1237" s="655">
        <v>0</v>
      </c>
      <c r="AA1237" s="655">
        <v>0</v>
      </c>
      <c r="AB1237" s="655">
        <v>0</v>
      </c>
      <c r="AC1237" s="655">
        <v>-1592</v>
      </c>
      <c r="AD1237" s="655">
        <v>33180</v>
      </c>
      <c r="AE1237" s="655">
        <v>5577045.1200000001</v>
      </c>
      <c r="AF1237" s="655">
        <v>109582</v>
      </c>
      <c r="AG1237" s="655">
        <v>325440</v>
      </c>
      <c r="AH1237" s="655">
        <v>0</v>
      </c>
      <c r="AI1237" s="805">
        <v>864493</v>
      </c>
      <c r="AJ1237" s="655">
        <v>502165</v>
      </c>
      <c r="AK1237" s="655">
        <v>7378725.1200000001</v>
      </c>
      <c r="AL1237" s="805">
        <v>6725395</v>
      </c>
      <c r="AM1237" s="655">
        <v>653330.12000000011</v>
      </c>
    </row>
    <row r="1238" spans="1:39" x14ac:dyDescent="0.2">
      <c r="A1238" s="648">
        <v>2016</v>
      </c>
      <c r="B1238" s="648">
        <v>11</v>
      </c>
      <c r="C1238" s="657" t="s">
        <v>312</v>
      </c>
      <c r="D1238" s="648">
        <v>5166</v>
      </c>
      <c r="E1238" s="648" t="s">
        <v>1261</v>
      </c>
      <c r="F1238" s="655">
        <v>13616530</v>
      </c>
      <c r="G1238" s="655">
        <v>90862</v>
      </c>
      <c r="H1238" s="655">
        <v>304986</v>
      </c>
      <c r="I1238" s="655">
        <v>1290038</v>
      </c>
      <c r="J1238" s="655">
        <v>1113129</v>
      </c>
      <c r="K1238" s="655">
        <v>119329</v>
      </c>
      <c r="L1238" s="655">
        <v>128371</v>
      </c>
      <c r="M1238" s="655">
        <v>660505</v>
      </c>
      <c r="N1238" s="655">
        <v>636663</v>
      </c>
      <c r="O1238" s="655">
        <v>0</v>
      </c>
      <c r="P1238" s="655">
        <v>140732</v>
      </c>
      <c r="Q1238" s="655">
        <v>154481</v>
      </c>
      <c r="R1238" s="655">
        <v>0</v>
      </c>
      <c r="S1238" s="655">
        <v>52171</v>
      </c>
      <c r="T1238" s="655">
        <v>6637</v>
      </c>
      <c r="U1238" s="655">
        <v>336188</v>
      </c>
      <c r="V1238" s="655">
        <v>0</v>
      </c>
      <c r="W1238" s="655">
        <v>191060</v>
      </c>
      <c r="X1238" s="655">
        <v>645535.64</v>
      </c>
      <c r="Y1238" s="655">
        <v>0</v>
      </c>
      <c r="Z1238" s="655">
        <v>0</v>
      </c>
      <c r="AA1238" s="655">
        <v>0</v>
      </c>
      <c r="AB1238" s="655">
        <v>0</v>
      </c>
      <c r="AC1238" s="655">
        <v>0</v>
      </c>
      <c r="AD1238" s="655">
        <v>94924</v>
      </c>
      <c r="AE1238" s="655">
        <v>19392293.640000001</v>
      </c>
      <c r="AF1238" s="655">
        <v>399652</v>
      </c>
      <c r="AG1238" s="655">
        <v>858960</v>
      </c>
      <c r="AH1238" s="655">
        <v>0</v>
      </c>
      <c r="AI1238" s="805">
        <v>2555304</v>
      </c>
      <c r="AJ1238" s="655">
        <v>5461609</v>
      </c>
      <c r="AK1238" s="655">
        <v>28667818.640000001</v>
      </c>
      <c r="AL1238" s="805">
        <v>23503353</v>
      </c>
      <c r="AM1238" s="655">
        <v>5164465.6400000006</v>
      </c>
    </row>
    <row r="1239" spans="1:39" x14ac:dyDescent="0.2">
      <c r="A1239" s="648">
        <v>2016</v>
      </c>
      <c r="B1239" s="648">
        <v>11</v>
      </c>
      <c r="C1239" s="657" t="s">
        <v>313</v>
      </c>
      <c r="D1239" s="648">
        <v>5184</v>
      </c>
      <c r="E1239" s="648" t="s">
        <v>1262</v>
      </c>
      <c r="F1239" s="655">
        <v>11820575</v>
      </c>
      <c r="G1239" s="655">
        <v>0</v>
      </c>
      <c r="H1239" s="655">
        <v>678018</v>
      </c>
      <c r="I1239" s="655">
        <v>1549472</v>
      </c>
      <c r="J1239" s="655">
        <v>1040346</v>
      </c>
      <c r="K1239" s="655">
        <v>112980</v>
      </c>
      <c r="L1239" s="655">
        <v>155297</v>
      </c>
      <c r="M1239" s="655">
        <v>0</v>
      </c>
      <c r="N1239" s="655">
        <v>570949</v>
      </c>
      <c r="O1239" s="655">
        <v>0</v>
      </c>
      <c r="P1239" s="655">
        <v>101853</v>
      </c>
      <c r="Q1239" s="655">
        <v>111804</v>
      </c>
      <c r="R1239" s="655">
        <v>0</v>
      </c>
      <c r="S1239" s="655">
        <v>46786</v>
      </c>
      <c r="T1239" s="655">
        <v>5952</v>
      </c>
      <c r="U1239" s="655">
        <v>516162</v>
      </c>
      <c r="V1239" s="655">
        <v>0</v>
      </c>
      <c r="W1239" s="655">
        <v>377109</v>
      </c>
      <c r="X1239" s="655">
        <v>685239.38</v>
      </c>
      <c r="Y1239" s="655">
        <v>0</v>
      </c>
      <c r="Z1239" s="655">
        <v>0</v>
      </c>
      <c r="AA1239" s="655">
        <v>0</v>
      </c>
      <c r="AB1239" s="655">
        <v>0</v>
      </c>
      <c r="AC1239" s="655">
        <v>-6367</v>
      </c>
      <c r="AD1239" s="655">
        <v>80425</v>
      </c>
      <c r="AE1239" s="655">
        <v>17685750.379999999</v>
      </c>
      <c r="AF1239" s="655">
        <v>360976</v>
      </c>
      <c r="AG1239" s="655">
        <v>650605</v>
      </c>
      <c r="AH1239" s="655">
        <v>0</v>
      </c>
      <c r="AI1239" s="805">
        <v>2167301</v>
      </c>
      <c r="AJ1239" s="655">
        <v>7543248</v>
      </c>
      <c r="AK1239" s="655">
        <v>28407880.379999999</v>
      </c>
      <c r="AL1239" s="805">
        <v>21377284</v>
      </c>
      <c r="AM1239" s="655">
        <v>7030596.379999999</v>
      </c>
    </row>
    <row r="1240" spans="1:39" x14ac:dyDescent="0.2">
      <c r="A1240" s="648">
        <v>2016</v>
      </c>
      <c r="B1240" s="648">
        <v>9</v>
      </c>
      <c r="C1240" s="657" t="s">
        <v>314</v>
      </c>
      <c r="D1240" s="648">
        <v>5250</v>
      </c>
      <c r="E1240" s="648" t="s">
        <v>1263</v>
      </c>
      <c r="F1240" s="655">
        <v>28856152</v>
      </c>
      <c r="G1240" s="655">
        <v>0</v>
      </c>
      <c r="H1240" s="655">
        <v>307542</v>
      </c>
      <c r="I1240" s="655">
        <v>1850607</v>
      </c>
      <c r="J1240" s="655">
        <v>2263008</v>
      </c>
      <c r="K1240" s="655">
        <v>261368</v>
      </c>
      <c r="L1240" s="655">
        <v>235709</v>
      </c>
      <c r="M1240" s="655">
        <v>0</v>
      </c>
      <c r="N1240" s="655">
        <v>1327079</v>
      </c>
      <c r="O1240" s="655">
        <v>0</v>
      </c>
      <c r="P1240" s="655">
        <v>240154</v>
      </c>
      <c r="Q1240" s="655">
        <v>261998</v>
      </c>
      <c r="R1240" s="655">
        <v>0</v>
      </c>
      <c r="S1240" s="655">
        <v>119392</v>
      </c>
      <c r="T1240" s="655">
        <v>14002</v>
      </c>
      <c r="U1240" s="655">
        <v>741137</v>
      </c>
      <c r="V1240" s="655">
        <v>0</v>
      </c>
      <c r="W1240" s="655">
        <v>961455</v>
      </c>
      <c r="X1240" s="655">
        <v>452265.31</v>
      </c>
      <c r="Y1240" s="655">
        <v>0</v>
      </c>
      <c r="Z1240" s="655">
        <v>0</v>
      </c>
      <c r="AA1240" s="655">
        <v>0</v>
      </c>
      <c r="AB1240" s="655">
        <v>0</v>
      </c>
      <c r="AC1240" s="655">
        <v>9099</v>
      </c>
      <c r="AD1240" s="655">
        <v>135851</v>
      </c>
      <c r="AE1240" s="655">
        <v>37765116.310000002</v>
      </c>
      <c r="AF1240" s="655">
        <v>506051</v>
      </c>
      <c r="AG1240" s="655">
        <v>1735063</v>
      </c>
      <c r="AH1240" s="655">
        <v>0</v>
      </c>
      <c r="AI1240" s="805">
        <v>5211413</v>
      </c>
      <c r="AJ1240" s="655">
        <v>8687959</v>
      </c>
      <c r="AK1240" s="655">
        <v>53905602.310000002</v>
      </c>
      <c r="AL1240" s="805">
        <v>45391590</v>
      </c>
      <c r="AM1240" s="655">
        <v>8514012.3100000024</v>
      </c>
    </row>
    <row r="1241" spans="1:39" x14ac:dyDescent="0.2">
      <c r="A1241" s="648">
        <v>2016</v>
      </c>
      <c r="B1241" s="648">
        <v>11</v>
      </c>
      <c r="C1241" s="657" t="s">
        <v>315</v>
      </c>
      <c r="D1241" s="648">
        <v>5256</v>
      </c>
      <c r="E1241" s="648" t="s">
        <v>1264</v>
      </c>
      <c r="F1241" s="655">
        <v>4321398</v>
      </c>
      <c r="G1241" s="655">
        <v>0</v>
      </c>
      <c r="H1241" s="655">
        <v>50620</v>
      </c>
      <c r="I1241" s="655">
        <v>498469</v>
      </c>
      <c r="J1241" s="655">
        <v>371898</v>
      </c>
      <c r="K1241" s="655">
        <v>38984</v>
      </c>
      <c r="L1241" s="655">
        <v>49268</v>
      </c>
      <c r="M1241" s="655">
        <v>0</v>
      </c>
      <c r="N1241" s="655">
        <v>205858</v>
      </c>
      <c r="O1241" s="655">
        <v>0</v>
      </c>
      <c r="P1241" s="655">
        <v>35354</v>
      </c>
      <c r="Q1241" s="655">
        <v>38808</v>
      </c>
      <c r="R1241" s="655">
        <v>0</v>
      </c>
      <c r="S1241" s="655">
        <v>16869</v>
      </c>
      <c r="T1241" s="655">
        <v>2146</v>
      </c>
      <c r="U1241" s="655">
        <v>79516</v>
      </c>
      <c r="V1241" s="655">
        <v>0</v>
      </c>
      <c r="W1241" s="655">
        <v>45767</v>
      </c>
      <c r="X1241" s="655">
        <v>331170.36</v>
      </c>
      <c r="Y1241" s="655">
        <v>0</v>
      </c>
      <c r="Z1241" s="655">
        <v>0</v>
      </c>
      <c r="AA1241" s="655">
        <v>0</v>
      </c>
      <c r="AB1241" s="655">
        <v>0</v>
      </c>
      <c r="AC1241" s="655">
        <v>0</v>
      </c>
      <c r="AD1241" s="655">
        <v>30464</v>
      </c>
      <c r="AE1241" s="655">
        <v>6055661.3600000003</v>
      </c>
      <c r="AF1241" s="655">
        <v>112805</v>
      </c>
      <c r="AG1241" s="655">
        <v>292083</v>
      </c>
      <c r="AH1241" s="655">
        <v>0</v>
      </c>
      <c r="AI1241" s="805">
        <v>817719</v>
      </c>
      <c r="AJ1241" s="655">
        <v>907465</v>
      </c>
      <c r="AK1241" s="655">
        <v>8185733.3600000003</v>
      </c>
      <c r="AL1241" s="805">
        <v>7624498</v>
      </c>
      <c r="AM1241" s="655">
        <v>561235.36000000034</v>
      </c>
    </row>
    <row r="1242" spans="1:39" x14ac:dyDescent="0.2">
      <c r="A1242" s="648">
        <v>2016</v>
      </c>
      <c r="B1242" s="648">
        <v>5</v>
      </c>
      <c r="C1242" s="657" t="s">
        <v>316</v>
      </c>
      <c r="D1242" s="648">
        <v>5283</v>
      </c>
      <c r="E1242" s="648" t="s">
        <v>647</v>
      </c>
      <c r="F1242" s="655">
        <v>4565240</v>
      </c>
      <c r="G1242" s="655">
        <v>58544</v>
      </c>
      <c r="H1242" s="655">
        <v>151073</v>
      </c>
      <c r="I1242" s="655">
        <v>521610</v>
      </c>
      <c r="J1242" s="655">
        <v>458357</v>
      </c>
      <c r="K1242" s="655">
        <v>57646</v>
      </c>
      <c r="L1242" s="655">
        <v>41428</v>
      </c>
      <c r="M1242" s="655">
        <v>0</v>
      </c>
      <c r="N1242" s="655">
        <v>226725</v>
      </c>
      <c r="O1242" s="655">
        <v>39322</v>
      </c>
      <c r="P1242" s="655">
        <v>40826</v>
      </c>
      <c r="Q1242" s="655">
        <v>45855</v>
      </c>
      <c r="R1242" s="655">
        <v>678</v>
      </c>
      <c r="S1242" s="655">
        <v>24147</v>
      </c>
      <c r="T1242" s="655">
        <v>2877</v>
      </c>
      <c r="U1242" s="655">
        <v>171370</v>
      </c>
      <c r="V1242" s="655">
        <v>0</v>
      </c>
      <c r="W1242" s="655">
        <v>152679</v>
      </c>
      <c r="X1242" s="655">
        <v>95631.93</v>
      </c>
      <c r="Y1242" s="655">
        <v>0</v>
      </c>
      <c r="Z1242" s="655">
        <v>0</v>
      </c>
      <c r="AA1242" s="655">
        <v>0</v>
      </c>
      <c r="AB1242" s="655">
        <v>0</v>
      </c>
      <c r="AC1242" s="655">
        <v>0</v>
      </c>
      <c r="AD1242" s="655">
        <v>52222</v>
      </c>
      <c r="AE1242" s="655">
        <v>6601786.9299999997</v>
      </c>
      <c r="AF1242" s="655">
        <v>154704</v>
      </c>
      <c r="AG1242" s="655">
        <v>413967</v>
      </c>
      <c r="AH1242" s="655">
        <v>0</v>
      </c>
      <c r="AI1242" s="805">
        <v>1568629</v>
      </c>
      <c r="AJ1242" s="655">
        <v>2855443</v>
      </c>
      <c r="AK1242" s="655">
        <v>11594529.93</v>
      </c>
      <c r="AL1242" s="805">
        <v>8458261</v>
      </c>
      <c r="AM1242" s="655">
        <v>3136268.9299999997</v>
      </c>
    </row>
    <row r="1243" spans="1:39" x14ac:dyDescent="0.2">
      <c r="A1243" s="648">
        <v>2016</v>
      </c>
      <c r="B1243" s="648">
        <v>1</v>
      </c>
      <c r="C1243" s="657" t="s">
        <v>317</v>
      </c>
      <c r="D1243" s="648">
        <v>5310</v>
      </c>
      <c r="E1243" s="648" t="s">
        <v>1265</v>
      </c>
      <c r="F1243" s="655">
        <v>4250022</v>
      </c>
      <c r="G1243" s="655">
        <v>0</v>
      </c>
      <c r="H1243" s="655">
        <v>344413</v>
      </c>
      <c r="I1243" s="655">
        <v>418479</v>
      </c>
      <c r="J1243" s="655">
        <v>377988</v>
      </c>
      <c r="K1243" s="655">
        <v>36986</v>
      </c>
      <c r="L1243" s="655">
        <v>58430</v>
      </c>
      <c r="M1243" s="655">
        <v>0</v>
      </c>
      <c r="N1243" s="655">
        <v>215081</v>
      </c>
      <c r="O1243" s="655">
        <v>1250</v>
      </c>
      <c r="P1243" s="655">
        <v>35623</v>
      </c>
      <c r="Q1243" s="655">
        <v>39756</v>
      </c>
      <c r="R1243" s="655">
        <v>0</v>
      </c>
      <c r="S1243" s="655">
        <v>21274</v>
      </c>
      <c r="T1243" s="655">
        <v>2273</v>
      </c>
      <c r="U1243" s="655">
        <v>0</v>
      </c>
      <c r="V1243" s="655">
        <v>0</v>
      </c>
      <c r="W1243" s="655">
        <v>164317</v>
      </c>
      <c r="X1243" s="655">
        <v>105565.77</v>
      </c>
      <c r="Y1243" s="655">
        <v>0</v>
      </c>
      <c r="Z1243" s="655">
        <v>0</v>
      </c>
      <c r="AA1243" s="655">
        <v>0</v>
      </c>
      <c r="AB1243" s="655">
        <v>0</v>
      </c>
      <c r="AC1243" s="655">
        <v>0</v>
      </c>
      <c r="AD1243" s="655">
        <v>30686</v>
      </c>
      <c r="AE1243" s="655">
        <v>6040771.7699999996</v>
      </c>
      <c r="AF1243" s="655">
        <v>58014</v>
      </c>
      <c r="AG1243" s="655">
        <v>293209</v>
      </c>
      <c r="AH1243" s="655">
        <v>0</v>
      </c>
      <c r="AI1243" s="805">
        <v>1116793</v>
      </c>
      <c r="AJ1243" s="655">
        <v>3265485</v>
      </c>
      <c r="AK1243" s="655">
        <v>10774272.77</v>
      </c>
      <c r="AL1243" s="805">
        <v>7671963</v>
      </c>
      <c r="AM1243" s="655">
        <v>3102309.7699999996</v>
      </c>
    </row>
    <row r="1244" spans="1:39" x14ac:dyDescent="0.2">
      <c r="A1244" s="648">
        <v>2016</v>
      </c>
      <c r="B1244" s="648">
        <v>11</v>
      </c>
      <c r="C1244" s="657" t="s">
        <v>318</v>
      </c>
      <c r="D1244" s="648">
        <v>5160</v>
      </c>
      <c r="E1244" s="648" t="s">
        <v>648</v>
      </c>
      <c r="F1244" s="655">
        <v>6781192</v>
      </c>
      <c r="G1244" s="655">
        <v>93400</v>
      </c>
      <c r="H1244" s="655">
        <v>60960</v>
      </c>
      <c r="I1244" s="655">
        <v>672705</v>
      </c>
      <c r="J1244" s="655">
        <v>571188</v>
      </c>
      <c r="K1244" s="655">
        <v>61254</v>
      </c>
      <c r="L1244" s="655">
        <v>62527</v>
      </c>
      <c r="M1244" s="655">
        <v>0</v>
      </c>
      <c r="N1244" s="655">
        <v>318357</v>
      </c>
      <c r="O1244" s="655">
        <v>3608</v>
      </c>
      <c r="P1244" s="655">
        <v>56556</v>
      </c>
      <c r="Q1244" s="655">
        <v>62081</v>
      </c>
      <c r="R1244" s="655">
        <v>0</v>
      </c>
      <c r="S1244" s="655">
        <v>26295</v>
      </c>
      <c r="T1244" s="655">
        <v>3352</v>
      </c>
      <c r="U1244" s="655">
        <v>86451</v>
      </c>
      <c r="V1244" s="655">
        <v>0</v>
      </c>
      <c r="W1244" s="655">
        <v>108937</v>
      </c>
      <c r="X1244" s="655">
        <v>277102.31</v>
      </c>
      <c r="Y1244" s="655">
        <v>0</v>
      </c>
      <c r="Z1244" s="655">
        <v>0</v>
      </c>
      <c r="AA1244" s="655">
        <v>0</v>
      </c>
      <c r="AB1244" s="655">
        <v>0</v>
      </c>
      <c r="AC1244" s="655">
        <v>-21208</v>
      </c>
      <c r="AD1244" s="655">
        <v>44572</v>
      </c>
      <c r="AE1244" s="655">
        <v>9180185.3100000005</v>
      </c>
      <c r="AF1244" s="655">
        <v>193380</v>
      </c>
      <c r="AG1244" s="655">
        <v>470153</v>
      </c>
      <c r="AH1244" s="655">
        <v>0</v>
      </c>
      <c r="AI1244" s="805">
        <v>1093431</v>
      </c>
      <c r="AJ1244" s="655">
        <v>2904634</v>
      </c>
      <c r="AK1244" s="655">
        <v>13841783.310000001</v>
      </c>
      <c r="AL1244" s="805">
        <v>10968496</v>
      </c>
      <c r="AM1244" s="655">
        <v>2873287.3100000005</v>
      </c>
    </row>
    <row r="1245" spans="1:39" x14ac:dyDescent="0.2">
      <c r="A1245" s="648">
        <v>2016</v>
      </c>
      <c r="B1245" s="648">
        <v>5</v>
      </c>
      <c r="C1245" s="657" t="s">
        <v>319</v>
      </c>
      <c r="D1245" s="648">
        <v>5325</v>
      </c>
      <c r="E1245" s="648" t="s">
        <v>649</v>
      </c>
      <c r="F1245" s="655">
        <v>3830604</v>
      </c>
      <c r="G1245" s="655">
        <v>0</v>
      </c>
      <c r="H1245" s="655">
        <v>149429</v>
      </c>
      <c r="I1245" s="655">
        <v>409521</v>
      </c>
      <c r="J1245" s="655">
        <v>359771</v>
      </c>
      <c r="K1245" s="655">
        <v>43312</v>
      </c>
      <c r="L1245" s="655">
        <v>37769</v>
      </c>
      <c r="M1245" s="655">
        <v>0</v>
      </c>
      <c r="N1245" s="655">
        <v>189417</v>
      </c>
      <c r="O1245" s="655">
        <v>13013</v>
      </c>
      <c r="P1245" s="655">
        <v>31907</v>
      </c>
      <c r="Q1245" s="655">
        <v>35838</v>
      </c>
      <c r="R1245" s="655">
        <v>566</v>
      </c>
      <c r="S1245" s="655">
        <v>20174</v>
      </c>
      <c r="T1245" s="655">
        <v>2402</v>
      </c>
      <c r="U1245" s="655">
        <v>110746</v>
      </c>
      <c r="V1245" s="655">
        <v>0</v>
      </c>
      <c r="W1245" s="655">
        <v>120954</v>
      </c>
      <c r="X1245" s="655">
        <v>42309.02</v>
      </c>
      <c r="Y1245" s="655">
        <v>0</v>
      </c>
      <c r="Z1245" s="655">
        <v>0</v>
      </c>
      <c r="AA1245" s="655">
        <v>0</v>
      </c>
      <c r="AB1245" s="655">
        <v>0</v>
      </c>
      <c r="AC1245" s="655">
        <v>0</v>
      </c>
      <c r="AD1245" s="655">
        <v>38887</v>
      </c>
      <c r="AE1245" s="655">
        <v>5358845.0199999996</v>
      </c>
      <c r="AF1245" s="655">
        <v>80575</v>
      </c>
      <c r="AG1245" s="655">
        <v>330044</v>
      </c>
      <c r="AH1245" s="655">
        <v>0</v>
      </c>
      <c r="AI1245" s="805">
        <v>1553207</v>
      </c>
      <c r="AJ1245" s="655">
        <v>863457</v>
      </c>
      <c r="AK1245" s="655">
        <v>8186128.0199999996</v>
      </c>
      <c r="AL1245" s="805">
        <v>7083813</v>
      </c>
      <c r="AM1245" s="655">
        <v>1102315.0199999996</v>
      </c>
    </row>
    <row r="1246" spans="1:39" x14ac:dyDescent="0.2">
      <c r="A1246" s="648">
        <v>2016</v>
      </c>
      <c r="B1246" s="648">
        <v>13</v>
      </c>
      <c r="C1246" s="657" t="s">
        <v>320</v>
      </c>
      <c r="D1246" s="648">
        <v>5463</v>
      </c>
      <c r="E1246" s="648" t="s">
        <v>1266</v>
      </c>
      <c r="F1246" s="655">
        <v>7277534</v>
      </c>
      <c r="G1246" s="655">
        <v>222664</v>
      </c>
      <c r="H1246" s="655">
        <v>154807</v>
      </c>
      <c r="I1246" s="655">
        <v>826700</v>
      </c>
      <c r="J1246" s="655">
        <v>655935</v>
      </c>
      <c r="K1246" s="655">
        <v>72498</v>
      </c>
      <c r="L1246" s="655">
        <v>88304</v>
      </c>
      <c r="M1246" s="655">
        <v>0</v>
      </c>
      <c r="N1246" s="655">
        <v>356267</v>
      </c>
      <c r="O1246" s="655">
        <v>23610</v>
      </c>
      <c r="P1246" s="655">
        <v>59543</v>
      </c>
      <c r="Q1246" s="655">
        <v>65855</v>
      </c>
      <c r="R1246" s="655">
        <v>0</v>
      </c>
      <c r="S1246" s="655">
        <v>37201</v>
      </c>
      <c r="T1246" s="655">
        <v>3948</v>
      </c>
      <c r="U1246" s="655">
        <v>357769</v>
      </c>
      <c r="V1246" s="655">
        <v>50537</v>
      </c>
      <c r="W1246" s="655">
        <v>118508</v>
      </c>
      <c r="X1246" s="655">
        <v>389926.7</v>
      </c>
      <c r="Y1246" s="655">
        <v>0</v>
      </c>
      <c r="Z1246" s="655">
        <v>0</v>
      </c>
      <c r="AA1246" s="655">
        <v>0</v>
      </c>
      <c r="AB1246" s="655">
        <v>0</v>
      </c>
      <c r="AC1246" s="655">
        <v>0</v>
      </c>
      <c r="AD1246" s="655">
        <v>62151</v>
      </c>
      <c r="AE1246" s="655">
        <v>10699455.699999999</v>
      </c>
      <c r="AF1246" s="655">
        <v>170819</v>
      </c>
      <c r="AG1246" s="655">
        <v>565740</v>
      </c>
      <c r="AH1246" s="655">
        <v>0</v>
      </c>
      <c r="AI1246" s="805">
        <v>1813201</v>
      </c>
      <c r="AJ1246" s="655">
        <v>1701386</v>
      </c>
      <c r="AK1246" s="655">
        <v>14950601.699999999</v>
      </c>
      <c r="AL1246" s="805">
        <v>13181732</v>
      </c>
      <c r="AM1246" s="655">
        <v>1768869.6999999993</v>
      </c>
    </row>
    <row r="1247" spans="1:39" x14ac:dyDescent="0.2">
      <c r="A1247" s="648">
        <v>2016</v>
      </c>
      <c r="B1247" s="648">
        <v>12</v>
      </c>
      <c r="C1247" s="657" t="s">
        <v>321</v>
      </c>
      <c r="D1247" s="648">
        <v>5486</v>
      </c>
      <c r="E1247" s="648" t="s">
        <v>1267</v>
      </c>
      <c r="F1247" s="655">
        <v>2450993</v>
      </c>
      <c r="G1247" s="655">
        <v>56460</v>
      </c>
      <c r="H1247" s="655">
        <v>119956</v>
      </c>
      <c r="I1247" s="655">
        <v>469375</v>
      </c>
      <c r="J1247" s="655">
        <v>226810</v>
      </c>
      <c r="K1247" s="655">
        <v>22871</v>
      </c>
      <c r="L1247" s="655">
        <v>21114</v>
      </c>
      <c r="M1247" s="655">
        <v>0</v>
      </c>
      <c r="N1247" s="655">
        <v>130936</v>
      </c>
      <c r="O1247" s="655">
        <v>1062</v>
      </c>
      <c r="P1247" s="655">
        <v>31017</v>
      </c>
      <c r="Q1247" s="655">
        <v>34825</v>
      </c>
      <c r="R1247" s="655">
        <v>0</v>
      </c>
      <c r="S1247" s="655">
        <v>13252</v>
      </c>
      <c r="T1247" s="655">
        <v>1585</v>
      </c>
      <c r="U1247" s="655">
        <v>51750</v>
      </c>
      <c r="V1247" s="655">
        <v>0</v>
      </c>
      <c r="W1247" s="655">
        <v>57294</v>
      </c>
      <c r="X1247" s="655">
        <v>0</v>
      </c>
      <c r="Y1247" s="655">
        <v>127926.53</v>
      </c>
      <c r="Z1247" s="655">
        <v>0</v>
      </c>
      <c r="AA1247" s="655">
        <v>0</v>
      </c>
      <c r="AB1247" s="655">
        <v>0</v>
      </c>
      <c r="AC1247" s="655">
        <v>0</v>
      </c>
      <c r="AD1247" s="655">
        <v>24390</v>
      </c>
      <c r="AE1247" s="655">
        <v>3536983.47</v>
      </c>
      <c r="AF1247" s="655">
        <v>61237</v>
      </c>
      <c r="AG1247" s="655">
        <v>219703</v>
      </c>
      <c r="AH1247" s="655">
        <v>0</v>
      </c>
      <c r="AI1247" s="805">
        <v>644203</v>
      </c>
      <c r="AJ1247" s="655">
        <v>912412</v>
      </c>
      <c r="AK1247" s="655">
        <v>5374538.4700000007</v>
      </c>
      <c r="AL1247" s="805">
        <v>4187053</v>
      </c>
      <c r="AM1247" s="655">
        <v>1187485.4700000007</v>
      </c>
    </row>
    <row r="1248" spans="1:39" x14ac:dyDescent="0.2">
      <c r="A1248" s="648">
        <v>2016</v>
      </c>
      <c r="B1248" s="648">
        <v>1</v>
      </c>
      <c r="C1248" s="657" t="s">
        <v>322</v>
      </c>
      <c r="D1248" s="648">
        <v>5508</v>
      </c>
      <c r="E1248" s="648" t="s">
        <v>1268</v>
      </c>
      <c r="F1248" s="655">
        <v>1973121</v>
      </c>
      <c r="G1248" s="655">
        <v>0</v>
      </c>
      <c r="H1248" s="655">
        <v>17050</v>
      </c>
      <c r="I1248" s="655">
        <v>214265</v>
      </c>
      <c r="J1248" s="655">
        <v>220331</v>
      </c>
      <c r="K1248" s="655">
        <v>26964</v>
      </c>
      <c r="L1248" s="655">
        <v>18926</v>
      </c>
      <c r="M1248" s="655">
        <v>0</v>
      </c>
      <c r="N1248" s="655">
        <v>100977</v>
      </c>
      <c r="O1248" s="655">
        <v>10057</v>
      </c>
      <c r="P1248" s="655">
        <v>16221</v>
      </c>
      <c r="Q1248" s="655">
        <v>18103</v>
      </c>
      <c r="R1248" s="655">
        <v>0</v>
      </c>
      <c r="S1248" s="655">
        <v>9936</v>
      </c>
      <c r="T1248" s="655">
        <v>1062</v>
      </c>
      <c r="U1248" s="655">
        <v>22666</v>
      </c>
      <c r="V1248" s="655">
        <v>0</v>
      </c>
      <c r="W1248" s="655">
        <v>19983</v>
      </c>
      <c r="X1248" s="655">
        <v>125787.47</v>
      </c>
      <c r="Y1248" s="655">
        <v>0</v>
      </c>
      <c r="Z1248" s="655">
        <v>0</v>
      </c>
      <c r="AA1248" s="655">
        <v>0</v>
      </c>
      <c r="AB1248" s="655">
        <v>0</v>
      </c>
      <c r="AC1248" s="655">
        <v>0</v>
      </c>
      <c r="AD1248" s="655">
        <v>21332</v>
      </c>
      <c r="AE1248" s="655">
        <v>2774117.47</v>
      </c>
      <c r="AF1248" s="655">
        <v>0</v>
      </c>
      <c r="AG1248" s="655">
        <v>174444</v>
      </c>
      <c r="AH1248" s="655">
        <v>0</v>
      </c>
      <c r="AI1248" s="805">
        <v>753261</v>
      </c>
      <c r="AJ1248" s="655">
        <v>853815</v>
      </c>
      <c r="AK1248" s="655">
        <v>4555637.4700000007</v>
      </c>
      <c r="AL1248" s="805">
        <v>3703390</v>
      </c>
      <c r="AM1248" s="655">
        <v>852247.47000000067</v>
      </c>
    </row>
    <row r="1249" spans="1:39" x14ac:dyDescent="0.2">
      <c r="A1249" s="648">
        <v>2016</v>
      </c>
      <c r="B1249" s="648">
        <v>12</v>
      </c>
      <c r="C1249" s="657" t="s">
        <v>323</v>
      </c>
      <c r="D1249" s="648">
        <v>5607</v>
      </c>
      <c r="E1249" s="648" t="s">
        <v>1269</v>
      </c>
      <c r="F1249" s="655">
        <v>4616149</v>
      </c>
      <c r="G1249" s="655">
        <v>0</v>
      </c>
      <c r="H1249" s="655">
        <v>248134</v>
      </c>
      <c r="I1249" s="655">
        <v>345044</v>
      </c>
      <c r="J1249" s="655">
        <v>404908</v>
      </c>
      <c r="K1249" s="655">
        <v>42746</v>
      </c>
      <c r="L1249" s="655">
        <v>56722</v>
      </c>
      <c r="M1249" s="655">
        <v>222503</v>
      </c>
      <c r="N1249" s="655">
        <v>221751</v>
      </c>
      <c r="O1249" s="655">
        <v>0</v>
      </c>
      <c r="P1249" s="655">
        <v>62245</v>
      </c>
      <c r="Q1249" s="655">
        <v>69888</v>
      </c>
      <c r="R1249" s="655">
        <v>0</v>
      </c>
      <c r="S1249" s="655">
        <v>22271</v>
      </c>
      <c r="T1249" s="655">
        <v>2661</v>
      </c>
      <c r="U1249" s="655">
        <v>33976</v>
      </c>
      <c r="V1249" s="655">
        <v>0</v>
      </c>
      <c r="W1249" s="655">
        <v>232235</v>
      </c>
      <c r="X1249" s="655">
        <v>0</v>
      </c>
      <c r="Y1249" s="655">
        <v>0</v>
      </c>
      <c r="Z1249" s="655">
        <v>0</v>
      </c>
      <c r="AA1249" s="655">
        <v>0</v>
      </c>
      <c r="AB1249" s="655">
        <v>0</v>
      </c>
      <c r="AC1249" s="655">
        <v>0</v>
      </c>
      <c r="AD1249" s="655">
        <v>28717</v>
      </c>
      <c r="AE1249" s="655">
        <v>6552516</v>
      </c>
      <c r="AF1249" s="655">
        <v>199826</v>
      </c>
      <c r="AG1249" s="655">
        <v>347550</v>
      </c>
      <c r="AH1249" s="655">
        <v>0</v>
      </c>
      <c r="AI1249" s="805">
        <v>1861184</v>
      </c>
      <c r="AJ1249" s="655">
        <v>6191673</v>
      </c>
      <c r="AK1249" s="655">
        <v>15152749</v>
      </c>
      <c r="AL1249" s="805">
        <v>8239728</v>
      </c>
      <c r="AM1249" s="655">
        <v>6913021</v>
      </c>
    </row>
    <row r="1250" spans="1:39" x14ac:dyDescent="0.2">
      <c r="A1250" s="648">
        <v>2016</v>
      </c>
      <c r="B1250" s="648">
        <v>11</v>
      </c>
      <c r="C1250" s="657" t="s">
        <v>324</v>
      </c>
      <c r="D1250" s="648">
        <v>5643</v>
      </c>
      <c r="E1250" s="648" t="s">
        <v>1270</v>
      </c>
      <c r="F1250" s="655">
        <v>6420216</v>
      </c>
      <c r="G1250" s="655">
        <v>0</v>
      </c>
      <c r="H1250" s="655">
        <v>72008</v>
      </c>
      <c r="I1250" s="655">
        <v>427885</v>
      </c>
      <c r="J1250" s="655">
        <v>539822</v>
      </c>
      <c r="K1250" s="655">
        <v>67409</v>
      </c>
      <c r="L1250" s="655">
        <v>61473</v>
      </c>
      <c r="M1250" s="655">
        <v>311429</v>
      </c>
      <c r="N1250" s="655">
        <v>292484</v>
      </c>
      <c r="O1250" s="655">
        <v>0</v>
      </c>
      <c r="P1250" s="655">
        <v>52452</v>
      </c>
      <c r="Q1250" s="655">
        <v>57577</v>
      </c>
      <c r="R1250" s="655">
        <v>0</v>
      </c>
      <c r="S1250" s="655">
        <v>23967</v>
      </c>
      <c r="T1250" s="655">
        <v>3049</v>
      </c>
      <c r="U1250" s="655">
        <v>208300</v>
      </c>
      <c r="V1250" s="655">
        <v>20694</v>
      </c>
      <c r="W1250" s="655">
        <v>98624</v>
      </c>
      <c r="X1250" s="655">
        <v>262912.31</v>
      </c>
      <c r="Y1250" s="655">
        <v>0</v>
      </c>
      <c r="Z1250" s="655">
        <v>0</v>
      </c>
      <c r="AA1250" s="655">
        <v>0</v>
      </c>
      <c r="AB1250" s="655">
        <v>0</v>
      </c>
      <c r="AC1250" s="655">
        <v>0</v>
      </c>
      <c r="AD1250" s="655">
        <v>47283</v>
      </c>
      <c r="AE1250" s="655">
        <v>8873018.3100000005</v>
      </c>
      <c r="AF1250" s="655">
        <v>119251</v>
      </c>
      <c r="AG1250" s="655">
        <v>464952</v>
      </c>
      <c r="AH1250" s="655">
        <v>0</v>
      </c>
      <c r="AI1250" s="805">
        <v>1419717</v>
      </c>
      <c r="AJ1250" s="655">
        <v>2257691</v>
      </c>
      <c r="AK1250" s="655">
        <v>13134629.310000001</v>
      </c>
      <c r="AL1250" s="805">
        <v>10564875</v>
      </c>
      <c r="AM1250" s="655">
        <v>2569754.3100000005</v>
      </c>
    </row>
    <row r="1251" spans="1:39" x14ac:dyDescent="0.2">
      <c r="A1251" s="648">
        <v>2016</v>
      </c>
      <c r="B1251" s="648">
        <v>7</v>
      </c>
      <c r="C1251" s="657" t="s">
        <v>325</v>
      </c>
      <c r="D1251" s="648">
        <v>5697</v>
      </c>
      <c r="E1251" s="648" t="s">
        <v>1271</v>
      </c>
      <c r="F1251" s="655">
        <v>2902634</v>
      </c>
      <c r="G1251" s="655">
        <v>12573</v>
      </c>
      <c r="H1251" s="655">
        <v>56841</v>
      </c>
      <c r="I1251" s="655">
        <v>372772</v>
      </c>
      <c r="J1251" s="655">
        <v>261795</v>
      </c>
      <c r="K1251" s="655">
        <v>29544</v>
      </c>
      <c r="L1251" s="655">
        <v>27477</v>
      </c>
      <c r="M1251" s="655">
        <v>0</v>
      </c>
      <c r="N1251" s="655">
        <v>145676</v>
      </c>
      <c r="O1251" s="655">
        <v>12347</v>
      </c>
      <c r="P1251" s="655">
        <v>24292</v>
      </c>
      <c r="Q1251" s="655">
        <v>27137</v>
      </c>
      <c r="R1251" s="655">
        <v>0</v>
      </c>
      <c r="S1251" s="655">
        <v>18552</v>
      </c>
      <c r="T1251" s="655">
        <v>2130</v>
      </c>
      <c r="U1251" s="655">
        <v>77405</v>
      </c>
      <c r="V1251" s="655">
        <v>0</v>
      </c>
      <c r="W1251" s="655">
        <v>57294</v>
      </c>
      <c r="X1251" s="655">
        <v>227981.08</v>
      </c>
      <c r="Y1251" s="655">
        <v>0</v>
      </c>
      <c r="Z1251" s="655">
        <v>0</v>
      </c>
      <c r="AA1251" s="655">
        <v>0</v>
      </c>
      <c r="AB1251" s="655">
        <v>0</v>
      </c>
      <c r="AC1251" s="655">
        <v>-255</v>
      </c>
      <c r="AD1251" s="655">
        <v>29454</v>
      </c>
      <c r="AE1251" s="655">
        <v>4226741.08</v>
      </c>
      <c r="AF1251" s="655">
        <v>48345</v>
      </c>
      <c r="AG1251" s="655">
        <v>243158</v>
      </c>
      <c r="AH1251" s="655">
        <v>0</v>
      </c>
      <c r="AI1251" s="805">
        <v>783778</v>
      </c>
      <c r="AJ1251" s="655">
        <v>1043056</v>
      </c>
      <c r="AK1251" s="655">
        <v>6345078.0800000001</v>
      </c>
      <c r="AL1251" s="805">
        <v>5359492</v>
      </c>
      <c r="AM1251" s="655">
        <v>985586.08000000007</v>
      </c>
    </row>
    <row r="1252" spans="1:39" x14ac:dyDescent="0.2">
      <c r="A1252" s="648">
        <v>2016</v>
      </c>
      <c r="B1252" s="648">
        <v>5</v>
      </c>
      <c r="C1252" s="657" t="s">
        <v>326</v>
      </c>
      <c r="D1252" s="648">
        <v>5724</v>
      </c>
      <c r="E1252" s="648" t="s">
        <v>1272</v>
      </c>
      <c r="F1252" s="655">
        <v>1576240</v>
      </c>
      <c r="G1252" s="655">
        <v>0</v>
      </c>
      <c r="H1252" s="655">
        <v>204246</v>
      </c>
      <c r="I1252" s="655">
        <v>236824</v>
      </c>
      <c r="J1252" s="655">
        <v>151300</v>
      </c>
      <c r="K1252" s="655">
        <v>16577</v>
      </c>
      <c r="L1252" s="655">
        <v>18063</v>
      </c>
      <c r="M1252" s="655">
        <v>0</v>
      </c>
      <c r="N1252" s="655">
        <v>82323</v>
      </c>
      <c r="O1252" s="655">
        <v>0</v>
      </c>
      <c r="P1252" s="655">
        <v>13379</v>
      </c>
      <c r="Q1252" s="655">
        <v>15027</v>
      </c>
      <c r="R1252" s="655">
        <v>246</v>
      </c>
      <c r="S1252" s="655">
        <v>8768</v>
      </c>
      <c r="T1252" s="655">
        <v>1044</v>
      </c>
      <c r="U1252" s="655">
        <v>30846</v>
      </c>
      <c r="V1252" s="655">
        <v>0</v>
      </c>
      <c r="W1252" s="655">
        <v>82946</v>
      </c>
      <c r="X1252" s="655">
        <v>90679.96</v>
      </c>
      <c r="Y1252" s="655">
        <v>0</v>
      </c>
      <c r="Z1252" s="655">
        <v>0</v>
      </c>
      <c r="AA1252" s="655">
        <v>0</v>
      </c>
      <c r="AB1252" s="655">
        <v>0</v>
      </c>
      <c r="AC1252" s="655">
        <v>58760</v>
      </c>
      <c r="AD1252" s="655">
        <v>13144</v>
      </c>
      <c r="AE1252" s="655">
        <v>2574124.96</v>
      </c>
      <c r="AF1252" s="655">
        <v>41899</v>
      </c>
      <c r="AG1252" s="655">
        <v>131679</v>
      </c>
      <c r="AH1252" s="655">
        <v>0</v>
      </c>
      <c r="AI1252" s="805">
        <v>489711</v>
      </c>
      <c r="AJ1252" s="655">
        <v>387990</v>
      </c>
      <c r="AK1252" s="655">
        <v>3625403.96</v>
      </c>
      <c r="AL1252" s="805">
        <v>3174073</v>
      </c>
      <c r="AM1252" s="655">
        <v>451330.95999999996</v>
      </c>
    </row>
    <row r="1253" spans="1:39" x14ac:dyDescent="0.2">
      <c r="A1253" s="648">
        <v>2016</v>
      </c>
      <c r="B1253" s="648">
        <v>7</v>
      </c>
      <c r="C1253" s="657" t="s">
        <v>327</v>
      </c>
      <c r="D1253" s="648">
        <v>5751</v>
      </c>
      <c r="E1253" s="648" t="s">
        <v>1273</v>
      </c>
      <c r="F1253" s="655">
        <v>4111662</v>
      </c>
      <c r="G1253" s="655">
        <v>0</v>
      </c>
      <c r="H1253" s="655">
        <v>32975</v>
      </c>
      <c r="I1253" s="655">
        <v>386896</v>
      </c>
      <c r="J1253" s="655">
        <v>345984</v>
      </c>
      <c r="K1253" s="655">
        <v>40634</v>
      </c>
      <c r="L1253" s="655">
        <v>38366</v>
      </c>
      <c r="M1253" s="655">
        <v>0</v>
      </c>
      <c r="N1253" s="655">
        <v>199272</v>
      </c>
      <c r="O1253" s="655">
        <v>0</v>
      </c>
      <c r="P1253" s="655">
        <v>33680</v>
      </c>
      <c r="Q1253" s="655">
        <v>37624</v>
      </c>
      <c r="R1253" s="655">
        <v>0</v>
      </c>
      <c r="S1253" s="655">
        <v>25377</v>
      </c>
      <c r="T1253" s="655">
        <v>2912</v>
      </c>
      <c r="U1253" s="655">
        <v>51886</v>
      </c>
      <c r="V1253" s="655">
        <v>0</v>
      </c>
      <c r="W1253" s="655">
        <v>31830</v>
      </c>
      <c r="X1253" s="655">
        <v>217150.93</v>
      </c>
      <c r="Y1253" s="655">
        <v>0</v>
      </c>
      <c r="Z1253" s="655">
        <v>0</v>
      </c>
      <c r="AA1253" s="655">
        <v>0</v>
      </c>
      <c r="AB1253" s="655">
        <v>0</v>
      </c>
      <c r="AC1253" s="655">
        <v>-6392</v>
      </c>
      <c r="AD1253" s="655">
        <v>34964</v>
      </c>
      <c r="AE1253" s="655">
        <v>5514892.9299999997</v>
      </c>
      <c r="AF1253" s="655">
        <v>83798</v>
      </c>
      <c r="AG1253" s="655">
        <v>344023</v>
      </c>
      <c r="AH1253" s="655">
        <v>0</v>
      </c>
      <c r="AI1253" s="805">
        <v>792897</v>
      </c>
      <c r="AJ1253" s="655">
        <v>1932833</v>
      </c>
      <c r="AK1253" s="655">
        <v>8668443.9299999997</v>
      </c>
      <c r="AL1253" s="805">
        <v>7007054</v>
      </c>
      <c r="AM1253" s="655">
        <v>1661389.9299999997</v>
      </c>
    </row>
    <row r="1254" spans="1:39" x14ac:dyDescent="0.2">
      <c r="A1254" s="648">
        <v>2016</v>
      </c>
      <c r="B1254" s="648">
        <v>11</v>
      </c>
      <c r="C1254" s="657" t="s">
        <v>328</v>
      </c>
      <c r="D1254" s="648">
        <v>5805</v>
      </c>
      <c r="E1254" s="648" t="s">
        <v>1274</v>
      </c>
      <c r="F1254" s="655">
        <v>7671538</v>
      </c>
      <c r="G1254" s="655">
        <v>0</v>
      </c>
      <c r="H1254" s="655">
        <v>123317</v>
      </c>
      <c r="I1254" s="655">
        <v>952868</v>
      </c>
      <c r="J1254" s="655">
        <v>704641</v>
      </c>
      <c r="K1254" s="655">
        <v>75349</v>
      </c>
      <c r="L1254" s="655">
        <v>90683</v>
      </c>
      <c r="M1254" s="655">
        <v>368243</v>
      </c>
      <c r="N1254" s="655">
        <v>364505</v>
      </c>
      <c r="O1254" s="655">
        <v>563</v>
      </c>
      <c r="P1254" s="655">
        <v>63869</v>
      </c>
      <c r="Q1254" s="655">
        <v>70109</v>
      </c>
      <c r="R1254" s="655">
        <v>0</v>
      </c>
      <c r="S1254" s="655">
        <v>29869</v>
      </c>
      <c r="T1254" s="655">
        <v>3800</v>
      </c>
      <c r="U1254" s="655">
        <v>372528</v>
      </c>
      <c r="V1254" s="655">
        <v>56100</v>
      </c>
      <c r="W1254" s="655">
        <v>212476</v>
      </c>
      <c r="X1254" s="655">
        <v>459023.47</v>
      </c>
      <c r="Y1254" s="655">
        <v>0</v>
      </c>
      <c r="Z1254" s="655">
        <v>0</v>
      </c>
      <c r="AA1254" s="655">
        <v>0</v>
      </c>
      <c r="AB1254" s="655">
        <v>0</v>
      </c>
      <c r="AC1254" s="655">
        <v>0</v>
      </c>
      <c r="AD1254" s="655">
        <v>66136</v>
      </c>
      <c r="AE1254" s="655">
        <v>11553345.470000001</v>
      </c>
      <c r="AF1254" s="655">
        <v>96690</v>
      </c>
      <c r="AG1254" s="655">
        <v>659983</v>
      </c>
      <c r="AH1254" s="655">
        <v>0</v>
      </c>
      <c r="AI1254" s="805">
        <v>3638954</v>
      </c>
      <c r="AJ1254" s="655">
        <v>5286822</v>
      </c>
      <c r="AK1254" s="655">
        <v>21235794.469999999</v>
      </c>
      <c r="AL1254" s="805">
        <v>15637612</v>
      </c>
      <c r="AM1254" s="655">
        <v>5598182.4699999988</v>
      </c>
    </row>
    <row r="1255" spans="1:39" x14ac:dyDescent="0.2">
      <c r="A1255" s="648">
        <v>2016</v>
      </c>
      <c r="B1255" s="648">
        <v>5</v>
      </c>
      <c r="C1255" s="657" t="s">
        <v>329</v>
      </c>
      <c r="D1255" s="648">
        <v>5823</v>
      </c>
      <c r="E1255" s="648" t="s">
        <v>650</v>
      </c>
      <c r="F1255" s="655">
        <v>2385712</v>
      </c>
      <c r="G1255" s="655">
        <v>66380</v>
      </c>
      <c r="H1255" s="655">
        <v>167716</v>
      </c>
      <c r="I1255" s="655">
        <v>235184</v>
      </c>
      <c r="J1255" s="655">
        <v>221915</v>
      </c>
      <c r="K1255" s="655">
        <v>24965</v>
      </c>
      <c r="L1255" s="655">
        <v>21368</v>
      </c>
      <c r="M1255" s="655">
        <v>0</v>
      </c>
      <c r="N1255" s="655">
        <v>118035</v>
      </c>
      <c r="O1255" s="655">
        <v>2732</v>
      </c>
      <c r="P1255" s="655">
        <v>20015</v>
      </c>
      <c r="Q1255" s="655">
        <v>22481</v>
      </c>
      <c r="R1255" s="655">
        <v>355</v>
      </c>
      <c r="S1255" s="655">
        <v>12800</v>
      </c>
      <c r="T1255" s="655">
        <v>1525</v>
      </c>
      <c r="U1255" s="655">
        <v>38970</v>
      </c>
      <c r="V1255" s="655">
        <v>0</v>
      </c>
      <c r="W1255" s="655">
        <v>77825</v>
      </c>
      <c r="X1255" s="655">
        <v>233268.03</v>
      </c>
      <c r="Y1255" s="655">
        <v>0</v>
      </c>
      <c r="Z1255" s="655">
        <v>0</v>
      </c>
      <c r="AA1255" s="655">
        <v>0</v>
      </c>
      <c r="AB1255" s="655">
        <v>0</v>
      </c>
      <c r="AC1255" s="655">
        <v>0</v>
      </c>
      <c r="AD1255" s="655">
        <v>23788</v>
      </c>
      <c r="AE1255" s="655">
        <v>3627458.03</v>
      </c>
      <c r="AF1255" s="655">
        <v>48345</v>
      </c>
      <c r="AG1255" s="655">
        <v>212277</v>
      </c>
      <c r="AH1255" s="655">
        <v>0</v>
      </c>
      <c r="AI1255" s="805">
        <v>925335</v>
      </c>
      <c r="AJ1255" s="655">
        <v>12550</v>
      </c>
      <c r="AK1255" s="655">
        <v>4825965.0299999993</v>
      </c>
      <c r="AL1255" s="805">
        <v>4495187</v>
      </c>
      <c r="AM1255" s="655">
        <v>330778.02999999933</v>
      </c>
    </row>
    <row r="1256" spans="1:39" x14ac:dyDescent="0.2">
      <c r="A1256" s="648">
        <v>2016</v>
      </c>
      <c r="B1256" s="648">
        <v>12</v>
      </c>
      <c r="C1256" s="657" t="s">
        <v>330</v>
      </c>
      <c r="D1256" s="648">
        <v>5832</v>
      </c>
      <c r="E1256" s="648" t="s">
        <v>1275</v>
      </c>
      <c r="F1256" s="655">
        <v>2036291</v>
      </c>
      <c r="G1256" s="655">
        <v>0</v>
      </c>
      <c r="H1256" s="655">
        <v>127238</v>
      </c>
      <c r="I1256" s="655">
        <v>297096</v>
      </c>
      <c r="J1256" s="655">
        <v>154216</v>
      </c>
      <c r="K1256" s="655">
        <v>13473</v>
      </c>
      <c r="L1256" s="655">
        <v>18398</v>
      </c>
      <c r="M1256" s="655">
        <v>0</v>
      </c>
      <c r="N1256" s="655">
        <v>104959</v>
      </c>
      <c r="O1256" s="655">
        <v>0</v>
      </c>
      <c r="P1256" s="655">
        <v>16754</v>
      </c>
      <c r="Q1256" s="655">
        <v>18811</v>
      </c>
      <c r="R1256" s="655">
        <v>0</v>
      </c>
      <c r="S1256" s="655">
        <v>10541</v>
      </c>
      <c r="T1256" s="655">
        <v>1260</v>
      </c>
      <c r="U1256" s="655">
        <v>0</v>
      </c>
      <c r="V1256" s="655">
        <v>0</v>
      </c>
      <c r="W1256" s="655">
        <v>57092</v>
      </c>
      <c r="X1256" s="655">
        <v>139921.37</v>
      </c>
      <c r="Y1256" s="655">
        <v>0</v>
      </c>
      <c r="Z1256" s="655">
        <v>0</v>
      </c>
      <c r="AA1256" s="655">
        <v>0</v>
      </c>
      <c r="AB1256" s="655">
        <v>0</v>
      </c>
      <c r="AC1256" s="655">
        <v>0</v>
      </c>
      <c r="AD1256" s="655">
        <v>13977</v>
      </c>
      <c r="AE1256" s="655">
        <v>2982073.37</v>
      </c>
      <c r="AF1256" s="655">
        <v>0</v>
      </c>
      <c r="AG1256" s="655">
        <v>167872</v>
      </c>
      <c r="AH1256" s="655">
        <v>0</v>
      </c>
      <c r="AI1256" s="805">
        <v>399891</v>
      </c>
      <c r="AJ1256" s="655">
        <v>1683258</v>
      </c>
      <c r="AK1256" s="655">
        <v>5233094.37</v>
      </c>
      <c r="AL1256" s="805">
        <v>3371373</v>
      </c>
      <c r="AM1256" s="655">
        <v>1861721.37</v>
      </c>
    </row>
    <row r="1257" spans="1:39" x14ac:dyDescent="0.2">
      <c r="A1257" s="648">
        <v>2016</v>
      </c>
      <c r="B1257" s="648">
        <v>12</v>
      </c>
      <c r="C1257" s="657" t="s">
        <v>331</v>
      </c>
      <c r="D1257" s="648">
        <v>5877</v>
      </c>
      <c r="E1257" s="648" t="s">
        <v>1276</v>
      </c>
      <c r="F1257" s="655">
        <v>8854870</v>
      </c>
      <c r="G1257" s="655">
        <v>0</v>
      </c>
      <c r="H1257" s="655">
        <v>146982</v>
      </c>
      <c r="I1257" s="655">
        <v>1208045</v>
      </c>
      <c r="J1257" s="655">
        <v>773901</v>
      </c>
      <c r="K1257" s="655">
        <v>93934</v>
      </c>
      <c r="L1257" s="655">
        <v>90994</v>
      </c>
      <c r="M1257" s="655">
        <v>0</v>
      </c>
      <c r="N1257" s="655">
        <v>452644</v>
      </c>
      <c r="O1257" s="655">
        <v>0</v>
      </c>
      <c r="P1257" s="655">
        <v>75341</v>
      </c>
      <c r="Q1257" s="655">
        <v>84592</v>
      </c>
      <c r="R1257" s="655">
        <v>0</v>
      </c>
      <c r="S1257" s="655">
        <v>45460</v>
      </c>
      <c r="T1257" s="655">
        <v>5433</v>
      </c>
      <c r="U1257" s="655">
        <v>349799</v>
      </c>
      <c r="V1257" s="655">
        <v>46079</v>
      </c>
      <c r="W1257" s="655">
        <v>198666</v>
      </c>
      <c r="X1257" s="655">
        <v>143356.38</v>
      </c>
      <c r="Y1257" s="655">
        <v>0</v>
      </c>
      <c r="Z1257" s="655">
        <v>0</v>
      </c>
      <c r="AA1257" s="655">
        <v>0</v>
      </c>
      <c r="AB1257" s="655">
        <v>0</v>
      </c>
      <c r="AC1257" s="655">
        <v>-2101</v>
      </c>
      <c r="AD1257" s="655">
        <v>56471</v>
      </c>
      <c r="AE1257" s="655">
        <v>12511524.380000001</v>
      </c>
      <c r="AF1257" s="655">
        <v>128920</v>
      </c>
      <c r="AG1257" s="655">
        <v>682622</v>
      </c>
      <c r="AH1257" s="655">
        <v>0</v>
      </c>
      <c r="AI1257" s="805">
        <v>3085816</v>
      </c>
      <c r="AJ1257" s="655">
        <v>2563091</v>
      </c>
      <c r="AK1257" s="655">
        <v>18971973.380000003</v>
      </c>
      <c r="AL1257" s="805">
        <v>16410001</v>
      </c>
      <c r="AM1257" s="655">
        <v>2561972.3800000027</v>
      </c>
    </row>
    <row r="1258" spans="1:39" x14ac:dyDescent="0.2">
      <c r="A1258" s="648">
        <v>2016</v>
      </c>
      <c r="B1258" s="648">
        <v>15</v>
      </c>
      <c r="C1258" s="657" t="s">
        <v>332</v>
      </c>
      <c r="D1258" s="648">
        <v>5895</v>
      </c>
      <c r="E1258" s="648" t="s">
        <v>1277</v>
      </c>
      <c r="F1258" s="655">
        <v>1750734</v>
      </c>
      <c r="G1258" s="655">
        <v>0</v>
      </c>
      <c r="H1258" s="655">
        <v>140052</v>
      </c>
      <c r="I1258" s="655">
        <v>135430</v>
      </c>
      <c r="J1258" s="655">
        <v>187667</v>
      </c>
      <c r="K1258" s="655">
        <v>20661</v>
      </c>
      <c r="L1258" s="655">
        <v>21076</v>
      </c>
      <c r="M1258" s="655">
        <v>0</v>
      </c>
      <c r="N1258" s="655">
        <v>82144</v>
      </c>
      <c r="O1258" s="655">
        <v>2282</v>
      </c>
      <c r="P1258" s="655">
        <v>14337</v>
      </c>
      <c r="Q1258" s="655">
        <v>15749</v>
      </c>
      <c r="R1258" s="655">
        <v>219</v>
      </c>
      <c r="S1258" s="655">
        <v>8225</v>
      </c>
      <c r="T1258" s="655">
        <v>890</v>
      </c>
      <c r="U1258" s="655">
        <v>43225</v>
      </c>
      <c r="V1258" s="655">
        <v>0</v>
      </c>
      <c r="W1258" s="655">
        <v>168241</v>
      </c>
      <c r="X1258" s="655">
        <v>50186.82</v>
      </c>
      <c r="Y1258" s="655">
        <v>0</v>
      </c>
      <c r="Z1258" s="655">
        <v>0</v>
      </c>
      <c r="AA1258" s="655">
        <v>0</v>
      </c>
      <c r="AB1258" s="655">
        <v>0</v>
      </c>
      <c r="AC1258" s="655">
        <v>0</v>
      </c>
      <c r="AD1258" s="655">
        <v>16442</v>
      </c>
      <c r="AE1258" s="655">
        <v>2624676.8199999998</v>
      </c>
      <c r="AF1258" s="655">
        <v>48345</v>
      </c>
      <c r="AG1258" s="655">
        <v>133441</v>
      </c>
      <c r="AH1258" s="655">
        <v>0</v>
      </c>
      <c r="AI1258" s="805">
        <v>414243</v>
      </c>
      <c r="AJ1258" s="655">
        <v>1029861</v>
      </c>
      <c r="AK1258" s="655">
        <v>4250566.82</v>
      </c>
      <c r="AL1258" s="805">
        <v>2949074</v>
      </c>
      <c r="AM1258" s="655">
        <v>1301492.8200000003</v>
      </c>
    </row>
    <row r="1259" spans="1:39" x14ac:dyDescent="0.2">
      <c r="A1259" s="648">
        <v>2016</v>
      </c>
      <c r="B1259" s="648">
        <v>7</v>
      </c>
      <c r="C1259" s="657" t="s">
        <v>333</v>
      </c>
      <c r="D1259" s="648">
        <v>5922</v>
      </c>
      <c r="E1259" s="648" t="s">
        <v>1483</v>
      </c>
      <c r="F1259" s="655">
        <v>4509137</v>
      </c>
      <c r="G1259" s="655">
        <v>0</v>
      </c>
      <c r="H1259" s="655">
        <v>59747</v>
      </c>
      <c r="I1259" s="655">
        <v>684726</v>
      </c>
      <c r="J1259" s="655">
        <v>427460</v>
      </c>
      <c r="K1259" s="655">
        <v>49065</v>
      </c>
      <c r="L1259" s="655">
        <v>39113</v>
      </c>
      <c r="M1259" s="655">
        <v>0</v>
      </c>
      <c r="N1259" s="655">
        <v>229011</v>
      </c>
      <c r="O1259" s="655">
        <v>13511</v>
      </c>
      <c r="P1259" s="655">
        <v>38507</v>
      </c>
      <c r="Q1259" s="655">
        <v>43016</v>
      </c>
      <c r="R1259" s="655">
        <v>0</v>
      </c>
      <c r="S1259" s="655">
        <v>29165</v>
      </c>
      <c r="T1259" s="655">
        <v>3347</v>
      </c>
      <c r="U1259" s="655">
        <v>146000</v>
      </c>
      <c r="V1259" s="655">
        <v>0</v>
      </c>
      <c r="W1259" s="655">
        <v>64933</v>
      </c>
      <c r="X1259" s="655">
        <v>166468.60999999999</v>
      </c>
      <c r="Y1259" s="655">
        <v>0</v>
      </c>
      <c r="Z1259" s="655">
        <v>0</v>
      </c>
      <c r="AA1259" s="655">
        <v>0</v>
      </c>
      <c r="AB1259" s="655">
        <v>0</v>
      </c>
      <c r="AC1259" s="655">
        <v>0</v>
      </c>
      <c r="AD1259" s="655">
        <v>44215</v>
      </c>
      <c r="AE1259" s="655">
        <v>6458991.6100000003</v>
      </c>
      <c r="AF1259" s="655">
        <v>145035</v>
      </c>
      <c r="AG1259" s="655">
        <v>382916</v>
      </c>
      <c r="AH1259" s="655">
        <v>0</v>
      </c>
      <c r="AI1259" s="805">
        <v>672086</v>
      </c>
      <c r="AJ1259" s="655">
        <v>2263803</v>
      </c>
      <c r="AK1259" s="655">
        <v>9922831.6099999994</v>
      </c>
      <c r="AL1259" s="805">
        <v>7756607</v>
      </c>
      <c r="AM1259" s="655">
        <v>2166224.6099999994</v>
      </c>
    </row>
    <row r="1260" spans="1:39" x14ac:dyDescent="0.2">
      <c r="A1260" s="648">
        <v>2016</v>
      </c>
      <c r="B1260" s="648">
        <v>12</v>
      </c>
      <c r="C1260" s="657" t="s">
        <v>334</v>
      </c>
      <c r="D1260" s="648">
        <v>5949</v>
      </c>
      <c r="E1260" s="648" t="s">
        <v>1278</v>
      </c>
      <c r="F1260" s="655">
        <v>6567829</v>
      </c>
      <c r="G1260" s="655">
        <v>0</v>
      </c>
      <c r="H1260" s="655">
        <v>173069</v>
      </c>
      <c r="I1260" s="655">
        <v>929320</v>
      </c>
      <c r="J1260" s="655">
        <v>545254</v>
      </c>
      <c r="K1260" s="655">
        <v>57466</v>
      </c>
      <c r="L1260" s="655">
        <v>67604</v>
      </c>
      <c r="M1260" s="655">
        <v>0</v>
      </c>
      <c r="N1260" s="655">
        <v>337232</v>
      </c>
      <c r="O1260" s="655">
        <v>0</v>
      </c>
      <c r="P1260" s="655">
        <v>67017</v>
      </c>
      <c r="Q1260" s="655">
        <v>75246</v>
      </c>
      <c r="R1260" s="655">
        <v>0</v>
      </c>
      <c r="S1260" s="655">
        <v>33869</v>
      </c>
      <c r="T1260" s="655">
        <v>4047</v>
      </c>
      <c r="U1260" s="655">
        <v>291884</v>
      </c>
      <c r="V1260" s="655">
        <v>0</v>
      </c>
      <c r="W1260" s="655">
        <v>411900</v>
      </c>
      <c r="X1260" s="655">
        <v>93931.16</v>
      </c>
      <c r="Y1260" s="655">
        <v>0</v>
      </c>
      <c r="Z1260" s="655">
        <v>0</v>
      </c>
      <c r="AA1260" s="655">
        <v>0</v>
      </c>
      <c r="AB1260" s="655">
        <v>0</v>
      </c>
      <c r="AC1260" s="655">
        <v>0</v>
      </c>
      <c r="AD1260" s="655">
        <v>53257</v>
      </c>
      <c r="AE1260" s="655">
        <v>9602411.1600000001</v>
      </c>
      <c r="AF1260" s="655">
        <v>286847</v>
      </c>
      <c r="AG1260" s="655">
        <v>496988</v>
      </c>
      <c r="AH1260" s="655">
        <v>0</v>
      </c>
      <c r="AI1260" s="805">
        <v>1003231</v>
      </c>
      <c r="AJ1260" s="655">
        <v>1541148</v>
      </c>
      <c r="AK1260" s="655">
        <v>12930625.16</v>
      </c>
      <c r="AL1260" s="805">
        <v>10832057</v>
      </c>
      <c r="AM1260" s="655">
        <v>2098568.16</v>
      </c>
    </row>
    <row r="1261" spans="1:39" x14ac:dyDescent="0.2">
      <c r="A1261" s="648">
        <v>2016</v>
      </c>
      <c r="B1261" s="648">
        <v>13</v>
      </c>
      <c r="C1261" s="657" t="s">
        <v>335</v>
      </c>
      <c r="D1261" s="648">
        <v>5976</v>
      </c>
      <c r="E1261" s="648" t="s">
        <v>1279</v>
      </c>
      <c r="F1261" s="655">
        <v>6309989</v>
      </c>
      <c r="G1261" s="655">
        <v>0</v>
      </c>
      <c r="H1261" s="655">
        <v>57995</v>
      </c>
      <c r="I1261" s="655">
        <v>708351</v>
      </c>
      <c r="J1261" s="655">
        <v>574409</v>
      </c>
      <c r="K1261" s="655">
        <v>62023</v>
      </c>
      <c r="L1261" s="655">
        <v>73065</v>
      </c>
      <c r="M1261" s="655">
        <v>0</v>
      </c>
      <c r="N1261" s="655">
        <v>308530</v>
      </c>
      <c r="O1261" s="655">
        <v>0</v>
      </c>
      <c r="P1261" s="655">
        <v>51632</v>
      </c>
      <c r="Q1261" s="655">
        <v>57105</v>
      </c>
      <c r="R1261" s="655">
        <v>0</v>
      </c>
      <c r="S1261" s="655">
        <v>31684</v>
      </c>
      <c r="T1261" s="655">
        <v>3364</v>
      </c>
      <c r="U1261" s="655">
        <v>129382</v>
      </c>
      <c r="V1261" s="655">
        <v>0</v>
      </c>
      <c r="W1261" s="655">
        <v>158572</v>
      </c>
      <c r="X1261" s="655">
        <v>211315.56</v>
      </c>
      <c r="Y1261" s="655">
        <v>0</v>
      </c>
      <c r="Z1261" s="655">
        <v>0</v>
      </c>
      <c r="AA1261" s="655">
        <v>0</v>
      </c>
      <c r="AB1261" s="655">
        <v>0</v>
      </c>
      <c r="AC1261" s="655">
        <v>-23627</v>
      </c>
      <c r="AD1261" s="655">
        <v>47477</v>
      </c>
      <c r="AE1261" s="655">
        <v>8666312.5600000005</v>
      </c>
      <c r="AF1261" s="655">
        <v>87021</v>
      </c>
      <c r="AG1261" s="655">
        <v>450028</v>
      </c>
      <c r="AH1261" s="655">
        <v>0</v>
      </c>
      <c r="AI1261" s="805">
        <v>1375045</v>
      </c>
      <c r="AJ1261" s="655">
        <v>2047065</v>
      </c>
      <c r="AK1261" s="655">
        <v>12625471.560000001</v>
      </c>
      <c r="AL1261" s="805">
        <v>11051513</v>
      </c>
      <c r="AM1261" s="655">
        <v>1573958.5600000005</v>
      </c>
    </row>
    <row r="1262" spans="1:39" x14ac:dyDescent="0.2">
      <c r="A1262" s="648">
        <v>2016</v>
      </c>
      <c r="B1262" s="648">
        <v>12</v>
      </c>
      <c r="C1262" s="657" t="s">
        <v>336</v>
      </c>
      <c r="D1262" s="648">
        <v>5994</v>
      </c>
      <c r="E1262" s="648" t="s">
        <v>1280</v>
      </c>
      <c r="F1262" s="655">
        <v>5070060</v>
      </c>
      <c r="G1262" s="655">
        <v>0</v>
      </c>
      <c r="H1262" s="655">
        <v>113563</v>
      </c>
      <c r="I1262" s="655">
        <v>417508</v>
      </c>
      <c r="J1262" s="655">
        <v>456548</v>
      </c>
      <c r="K1262" s="655">
        <v>46285</v>
      </c>
      <c r="L1262" s="655">
        <v>53198</v>
      </c>
      <c r="M1262" s="655">
        <v>0</v>
      </c>
      <c r="N1262" s="655">
        <v>245695</v>
      </c>
      <c r="O1262" s="655">
        <v>0</v>
      </c>
      <c r="P1262" s="655">
        <v>42310</v>
      </c>
      <c r="Q1262" s="655">
        <v>47505</v>
      </c>
      <c r="R1262" s="655">
        <v>0</v>
      </c>
      <c r="S1262" s="655">
        <v>24675</v>
      </c>
      <c r="T1262" s="655">
        <v>2949</v>
      </c>
      <c r="U1262" s="655">
        <v>110169</v>
      </c>
      <c r="V1262" s="655">
        <v>0</v>
      </c>
      <c r="W1262" s="655">
        <v>68782</v>
      </c>
      <c r="X1262" s="655">
        <v>100250.24000000001</v>
      </c>
      <c r="Y1262" s="655">
        <v>0</v>
      </c>
      <c r="Z1262" s="655">
        <v>0</v>
      </c>
      <c r="AA1262" s="655">
        <v>0</v>
      </c>
      <c r="AB1262" s="655">
        <v>0</v>
      </c>
      <c r="AC1262" s="655">
        <v>-7227</v>
      </c>
      <c r="AD1262" s="655">
        <v>43971</v>
      </c>
      <c r="AE1262" s="655">
        <v>6748299.2400000002</v>
      </c>
      <c r="AF1262" s="655">
        <v>116028</v>
      </c>
      <c r="AG1262" s="655">
        <v>394400</v>
      </c>
      <c r="AH1262" s="655">
        <v>0</v>
      </c>
      <c r="AI1262" s="805">
        <v>738398</v>
      </c>
      <c r="AJ1262" s="655">
        <v>852124</v>
      </c>
      <c r="AK1262" s="655">
        <v>8849249.2400000002</v>
      </c>
      <c r="AL1262" s="805">
        <v>7432933</v>
      </c>
      <c r="AM1262" s="655">
        <v>1416316.2400000002</v>
      </c>
    </row>
    <row r="1263" spans="1:39" x14ac:dyDescent="0.2">
      <c r="A1263" s="648">
        <v>2016</v>
      </c>
      <c r="B1263" s="648">
        <v>13</v>
      </c>
      <c r="C1263" s="657" t="s">
        <v>337</v>
      </c>
      <c r="D1263" s="648">
        <v>6003</v>
      </c>
      <c r="E1263" s="648" t="s">
        <v>1281</v>
      </c>
      <c r="F1263" s="655">
        <v>1947733</v>
      </c>
      <c r="G1263" s="655">
        <v>130385</v>
      </c>
      <c r="H1263" s="655">
        <v>176549</v>
      </c>
      <c r="I1263" s="655">
        <v>328648</v>
      </c>
      <c r="J1263" s="655">
        <v>199941</v>
      </c>
      <c r="K1263" s="655">
        <v>21011</v>
      </c>
      <c r="L1263" s="655">
        <v>22324</v>
      </c>
      <c r="M1263" s="655">
        <v>0</v>
      </c>
      <c r="N1263" s="655">
        <v>99885</v>
      </c>
      <c r="O1263" s="655">
        <v>14407</v>
      </c>
      <c r="P1263" s="655">
        <v>16138</v>
      </c>
      <c r="Q1263" s="655">
        <v>17849</v>
      </c>
      <c r="R1263" s="655">
        <v>0</v>
      </c>
      <c r="S1263" s="655">
        <v>11248</v>
      </c>
      <c r="T1263" s="655">
        <v>1194</v>
      </c>
      <c r="U1263" s="655">
        <v>31011</v>
      </c>
      <c r="V1263" s="655">
        <v>0</v>
      </c>
      <c r="W1263" s="655">
        <v>205752</v>
      </c>
      <c r="X1263" s="655">
        <v>324034.98</v>
      </c>
      <c r="Y1263" s="655">
        <v>0</v>
      </c>
      <c r="Z1263" s="655">
        <v>0</v>
      </c>
      <c r="AA1263" s="655">
        <v>0</v>
      </c>
      <c r="AB1263" s="655">
        <v>0</v>
      </c>
      <c r="AC1263" s="655">
        <v>80427</v>
      </c>
      <c r="AD1263" s="655">
        <v>18229</v>
      </c>
      <c r="AE1263" s="655">
        <v>3610307.98</v>
      </c>
      <c r="AF1263" s="655">
        <v>61237</v>
      </c>
      <c r="AG1263" s="655">
        <v>171092</v>
      </c>
      <c r="AH1263" s="655">
        <v>0</v>
      </c>
      <c r="AI1263" s="805">
        <v>1318232</v>
      </c>
      <c r="AJ1263" s="655">
        <v>1229701</v>
      </c>
      <c r="AK1263" s="655">
        <v>6390569.9800000004</v>
      </c>
      <c r="AL1263" s="805">
        <v>5092360</v>
      </c>
      <c r="AM1263" s="655">
        <v>1298209.9800000004</v>
      </c>
    </row>
    <row r="1264" spans="1:39" x14ac:dyDescent="0.2">
      <c r="A1264" s="648">
        <v>2016</v>
      </c>
      <c r="B1264" s="648">
        <v>15</v>
      </c>
      <c r="C1264" s="657" t="s">
        <v>338</v>
      </c>
      <c r="D1264" s="648">
        <v>6012</v>
      </c>
      <c r="E1264" s="648" t="s">
        <v>1282</v>
      </c>
      <c r="F1264" s="655">
        <v>3510976</v>
      </c>
      <c r="G1264" s="655">
        <v>0</v>
      </c>
      <c r="H1264" s="655">
        <v>107524</v>
      </c>
      <c r="I1264" s="655">
        <v>396405</v>
      </c>
      <c r="J1264" s="655">
        <v>325497</v>
      </c>
      <c r="K1264" s="655">
        <v>33924</v>
      </c>
      <c r="L1264" s="655">
        <v>35186</v>
      </c>
      <c r="M1264" s="655">
        <v>0</v>
      </c>
      <c r="N1264" s="655">
        <v>169960</v>
      </c>
      <c r="O1264" s="655">
        <v>4197</v>
      </c>
      <c r="P1264" s="655">
        <v>28674</v>
      </c>
      <c r="Q1264" s="655">
        <v>31498</v>
      </c>
      <c r="R1264" s="655">
        <v>455</v>
      </c>
      <c r="S1264" s="655">
        <v>17018</v>
      </c>
      <c r="T1264" s="655">
        <v>1840</v>
      </c>
      <c r="U1264" s="655">
        <v>103384</v>
      </c>
      <c r="V1264" s="655">
        <v>0</v>
      </c>
      <c r="W1264" s="655">
        <v>89124</v>
      </c>
      <c r="X1264" s="655">
        <v>0</v>
      </c>
      <c r="Y1264" s="655">
        <v>0</v>
      </c>
      <c r="Z1264" s="655">
        <v>0</v>
      </c>
      <c r="AA1264" s="655">
        <v>0</v>
      </c>
      <c r="AB1264" s="655">
        <v>0</v>
      </c>
      <c r="AC1264" s="655">
        <v>-319</v>
      </c>
      <c r="AD1264" s="655">
        <v>32703</v>
      </c>
      <c r="AE1264" s="655">
        <v>4822640</v>
      </c>
      <c r="AF1264" s="655">
        <v>106359</v>
      </c>
      <c r="AG1264" s="655">
        <v>262060</v>
      </c>
      <c r="AH1264" s="655">
        <v>0</v>
      </c>
      <c r="AI1264" s="805">
        <v>707166</v>
      </c>
      <c r="AJ1264" s="655">
        <v>1545374</v>
      </c>
      <c r="AK1264" s="655">
        <v>7443599</v>
      </c>
      <c r="AL1264" s="805">
        <v>5849654</v>
      </c>
      <c r="AM1264" s="655">
        <v>1593945</v>
      </c>
    </row>
    <row r="1265" spans="1:39" x14ac:dyDescent="0.2">
      <c r="A1265" s="648">
        <v>2016</v>
      </c>
      <c r="B1265" s="648">
        <v>12</v>
      </c>
      <c r="C1265" s="657" t="s">
        <v>339</v>
      </c>
      <c r="D1265" s="648">
        <v>6030</v>
      </c>
      <c r="E1265" s="648" t="s">
        <v>1283</v>
      </c>
      <c r="F1265" s="655">
        <v>7354241</v>
      </c>
      <c r="G1265" s="655">
        <v>0</v>
      </c>
      <c r="H1265" s="655">
        <v>279499</v>
      </c>
      <c r="I1265" s="655">
        <v>878912</v>
      </c>
      <c r="J1265" s="655">
        <v>640011</v>
      </c>
      <c r="K1265" s="655">
        <v>82749</v>
      </c>
      <c r="L1265" s="655">
        <v>86891</v>
      </c>
      <c r="M1265" s="655">
        <v>0</v>
      </c>
      <c r="N1265" s="655">
        <v>370339</v>
      </c>
      <c r="O1265" s="655">
        <v>0</v>
      </c>
      <c r="P1265" s="655">
        <v>96072</v>
      </c>
      <c r="Q1265" s="655">
        <v>107868</v>
      </c>
      <c r="R1265" s="655">
        <v>0</v>
      </c>
      <c r="S1265" s="655">
        <v>37194</v>
      </c>
      <c r="T1265" s="655">
        <v>4445</v>
      </c>
      <c r="U1265" s="655">
        <v>339849</v>
      </c>
      <c r="V1265" s="655">
        <v>0</v>
      </c>
      <c r="W1265" s="655">
        <v>397718</v>
      </c>
      <c r="X1265" s="655">
        <v>208529.82</v>
      </c>
      <c r="Y1265" s="655">
        <v>0</v>
      </c>
      <c r="Z1265" s="655">
        <v>0</v>
      </c>
      <c r="AA1265" s="655">
        <v>0</v>
      </c>
      <c r="AB1265" s="655">
        <v>0</v>
      </c>
      <c r="AC1265" s="655">
        <v>0</v>
      </c>
      <c r="AD1265" s="655">
        <v>48328</v>
      </c>
      <c r="AE1265" s="655">
        <v>10835989.82</v>
      </c>
      <c r="AF1265" s="655">
        <v>425436</v>
      </c>
      <c r="AG1265" s="655">
        <v>554142</v>
      </c>
      <c r="AH1265" s="655">
        <v>0</v>
      </c>
      <c r="AI1265" s="805">
        <v>1511579</v>
      </c>
      <c r="AJ1265" s="655">
        <v>1133035</v>
      </c>
      <c r="AK1265" s="655">
        <v>14460181.82</v>
      </c>
      <c r="AL1265" s="805">
        <v>12997527</v>
      </c>
      <c r="AM1265" s="655">
        <v>1462654.8200000003</v>
      </c>
    </row>
    <row r="1266" spans="1:39" x14ac:dyDescent="0.2">
      <c r="A1266" s="648">
        <v>2016</v>
      </c>
      <c r="B1266" s="648">
        <v>12</v>
      </c>
      <c r="C1266" s="657" t="s">
        <v>340</v>
      </c>
      <c r="D1266" s="648">
        <v>6039</v>
      </c>
      <c r="E1266" s="648" t="s">
        <v>1284</v>
      </c>
      <c r="F1266" s="655">
        <v>92381494</v>
      </c>
      <c r="G1266" s="655">
        <v>0</v>
      </c>
      <c r="H1266" s="655">
        <v>3560764</v>
      </c>
      <c r="I1266" s="655">
        <v>14857128</v>
      </c>
      <c r="J1266" s="655">
        <v>7722439</v>
      </c>
      <c r="K1266" s="655">
        <v>922955</v>
      </c>
      <c r="L1266" s="655">
        <v>1162436</v>
      </c>
      <c r="M1266" s="655">
        <v>4481205</v>
      </c>
      <c r="N1266" s="655">
        <v>4823742</v>
      </c>
      <c r="O1266" s="655">
        <v>0</v>
      </c>
      <c r="P1266" s="655">
        <v>828013</v>
      </c>
      <c r="Q1266" s="655">
        <v>929680</v>
      </c>
      <c r="R1266" s="655">
        <v>0</v>
      </c>
      <c r="S1266" s="655">
        <v>484454</v>
      </c>
      <c r="T1266" s="655">
        <v>57895</v>
      </c>
      <c r="U1266" s="655">
        <v>4114945</v>
      </c>
      <c r="V1266" s="655">
        <v>530932</v>
      </c>
      <c r="W1266" s="655">
        <v>2717504</v>
      </c>
      <c r="X1266" s="655">
        <v>260364.76</v>
      </c>
      <c r="Y1266" s="655">
        <v>0</v>
      </c>
      <c r="Z1266" s="655">
        <v>0</v>
      </c>
      <c r="AA1266" s="655">
        <v>0</v>
      </c>
      <c r="AB1266" s="655">
        <v>0</v>
      </c>
      <c r="AC1266" s="655">
        <v>0</v>
      </c>
      <c r="AD1266" s="655">
        <v>680000</v>
      </c>
      <c r="AE1266" s="655">
        <v>139155950.75999999</v>
      </c>
      <c r="AF1266" s="655">
        <v>2443034</v>
      </c>
      <c r="AG1266" s="655">
        <v>4021228</v>
      </c>
      <c r="AH1266" s="655">
        <v>0</v>
      </c>
      <c r="AI1266" s="805">
        <v>16225539</v>
      </c>
      <c r="AJ1266" s="655">
        <v>15388887</v>
      </c>
      <c r="AK1266" s="655">
        <v>177234638.75999999</v>
      </c>
      <c r="AL1266" s="805">
        <v>160707201</v>
      </c>
      <c r="AM1266" s="655">
        <v>16527437.75999999</v>
      </c>
    </row>
    <row r="1267" spans="1:39" x14ac:dyDescent="0.2">
      <c r="A1267" s="648">
        <v>2016</v>
      </c>
      <c r="B1267" s="648">
        <v>5</v>
      </c>
      <c r="C1267" s="657" t="s">
        <v>341</v>
      </c>
      <c r="D1267" s="648">
        <v>6035</v>
      </c>
      <c r="E1267" s="648" t="s">
        <v>651</v>
      </c>
      <c r="F1267" s="655">
        <v>3046362</v>
      </c>
      <c r="G1267" s="655">
        <v>145108</v>
      </c>
      <c r="H1267" s="655">
        <v>141082</v>
      </c>
      <c r="I1267" s="655">
        <v>450849</v>
      </c>
      <c r="J1267" s="655">
        <v>331294</v>
      </c>
      <c r="K1267" s="655">
        <v>37967</v>
      </c>
      <c r="L1267" s="655">
        <v>34199</v>
      </c>
      <c r="M1267" s="655">
        <v>0</v>
      </c>
      <c r="N1267" s="655">
        <v>158768</v>
      </c>
      <c r="O1267" s="655">
        <v>4702</v>
      </c>
      <c r="P1267" s="655">
        <v>25165</v>
      </c>
      <c r="Q1267" s="655">
        <v>28265</v>
      </c>
      <c r="R1267" s="655">
        <v>475</v>
      </c>
      <c r="S1267" s="655">
        <v>17417</v>
      </c>
      <c r="T1267" s="655">
        <v>2076</v>
      </c>
      <c r="U1267" s="655">
        <v>149187</v>
      </c>
      <c r="V1267" s="655">
        <v>0</v>
      </c>
      <c r="W1267" s="655">
        <v>76757</v>
      </c>
      <c r="X1267" s="655">
        <v>258954.43</v>
      </c>
      <c r="Y1267" s="655">
        <v>0</v>
      </c>
      <c r="Z1267" s="655">
        <v>0</v>
      </c>
      <c r="AA1267" s="655">
        <v>0</v>
      </c>
      <c r="AB1267" s="655">
        <v>0</v>
      </c>
      <c r="AC1267" s="655">
        <v>-830</v>
      </c>
      <c r="AD1267" s="655">
        <v>29208</v>
      </c>
      <c r="AE1267" s="655">
        <v>4878589.43</v>
      </c>
      <c r="AF1267" s="655">
        <v>96690</v>
      </c>
      <c r="AG1267" s="655">
        <v>0</v>
      </c>
      <c r="AH1267" s="655">
        <v>0</v>
      </c>
      <c r="AI1267" s="805">
        <v>1814391</v>
      </c>
      <c r="AJ1267" s="655">
        <v>2330980</v>
      </c>
      <c r="AK1267" s="655">
        <v>9120650.4299999997</v>
      </c>
      <c r="AL1267" s="805">
        <v>6605771</v>
      </c>
      <c r="AM1267" s="655">
        <v>2514879.4299999997</v>
      </c>
    </row>
    <row r="1268" spans="1:39" x14ac:dyDescent="0.2">
      <c r="A1268" s="648">
        <v>2016</v>
      </c>
      <c r="B1268" s="648">
        <v>5</v>
      </c>
      <c r="C1268" s="657" t="s">
        <v>1871</v>
      </c>
      <c r="D1268" s="648">
        <v>6091</v>
      </c>
      <c r="E1268" s="648" t="s">
        <v>1639</v>
      </c>
      <c r="F1268" s="655">
        <v>5862199</v>
      </c>
      <c r="G1268" s="655">
        <v>28170</v>
      </c>
      <c r="H1268" s="655">
        <v>707688</v>
      </c>
      <c r="I1268" s="655">
        <v>660016</v>
      </c>
      <c r="J1268" s="655">
        <v>560424</v>
      </c>
      <c r="K1268" s="655">
        <v>56984</v>
      </c>
      <c r="L1268" s="655">
        <v>60088</v>
      </c>
      <c r="M1268" s="655">
        <v>0</v>
      </c>
      <c r="N1268" s="655">
        <v>295276</v>
      </c>
      <c r="O1268" s="655">
        <v>1806</v>
      </c>
      <c r="P1268" s="655">
        <v>48843</v>
      </c>
      <c r="Q1268" s="655">
        <v>54860</v>
      </c>
      <c r="R1268" s="655">
        <v>886</v>
      </c>
      <c r="S1268" s="655">
        <v>31448</v>
      </c>
      <c r="T1268" s="655">
        <v>3745</v>
      </c>
      <c r="U1268" s="655">
        <v>221962</v>
      </c>
      <c r="V1268" s="655">
        <v>0</v>
      </c>
      <c r="W1268" s="655">
        <v>110041</v>
      </c>
      <c r="X1268" s="655">
        <v>255653.75</v>
      </c>
      <c r="Y1268" s="655">
        <v>0</v>
      </c>
      <c r="Z1268" s="655">
        <v>0</v>
      </c>
      <c r="AA1268" s="655">
        <v>0</v>
      </c>
      <c r="AB1268" s="655">
        <v>0</v>
      </c>
      <c r="AC1268" s="655">
        <v>0</v>
      </c>
      <c r="AD1268" s="655">
        <v>55190</v>
      </c>
      <c r="AE1268" s="655">
        <v>8904899.75</v>
      </c>
      <c r="AF1268" s="655">
        <v>125697</v>
      </c>
      <c r="AG1268" s="655">
        <v>495675</v>
      </c>
      <c r="AH1268" s="655">
        <v>0</v>
      </c>
      <c r="AI1268" s="805">
        <v>1086736</v>
      </c>
      <c r="AJ1268" s="655">
        <v>5290992</v>
      </c>
      <c r="AK1268" s="655">
        <v>15903999.75</v>
      </c>
      <c r="AL1268" s="805">
        <v>9559591</v>
      </c>
      <c r="AM1268" s="655">
        <v>6344408.75</v>
      </c>
    </row>
    <row r="1269" spans="1:39" x14ac:dyDescent="0.2">
      <c r="A1269" s="648">
        <v>2016</v>
      </c>
      <c r="B1269" s="648">
        <v>10</v>
      </c>
      <c r="C1269" s="657" t="s">
        <v>342</v>
      </c>
      <c r="D1269" s="648">
        <v>6093</v>
      </c>
      <c r="E1269" s="648" t="s">
        <v>1285</v>
      </c>
      <c r="F1269" s="655">
        <v>8342413</v>
      </c>
      <c r="G1269" s="655">
        <v>0</v>
      </c>
      <c r="H1269" s="655">
        <v>63732</v>
      </c>
      <c r="I1269" s="655">
        <v>613144</v>
      </c>
      <c r="J1269" s="655">
        <v>686340</v>
      </c>
      <c r="K1269" s="655">
        <v>70689</v>
      </c>
      <c r="L1269" s="655">
        <v>63882</v>
      </c>
      <c r="M1269" s="655">
        <v>0</v>
      </c>
      <c r="N1269" s="655">
        <v>392358</v>
      </c>
      <c r="O1269" s="655">
        <v>0</v>
      </c>
      <c r="P1269" s="655">
        <v>69287</v>
      </c>
      <c r="Q1269" s="655">
        <v>76120</v>
      </c>
      <c r="R1269" s="655">
        <v>0</v>
      </c>
      <c r="S1269" s="655">
        <v>36581</v>
      </c>
      <c r="T1269" s="655">
        <v>4251</v>
      </c>
      <c r="U1269" s="655">
        <v>205972</v>
      </c>
      <c r="V1269" s="655">
        <v>17082</v>
      </c>
      <c r="W1269" s="655">
        <v>30144</v>
      </c>
      <c r="X1269" s="655">
        <v>333881.27</v>
      </c>
      <c r="Y1269" s="655">
        <v>0</v>
      </c>
      <c r="Z1269" s="655">
        <v>0</v>
      </c>
      <c r="AA1269" s="655">
        <v>0</v>
      </c>
      <c r="AB1269" s="655">
        <v>0</v>
      </c>
      <c r="AC1269" s="655">
        <v>0</v>
      </c>
      <c r="AD1269" s="655">
        <v>48951</v>
      </c>
      <c r="AE1269" s="655">
        <v>10956925.27</v>
      </c>
      <c r="AF1269" s="655">
        <v>254617</v>
      </c>
      <c r="AG1269" s="655">
        <v>620425</v>
      </c>
      <c r="AH1269" s="655">
        <v>0</v>
      </c>
      <c r="AI1269" s="805">
        <v>2423982</v>
      </c>
      <c r="AJ1269" s="655">
        <v>4351036</v>
      </c>
      <c r="AK1269" s="655">
        <v>18606985.27</v>
      </c>
      <c r="AL1269" s="805">
        <v>13922568</v>
      </c>
      <c r="AM1269" s="655">
        <v>4684417.2699999996</v>
      </c>
    </row>
    <row r="1270" spans="1:39" x14ac:dyDescent="0.2">
      <c r="A1270" s="648">
        <v>2016</v>
      </c>
      <c r="B1270" s="648">
        <v>11</v>
      </c>
      <c r="C1270" s="657" t="s">
        <v>343</v>
      </c>
      <c r="D1270" s="648">
        <v>6094</v>
      </c>
      <c r="E1270" s="648" t="s">
        <v>1286</v>
      </c>
      <c r="F1270" s="655">
        <v>3791537</v>
      </c>
      <c r="G1270" s="655">
        <v>0</v>
      </c>
      <c r="H1270" s="655">
        <v>83508</v>
      </c>
      <c r="I1270" s="655">
        <v>522577</v>
      </c>
      <c r="J1270" s="655">
        <v>333627</v>
      </c>
      <c r="K1270" s="655">
        <v>35121</v>
      </c>
      <c r="L1270" s="655">
        <v>33616</v>
      </c>
      <c r="M1270" s="655">
        <v>0</v>
      </c>
      <c r="N1270" s="655">
        <v>184257</v>
      </c>
      <c r="O1270" s="655">
        <v>0</v>
      </c>
      <c r="P1270" s="655">
        <v>30935</v>
      </c>
      <c r="Q1270" s="655">
        <v>33957</v>
      </c>
      <c r="R1270" s="655">
        <v>0</v>
      </c>
      <c r="S1270" s="655">
        <v>15099</v>
      </c>
      <c r="T1270" s="655">
        <v>1921</v>
      </c>
      <c r="U1270" s="655">
        <v>162870</v>
      </c>
      <c r="V1270" s="655">
        <v>0</v>
      </c>
      <c r="W1270" s="655">
        <v>161796</v>
      </c>
      <c r="X1270" s="655">
        <v>72979.759999999995</v>
      </c>
      <c r="Y1270" s="655">
        <v>0</v>
      </c>
      <c r="Z1270" s="655">
        <v>0</v>
      </c>
      <c r="AA1270" s="655">
        <v>0</v>
      </c>
      <c r="AB1270" s="655">
        <v>0</v>
      </c>
      <c r="AC1270" s="655">
        <v>50928</v>
      </c>
      <c r="AD1270" s="655">
        <v>26643</v>
      </c>
      <c r="AE1270" s="655">
        <v>5488085.7599999998</v>
      </c>
      <c r="AF1270" s="655">
        <v>74129</v>
      </c>
      <c r="AG1270" s="655">
        <v>255967</v>
      </c>
      <c r="AH1270" s="655">
        <v>0</v>
      </c>
      <c r="AI1270" s="805">
        <v>511673</v>
      </c>
      <c r="AJ1270" s="655">
        <v>1260874</v>
      </c>
      <c r="AK1270" s="655">
        <v>7590728.7599999998</v>
      </c>
      <c r="AL1270" s="805">
        <v>6090087</v>
      </c>
      <c r="AM1270" s="655">
        <v>1500641.7599999998</v>
      </c>
    </row>
    <row r="1271" spans="1:39" x14ac:dyDescent="0.2">
      <c r="A1271" s="648">
        <v>2016</v>
      </c>
      <c r="B1271" s="648">
        <v>5</v>
      </c>
      <c r="C1271" s="657" t="s">
        <v>344</v>
      </c>
      <c r="D1271" s="648">
        <v>6095</v>
      </c>
      <c r="E1271" s="648" t="s">
        <v>1287</v>
      </c>
      <c r="F1271" s="655">
        <v>4252978</v>
      </c>
      <c r="G1271" s="655">
        <v>0</v>
      </c>
      <c r="H1271" s="655">
        <v>92693</v>
      </c>
      <c r="I1271" s="655">
        <v>440982</v>
      </c>
      <c r="J1271" s="655">
        <v>405562</v>
      </c>
      <c r="K1271" s="655">
        <v>48032</v>
      </c>
      <c r="L1271" s="655">
        <v>45484</v>
      </c>
      <c r="M1271" s="655">
        <v>0</v>
      </c>
      <c r="N1271" s="655">
        <v>211560</v>
      </c>
      <c r="O1271" s="655">
        <v>325</v>
      </c>
      <c r="P1271" s="655">
        <v>34721</v>
      </c>
      <c r="Q1271" s="655">
        <v>38998</v>
      </c>
      <c r="R1271" s="655">
        <v>634</v>
      </c>
      <c r="S1271" s="655">
        <v>22532</v>
      </c>
      <c r="T1271" s="655">
        <v>2683</v>
      </c>
      <c r="U1271" s="655">
        <v>155250</v>
      </c>
      <c r="V1271" s="655">
        <v>0</v>
      </c>
      <c r="W1271" s="655">
        <v>102493</v>
      </c>
      <c r="X1271" s="655">
        <v>88438.81</v>
      </c>
      <c r="Y1271" s="655">
        <v>0</v>
      </c>
      <c r="Z1271" s="655">
        <v>0</v>
      </c>
      <c r="AA1271" s="655">
        <v>0</v>
      </c>
      <c r="AB1271" s="655">
        <v>0</v>
      </c>
      <c r="AC1271" s="655">
        <v>-6428</v>
      </c>
      <c r="AD1271" s="655">
        <v>35146</v>
      </c>
      <c r="AE1271" s="655">
        <v>5901791.8099999996</v>
      </c>
      <c r="AF1271" s="655">
        <v>106359</v>
      </c>
      <c r="AG1271" s="655">
        <v>341344</v>
      </c>
      <c r="AH1271" s="655">
        <v>0</v>
      </c>
      <c r="AI1271" s="805">
        <v>1464657</v>
      </c>
      <c r="AJ1271" s="655">
        <v>570777</v>
      </c>
      <c r="AK1271" s="655">
        <v>8384928.8099999996</v>
      </c>
      <c r="AL1271" s="805">
        <v>8110569</v>
      </c>
      <c r="AM1271" s="655">
        <v>274359.80999999959</v>
      </c>
    </row>
    <row r="1272" spans="1:39" x14ac:dyDescent="0.2">
      <c r="A1272" s="648">
        <v>2016</v>
      </c>
      <c r="B1272" s="648">
        <v>5</v>
      </c>
      <c r="C1272" s="657" t="s">
        <v>1469</v>
      </c>
      <c r="D1272" s="648">
        <v>6096</v>
      </c>
      <c r="E1272" s="648" t="s">
        <v>980</v>
      </c>
      <c r="F1272" s="655">
        <v>3539323</v>
      </c>
      <c r="G1272" s="655">
        <v>24698</v>
      </c>
      <c r="H1272" s="655">
        <v>145189</v>
      </c>
      <c r="I1272" s="655">
        <v>484643</v>
      </c>
      <c r="J1272" s="655">
        <v>332260</v>
      </c>
      <c r="K1272" s="655">
        <v>38677</v>
      </c>
      <c r="L1272" s="655">
        <v>40206</v>
      </c>
      <c r="M1272" s="655">
        <v>0</v>
      </c>
      <c r="N1272" s="655">
        <v>179515</v>
      </c>
      <c r="O1272" s="655">
        <v>0</v>
      </c>
      <c r="P1272" s="655">
        <v>28934</v>
      </c>
      <c r="Q1272" s="655">
        <v>32498</v>
      </c>
      <c r="R1272" s="655">
        <v>537</v>
      </c>
      <c r="S1272" s="655">
        <v>19119</v>
      </c>
      <c r="T1272" s="655">
        <v>2277</v>
      </c>
      <c r="U1272" s="655">
        <v>122369</v>
      </c>
      <c r="V1272" s="655">
        <v>0</v>
      </c>
      <c r="W1272" s="655">
        <v>108222</v>
      </c>
      <c r="X1272" s="655">
        <v>0</v>
      </c>
      <c r="Y1272" s="655">
        <v>56876.480000000003</v>
      </c>
      <c r="Z1272" s="655">
        <v>0</v>
      </c>
      <c r="AA1272" s="655">
        <v>0</v>
      </c>
      <c r="AB1272" s="655">
        <v>0</v>
      </c>
      <c r="AC1272" s="655">
        <v>-6495</v>
      </c>
      <c r="AD1272" s="655">
        <v>32474</v>
      </c>
      <c r="AE1272" s="655">
        <v>5002621.5199999996</v>
      </c>
      <c r="AF1272" s="655">
        <v>106359</v>
      </c>
      <c r="AG1272" s="655">
        <v>288543</v>
      </c>
      <c r="AH1272" s="655">
        <v>0</v>
      </c>
      <c r="AI1272" s="805">
        <v>1356707</v>
      </c>
      <c r="AJ1272" s="655">
        <v>647714</v>
      </c>
      <c r="AK1272" s="655">
        <v>7401944.5199999996</v>
      </c>
      <c r="AL1272" s="805">
        <v>6509373</v>
      </c>
      <c r="AM1272" s="655">
        <v>892571.51999999955</v>
      </c>
    </row>
    <row r="1273" spans="1:39" x14ac:dyDescent="0.2">
      <c r="A1273" s="648">
        <v>2016</v>
      </c>
      <c r="B1273" s="648">
        <v>13</v>
      </c>
      <c r="C1273" s="657" t="s">
        <v>345</v>
      </c>
      <c r="D1273" s="648">
        <v>6097</v>
      </c>
      <c r="E1273" s="648" t="s">
        <v>1288</v>
      </c>
      <c r="F1273" s="655">
        <v>1282754</v>
      </c>
      <c r="G1273" s="655">
        <v>0</v>
      </c>
      <c r="H1273" s="655">
        <v>172682</v>
      </c>
      <c r="I1273" s="655">
        <v>221678</v>
      </c>
      <c r="J1273" s="655">
        <v>129545</v>
      </c>
      <c r="K1273" s="655">
        <v>12977</v>
      </c>
      <c r="L1273" s="655">
        <v>10545</v>
      </c>
      <c r="M1273" s="655">
        <v>0</v>
      </c>
      <c r="N1273" s="655">
        <v>66136</v>
      </c>
      <c r="O1273" s="655">
        <v>13112</v>
      </c>
      <c r="P1273" s="655">
        <v>10601</v>
      </c>
      <c r="Q1273" s="655">
        <v>11724</v>
      </c>
      <c r="R1273" s="655">
        <v>0</v>
      </c>
      <c r="S1273" s="655">
        <v>6818</v>
      </c>
      <c r="T1273" s="655">
        <v>724</v>
      </c>
      <c r="U1273" s="655">
        <v>12524</v>
      </c>
      <c r="V1273" s="655">
        <v>0</v>
      </c>
      <c r="W1273" s="655">
        <v>114588</v>
      </c>
      <c r="X1273" s="655">
        <v>319365.07</v>
      </c>
      <c r="Y1273" s="655">
        <v>0</v>
      </c>
      <c r="Z1273" s="655">
        <v>0</v>
      </c>
      <c r="AA1273" s="655">
        <v>0</v>
      </c>
      <c r="AB1273" s="655">
        <v>0</v>
      </c>
      <c r="AC1273" s="655">
        <v>50419</v>
      </c>
      <c r="AD1273" s="655">
        <v>15658</v>
      </c>
      <c r="AE1273" s="655">
        <v>2420534.0699999998</v>
      </c>
      <c r="AF1273" s="655">
        <v>32230</v>
      </c>
      <c r="AG1273" s="655">
        <v>107892</v>
      </c>
      <c r="AH1273" s="655">
        <v>0</v>
      </c>
      <c r="AI1273" s="805">
        <v>322748</v>
      </c>
      <c r="AJ1273" s="655">
        <v>551816</v>
      </c>
      <c r="AK1273" s="655">
        <v>3435220.07</v>
      </c>
      <c r="AL1273" s="805">
        <v>2888949</v>
      </c>
      <c r="AM1273" s="655">
        <v>546271.06999999983</v>
      </c>
    </row>
    <row r="1274" spans="1:39" x14ac:dyDescent="0.2">
      <c r="A1274" s="648">
        <v>2016</v>
      </c>
      <c r="B1274" s="648">
        <v>7</v>
      </c>
      <c r="C1274" s="657" t="s">
        <v>346</v>
      </c>
      <c r="D1274" s="648">
        <v>6098</v>
      </c>
      <c r="E1274" s="648" t="s">
        <v>1289</v>
      </c>
      <c r="F1274" s="655">
        <v>9847718</v>
      </c>
      <c r="G1274" s="655">
        <v>0</v>
      </c>
      <c r="H1274" s="655">
        <v>305021</v>
      </c>
      <c r="I1274" s="655">
        <v>1589925</v>
      </c>
      <c r="J1274" s="655">
        <v>874720</v>
      </c>
      <c r="K1274" s="655">
        <v>90771</v>
      </c>
      <c r="L1274" s="655">
        <v>114408</v>
      </c>
      <c r="M1274" s="655">
        <v>0</v>
      </c>
      <c r="N1274" s="655">
        <v>507123</v>
      </c>
      <c r="O1274" s="655">
        <v>0</v>
      </c>
      <c r="P1274" s="655">
        <v>80992</v>
      </c>
      <c r="Q1274" s="655">
        <v>90475</v>
      </c>
      <c r="R1274" s="655">
        <v>0</v>
      </c>
      <c r="S1274" s="655">
        <v>64582</v>
      </c>
      <c r="T1274" s="655">
        <v>7412</v>
      </c>
      <c r="U1274" s="655">
        <v>169892</v>
      </c>
      <c r="V1274" s="655">
        <v>0</v>
      </c>
      <c r="W1274" s="655">
        <v>197601</v>
      </c>
      <c r="X1274" s="655">
        <v>430392.29</v>
      </c>
      <c r="Y1274" s="655">
        <v>0</v>
      </c>
      <c r="Z1274" s="655">
        <v>0</v>
      </c>
      <c r="AA1274" s="655">
        <v>0</v>
      </c>
      <c r="AB1274" s="655">
        <v>0</v>
      </c>
      <c r="AC1274" s="655">
        <v>0</v>
      </c>
      <c r="AD1274" s="655">
        <v>75549</v>
      </c>
      <c r="AE1274" s="655">
        <v>14295483.289999999</v>
      </c>
      <c r="AF1274" s="655">
        <v>286847</v>
      </c>
      <c r="AG1274" s="655">
        <v>638428</v>
      </c>
      <c r="AH1274" s="655">
        <v>0</v>
      </c>
      <c r="AI1274" s="805">
        <v>1328296</v>
      </c>
      <c r="AJ1274" s="655">
        <v>2609036</v>
      </c>
      <c r="AK1274" s="655">
        <v>19158090.289999999</v>
      </c>
      <c r="AL1274" s="805">
        <v>16875289</v>
      </c>
      <c r="AM1274" s="655">
        <v>2282801.2899999991</v>
      </c>
    </row>
    <row r="1275" spans="1:39" x14ac:dyDescent="0.2">
      <c r="A1275" s="648">
        <v>2016</v>
      </c>
      <c r="B1275" s="648">
        <v>1</v>
      </c>
      <c r="C1275" s="657" t="s">
        <v>347</v>
      </c>
      <c r="D1275" s="648">
        <v>6100</v>
      </c>
      <c r="E1275" s="648" t="s">
        <v>1290</v>
      </c>
      <c r="F1275" s="655">
        <v>3607826</v>
      </c>
      <c r="G1275" s="655">
        <v>21074</v>
      </c>
      <c r="H1275" s="655">
        <v>135907</v>
      </c>
      <c r="I1275" s="655">
        <v>514520</v>
      </c>
      <c r="J1275" s="655">
        <v>322096</v>
      </c>
      <c r="K1275" s="655">
        <v>37103</v>
      </c>
      <c r="L1275" s="655">
        <v>27644</v>
      </c>
      <c r="M1275" s="655">
        <v>0</v>
      </c>
      <c r="N1275" s="655">
        <v>190302</v>
      </c>
      <c r="O1275" s="655">
        <v>3233</v>
      </c>
      <c r="P1275" s="655">
        <v>38114</v>
      </c>
      <c r="Q1275" s="655">
        <v>42536</v>
      </c>
      <c r="R1275" s="655">
        <v>0</v>
      </c>
      <c r="S1275" s="655">
        <v>18954</v>
      </c>
      <c r="T1275" s="655">
        <v>2025</v>
      </c>
      <c r="U1275" s="655">
        <v>132911</v>
      </c>
      <c r="V1275" s="655">
        <v>153</v>
      </c>
      <c r="W1275" s="655">
        <v>85594</v>
      </c>
      <c r="X1275" s="655">
        <v>388625.85</v>
      </c>
      <c r="Y1275" s="655">
        <v>0</v>
      </c>
      <c r="Z1275" s="655">
        <v>0</v>
      </c>
      <c r="AA1275" s="655">
        <v>0</v>
      </c>
      <c r="AB1275" s="655">
        <v>0</v>
      </c>
      <c r="AC1275" s="655">
        <v>0</v>
      </c>
      <c r="AD1275" s="655">
        <v>37693</v>
      </c>
      <c r="AE1275" s="655">
        <v>5530924.8499999996</v>
      </c>
      <c r="AF1275" s="655">
        <v>154704</v>
      </c>
      <c r="AG1275" s="655">
        <v>297606</v>
      </c>
      <c r="AH1275" s="655">
        <v>0</v>
      </c>
      <c r="AI1275" s="805">
        <v>878228</v>
      </c>
      <c r="AJ1275" s="655">
        <v>1106139</v>
      </c>
      <c r="AK1275" s="655">
        <v>7967601.8499999996</v>
      </c>
      <c r="AL1275" s="805">
        <v>6807555</v>
      </c>
      <c r="AM1275" s="655">
        <v>1160046.8499999996</v>
      </c>
    </row>
    <row r="1276" spans="1:39" x14ac:dyDescent="0.2">
      <c r="A1276" s="648">
        <v>2016</v>
      </c>
      <c r="B1276" s="648">
        <v>11</v>
      </c>
      <c r="C1276" s="657" t="s">
        <v>348</v>
      </c>
      <c r="D1276" s="648">
        <v>6101</v>
      </c>
      <c r="E1276" s="648" t="s">
        <v>1291</v>
      </c>
      <c r="F1276" s="655">
        <v>42765342</v>
      </c>
      <c r="G1276" s="655">
        <v>0</v>
      </c>
      <c r="H1276" s="655">
        <v>656628</v>
      </c>
      <c r="I1276" s="655">
        <v>4143682</v>
      </c>
      <c r="J1276" s="655">
        <v>3460569</v>
      </c>
      <c r="K1276" s="655">
        <v>396405</v>
      </c>
      <c r="L1276" s="655">
        <v>391496</v>
      </c>
      <c r="M1276" s="655">
        <v>2074444</v>
      </c>
      <c r="N1276" s="655">
        <v>2003494</v>
      </c>
      <c r="O1276" s="655">
        <v>0</v>
      </c>
      <c r="P1276" s="655">
        <v>361957</v>
      </c>
      <c r="Q1276" s="655">
        <v>397320</v>
      </c>
      <c r="R1276" s="655">
        <v>0</v>
      </c>
      <c r="S1276" s="655">
        <v>164174</v>
      </c>
      <c r="T1276" s="655">
        <v>20886</v>
      </c>
      <c r="U1276" s="655">
        <v>1463156</v>
      </c>
      <c r="V1276" s="655">
        <v>456462</v>
      </c>
      <c r="W1276" s="655">
        <v>1139524</v>
      </c>
      <c r="X1276" s="655">
        <v>2098983.39</v>
      </c>
      <c r="Y1276" s="655">
        <v>0</v>
      </c>
      <c r="Z1276" s="655">
        <v>0</v>
      </c>
      <c r="AA1276" s="655">
        <v>0</v>
      </c>
      <c r="AB1276" s="655">
        <v>0</v>
      </c>
      <c r="AC1276" s="655">
        <v>-19098</v>
      </c>
      <c r="AD1276" s="655">
        <v>198481</v>
      </c>
      <c r="AE1276" s="655">
        <v>61776943.390000001</v>
      </c>
      <c r="AF1276" s="655">
        <v>876656</v>
      </c>
      <c r="AG1276" s="655">
        <v>2693789</v>
      </c>
      <c r="AH1276" s="655">
        <v>0</v>
      </c>
      <c r="AI1276" s="805">
        <v>8034397</v>
      </c>
      <c r="AJ1276" s="655">
        <v>3416412</v>
      </c>
      <c r="AK1276" s="655">
        <v>76798197.390000001</v>
      </c>
      <c r="AL1276" s="805">
        <v>73062482</v>
      </c>
      <c r="AM1276" s="655">
        <v>3735715.3900000006</v>
      </c>
    </row>
    <row r="1277" spans="1:39" x14ac:dyDescent="0.2">
      <c r="A1277" s="648">
        <v>2016</v>
      </c>
      <c r="B1277" s="648">
        <v>5</v>
      </c>
      <c r="C1277" s="657" t="s">
        <v>349</v>
      </c>
      <c r="D1277" s="648">
        <v>6102</v>
      </c>
      <c r="E1277" s="648" t="s">
        <v>1292</v>
      </c>
      <c r="F1277" s="655">
        <v>12403393</v>
      </c>
      <c r="G1277" s="655">
        <v>27069</v>
      </c>
      <c r="H1277" s="655">
        <v>270616</v>
      </c>
      <c r="I1277" s="655">
        <v>2232830</v>
      </c>
      <c r="J1277" s="655">
        <v>1084518</v>
      </c>
      <c r="K1277" s="655">
        <v>131404</v>
      </c>
      <c r="L1277" s="655">
        <v>128267</v>
      </c>
      <c r="M1277" s="655">
        <v>0</v>
      </c>
      <c r="N1277" s="655">
        <v>666009</v>
      </c>
      <c r="O1277" s="655">
        <v>0</v>
      </c>
      <c r="P1277" s="655">
        <v>112338</v>
      </c>
      <c r="Q1277" s="655">
        <v>126177</v>
      </c>
      <c r="R1277" s="655">
        <v>1995</v>
      </c>
      <c r="S1277" s="655">
        <v>70933</v>
      </c>
      <c r="T1277" s="655">
        <v>8447</v>
      </c>
      <c r="U1277" s="655">
        <v>568187</v>
      </c>
      <c r="V1277" s="655">
        <v>44771</v>
      </c>
      <c r="W1277" s="655">
        <v>91960</v>
      </c>
      <c r="X1277" s="655">
        <v>601530.49</v>
      </c>
      <c r="Y1277" s="655">
        <v>0</v>
      </c>
      <c r="Z1277" s="655">
        <v>0</v>
      </c>
      <c r="AA1277" s="655">
        <v>0</v>
      </c>
      <c r="AB1277" s="655">
        <v>0</v>
      </c>
      <c r="AC1277" s="655">
        <v>-6366</v>
      </c>
      <c r="AD1277" s="655">
        <v>101066</v>
      </c>
      <c r="AE1277" s="655">
        <v>18463012.489999998</v>
      </c>
      <c r="AF1277" s="655">
        <v>338335</v>
      </c>
      <c r="AG1277" s="655">
        <v>649292</v>
      </c>
      <c r="AH1277" s="655">
        <v>0</v>
      </c>
      <c r="AI1277" s="805">
        <v>3349321</v>
      </c>
      <c r="AJ1277" s="655">
        <v>6795764</v>
      </c>
      <c r="AK1277" s="655">
        <v>29595724.489999998</v>
      </c>
      <c r="AL1277" s="805">
        <v>21690254</v>
      </c>
      <c r="AM1277" s="655">
        <v>7905470.4899999984</v>
      </c>
    </row>
    <row r="1278" spans="1:39" x14ac:dyDescent="0.2">
      <c r="A1278" s="648">
        <v>2016</v>
      </c>
      <c r="B1278" s="648">
        <v>5</v>
      </c>
      <c r="C1278" s="657" t="s">
        <v>350</v>
      </c>
      <c r="D1278" s="648">
        <v>6120</v>
      </c>
      <c r="E1278" s="648" t="s">
        <v>1293</v>
      </c>
      <c r="F1278" s="655">
        <v>7592099</v>
      </c>
      <c r="G1278" s="655">
        <v>0</v>
      </c>
      <c r="H1278" s="655">
        <v>83527</v>
      </c>
      <c r="I1278" s="655">
        <v>806072</v>
      </c>
      <c r="J1278" s="655">
        <v>657684</v>
      </c>
      <c r="K1278" s="655">
        <v>78194</v>
      </c>
      <c r="L1278" s="655">
        <v>74213</v>
      </c>
      <c r="M1278" s="655">
        <v>0</v>
      </c>
      <c r="N1278" s="655">
        <v>382152</v>
      </c>
      <c r="O1278" s="655">
        <v>0</v>
      </c>
      <c r="P1278" s="655">
        <v>62859</v>
      </c>
      <c r="Q1278" s="655">
        <v>70602</v>
      </c>
      <c r="R1278" s="655">
        <v>1144</v>
      </c>
      <c r="S1278" s="655">
        <v>40701</v>
      </c>
      <c r="T1278" s="655">
        <v>4847</v>
      </c>
      <c r="U1278" s="655">
        <v>375053</v>
      </c>
      <c r="V1278" s="655">
        <v>0</v>
      </c>
      <c r="W1278" s="655">
        <v>80848</v>
      </c>
      <c r="X1278" s="655">
        <v>291816.36</v>
      </c>
      <c r="Y1278" s="655">
        <v>0</v>
      </c>
      <c r="Z1278" s="655">
        <v>0</v>
      </c>
      <c r="AA1278" s="655">
        <v>0</v>
      </c>
      <c r="AB1278" s="655">
        <v>0</v>
      </c>
      <c r="AC1278" s="655">
        <v>-6366</v>
      </c>
      <c r="AD1278" s="655">
        <v>56032</v>
      </c>
      <c r="AE1278" s="655">
        <v>10539413.359999999</v>
      </c>
      <c r="AF1278" s="655">
        <v>164373</v>
      </c>
      <c r="AG1278" s="655">
        <v>687009</v>
      </c>
      <c r="AH1278" s="655">
        <v>0</v>
      </c>
      <c r="AI1278" s="805">
        <v>1720938</v>
      </c>
      <c r="AJ1278" s="655">
        <v>1994358</v>
      </c>
      <c r="AK1278" s="655">
        <v>15106091.359999999</v>
      </c>
      <c r="AL1278" s="805">
        <v>12776419</v>
      </c>
      <c r="AM1278" s="655">
        <v>2329672.3599999994</v>
      </c>
    </row>
    <row r="1279" spans="1:39" x14ac:dyDescent="0.2">
      <c r="A1279" s="648">
        <v>2016</v>
      </c>
      <c r="B1279" s="648">
        <v>10</v>
      </c>
      <c r="C1279" s="657" t="s">
        <v>351</v>
      </c>
      <c r="D1279" s="648">
        <v>6138</v>
      </c>
      <c r="E1279" s="648" t="s">
        <v>1294</v>
      </c>
      <c r="F1279" s="655">
        <v>2385638</v>
      </c>
      <c r="G1279" s="655">
        <v>29095</v>
      </c>
      <c r="H1279" s="655">
        <v>126964</v>
      </c>
      <c r="I1279" s="655">
        <v>299746</v>
      </c>
      <c r="J1279" s="655">
        <v>222282</v>
      </c>
      <c r="K1279" s="655">
        <v>21065</v>
      </c>
      <c r="L1279" s="655">
        <v>19234</v>
      </c>
      <c r="M1279" s="655">
        <v>0</v>
      </c>
      <c r="N1279" s="655">
        <v>116889</v>
      </c>
      <c r="O1279" s="655">
        <v>12096</v>
      </c>
      <c r="P1279" s="655">
        <v>19826</v>
      </c>
      <c r="Q1279" s="655">
        <v>21782</v>
      </c>
      <c r="R1279" s="655">
        <v>0</v>
      </c>
      <c r="S1279" s="655">
        <v>10898</v>
      </c>
      <c r="T1279" s="655">
        <v>1267</v>
      </c>
      <c r="U1279" s="655">
        <v>17410</v>
      </c>
      <c r="V1279" s="655">
        <v>0</v>
      </c>
      <c r="W1279" s="655">
        <v>78938</v>
      </c>
      <c r="X1279" s="655">
        <v>0</v>
      </c>
      <c r="Y1279" s="655">
        <v>63955.99</v>
      </c>
      <c r="Z1279" s="655">
        <v>0</v>
      </c>
      <c r="AA1279" s="655">
        <v>0</v>
      </c>
      <c r="AB1279" s="655">
        <v>0</v>
      </c>
      <c r="AC1279" s="655">
        <v>0</v>
      </c>
      <c r="AD1279" s="655">
        <v>21853</v>
      </c>
      <c r="AE1279" s="655">
        <v>3297321.01</v>
      </c>
      <c r="AF1279" s="655">
        <v>51568</v>
      </c>
      <c r="AG1279" s="655">
        <v>188252</v>
      </c>
      <c r="AH1279" s="655">
        <v>0</v>
      </c>
      <c r="AI1279" s="805">
        <v>799075</v>
      </c>
      <c r="AJ1279" s="655">
        <v>1453580</v>
      </c>
      <c r="AK1279" s="655">
        <v>5789796.0099999998</v>
      </c>
      <c r="AL1279" s="805">
        <v>4194176</v>
      </c>
      <c r="AM1279" s="655">
        <v>1595620.0099999998</v>
      </c>
    </row>
    <row r="1280" spans="1:39" x14ac:dyDescent="0.2">
      <c r="A1280" s="648">
        <v>2016</v>
      </c>
      <c r="B1280" s="648">
        <v>13</v>
      </c>
      <c r="C1280" s="657" t="s">
        <v>352</v>
      </c>
      <c r="D1280" s="648">
        <v>6165</v>
      </c>
      <c r="E1280" s="648" t="s">
        <v>1295</v>
      </c>
      <c r="F1280" s="655">
        <v>1148033</v>
      </c>
      <c r="G1280" s="655">
        <v>9306</v>
      </c>
      <c r="H1280" s="655">
        <v>208199</v>
      </c>
      <c r="I1280" s="655">
        <v>132079</v>
      </c>
      <c r="J1280" s="655">
        <v>115211</v>
      </c>
      <c r="K1280" s="655">
        <v>14319</v>
      </c>
      <c r="L1280" s="655">
        <v>11406</v>
      </c>
      <c r="M1280" s="655">
        <v>0</v>
      </c>
      <c r="N1280" s="655">
        <v>56274</v>
      </c>
      <c r="O1280" s="655">
        <v>5673</v>
      </c>
      <c r="P1280" s="655">
        <v>9388</v>
      </c>
      <c r="Q1280" s="655">
        <v>10383</v>
      </c>
      <c r="R1280" s="655">
        <v>0</v>
      </c>
      <c r="S1280" s="655">
        <v>5896</v>
      </c>
      <c r="T1280" s="655">
        <v>626</v>
      </c>
      <c r="U1280" s="655">
        <v>0</v>
      </c>
      <c r="V1280" s="655">
        <v>0</v>
      </c>
      <c r="W1280" s="655">
        <v>50923</v>
      </c>
      <c r="X1280" s="655">
        <v>94128.21</v>
      </c>
      <c r="Y1280" s="655">
        <v>0</v>
      </c>
      <c r="Z1280" s="655">
        <v>0</v>
      </c>
      <c r="AA1280" s="655">
        <v>0</v>
      </c>
      <c r="AB1280" s="655">
        <v>0</v>
      </c>
      <c r="AC1280" s="655">
        <v>19098</v>
      </c>
      <c r="AD1280" s="655">
        <v>12066</v>
      </c>
      <c r="AE1280" s="655">
        <v>1878876.21</v>
      </c>
      <c r="AF1280" s="655">
        <v>54791</v>
      </c>
      <c r="AG1280" s="655">
        <v>93131</v>
      </c>
      <c r="AH1280" s="655">
        <v>0</v>
      </c>
      <c r="AI1280" s="805">
        <v>603070</v>
      </c>
      <c r="AJ1280" s="655">
        <v>279978</v>
      </c>
      <c r="AK1280" s="655">
        <v>2909846.21</v>
      </c>
      <c r="AL1280" s="805">
        <v>2434910</v>
      </c>
      <c r="AM1280" s="655">
        <v>474936.20999999996</v>
      </c>
    </row>
    <row r="1281" spans="1:39" x14ac:dyDescent="0.2">
      <c r="A1281" s="648">
        <v>2016</v>
      </c>
      <c r="B1281" s="648">
        <v>1</v>
      </c>
      <c r="C1281" s="657" t="s">
        <v>353</v>
      </c>
      <c r="D1281" s="648">
        <v>6175</v>
      </c>
      <c r="E1281" s="648" t="s">
        <v>1296</v>
      </c>
      <c r="F1281" s="655">
        <v>4034916</v>
      </c>
      <c r="G1281" s="655">
        <v>0</v>
      </c>
      <c r="H1281" s="655">
        <v>80899</v>
      </c>
      <c r="I1281" s="655">
        <v>558015</v>
      </c>
      <c r="J1281" s="655">
        <v>381799</v>
      </c>
      <c r="K1281" s="655">
        <v>42310</v>
      </c>
      <c r="L1281" s="655">
        <v>46882</v>
      </c>
      <c r="M1281" s="655">
        <v>0</v>
      </c>
      <c r="N1281" s="655">
        <v>211566</v>
      </c>
      <c r="O1281" s="655">
        <v>5667</v>
      </c>
      <c r="P1281" s="655">
        <v>33131</v>
      </c>
      <c r="Q1281" s="655">
        <v>36975</v>
      </c>
      <c r="R1281" s="655">
        <v>0</v>
      </c>
      <c r="S1281" s="655">
        <v>20817</v>
      </c>
      <c r="T1281" s="655">
        <v>2225</v>
      </c>
      <c r="U1281" s="655">
        <v>75227</v>
      </c>
      <c r="V1281" s="655">
        <v>131294</v>
      </c>
      <c r="W1281" s="655">
        <v>98969</v>
      </c>
      <c r="X1281" s="655">
        <v>0</v>
      </c>
      <c r="Y1281" s="655">
        <v>0</v>
      </c>
      <c r="Z1281" s="655">
        <v>0</v>
      </c>
      <c r="AA1281" s="655">
        <v>0</v>
      </c>
      <c r="AB1281" s="655">
        <v>0</v>
      </c>
      <c r="AC1281" s="655">
        <v>6135</v>
      </c>
      <c r="AD1281" s="655">
        <v>41746</v>
      </c>
      <c r="AE1281" s="655">
        <v>5725081</v>
      </c>
      <c r="AF1281" s="655">
        <v>132143</v>
      </c>
      <c r="AG1281" s="655">
        <v>316015</v>
      </c>
      <c r="AH1281" s="655">
        <v>0</v>
      </c>
      <c r="AI1281" s="805">
        <v>1152041</v>
      </c>
      <c r="AJ1281" s="655">
        <v>-131294</v>
      </c>
      <c r="AK1281" s="655">
        <v>7193986</v>
      </c>
      <c r="AL1281" s="805">
        <v>6970032</v>
      </c>
      <c r="AM1281" s="655">
        <v>223954</v>
      </c>
    </row>
    <row r="1282" spans="1:39" x14ac:dyDescent="0.2">
      <c r="A1282" s="648">
        <v>2016</v>
      </c>
      <c r="B1282" s="648">
        <v>5</v>
      </c>
      <c r="C1282" s="657" t="s">
        <v>354</v>
      </c>
      <c r="D1282" s="648">
        <v>6219</v>
      </c>
      <c r="E1282" s="648" t="s">
        <v>1297</v>
      </c>
      <c r="F1282" s="655">
        <v>14603413</v>
      </c>
      <c r="G1282" s="655">
        <v>0</v>
      </c>
      <c r="H1282" s="655">
        <v>1359519</v>
      </c>
      <c r="I1282" s="655">
        <v>1467367</v>
      </c>
      <c r="J1282" s="655">
        <v>1227674</v>
      </c>
      <c r="K1282" s="655">
        <v>141662</v>
      </c>
      <c r="L1282" s="655">
        <v>182758</v>
      </c>
      <c r="M1282" s="655">
        <v>0</v>
      </c>
      <c r="N1282" s="655">
        <v>731288</v>
      </c>
      <c r="O1282" s="655">
        <v>0</v>
      </c>
      <c r="P1282" s="655">
        <v>131663</v>
      </c>
      <c r="Q1282" s="655">
        <v>147882</v>
      </c>
      <c r="R1282" s="655">
        <v>2191</v>
      </c>
      <c r="S1282" s="655">
        <v>77886</v>
      </c>
      <c r="T1282" s="655">
        <v>9274</v>
      </c>
      <c r="U1282" s="655">
        <v>55834</v>
      </c>
      <c r="V1282" s="655">
        <v>0</v>
      </c>
      <c r="W1282" s="655">
        <v>671415</v>
      </c>
      <c r="X1282" s="655">
        <v>920198.26</v>
      </c>
      <c r="Y1282" s="655">
        <v>0</v>
      </c>
      <c r="Z1282" s="655">
        <v>0</v>
      </c>
      <c r="AA1282" s="655">
        <v>0</v>
      </c>
      <c r="AB1282" s="655">
        <v>0</v>
      </c>
      <c r="AC1282" s="655">
        <v>0</v>
      </c>
      <c r="AD1282" s="655">
        <v>89007</v>
      </c>
      <c r="AE1282" s="655">
        <v>21641017.260000002</v>
      </c>
      <c r="AF1282" s="655">
        <v>377091</v>
      </c>
      <c r="AG1282" s="655">
        <v>866712</v>
      </c>
      <c r="AH1282" s="655">
        <v>0</v>
      </c>
      <c r="AI1282" s="805">
        <v>3935865</v>
      </c>
      <c r="AJ1282" s="655">
        <v>11573313</v>
      </c>
      <c r="AK1282" s="655">
        <v>38393998.260000005</v>
      </c>
      <c r="AL1282" s="805">
        <v>26014974</v>
      </c>
      <c r="AM1282" s="655">
        <v>12379024.260000005</v>
      </c>
    </row>
    <row r="1283" spans="1:39" x14ac:dyDescent="0.2">
      <c r="A1283" s="648">
        <v>2016</v>
      </c>
      <c r="B1283" s="648">
        <v>5</v>
      </c>
      <c r="C1283" s="657" t="s">
        <v>355</v>
      </c>
      <c r="D1283" s="648">
        <v>6246</v>
      </c>
      <c r="E1283" s="648" t="s">
        <v>1298</v>
      </c>
      <c r="F1283" s="655">
        <v>1170593</v>
      </c>
      <c r="G1283" s="655">
        <v>0</v>
      </c>
      <c r="H1283" s="655">
        <v>90853</v>
      </c>
      <c r="I1283" s="655">
        <v>183799</v>
      </c>
      <c r="J1283" s="655">
        <v>94462</v>
      </c>
      <c r="K1283" s="655">
        <v>9144</v>
      </c>
      <c r="L1283" s="655">
        <v>10449</v>
      </c>
      <c r="M1283" s="655">
        <v>0</v>
      </c>
      <c r="N1283" s="655">
        <v>60002</v>
      </c>
      <c r="O1283" s="655">
        <v>3509</v>
      </c>
      <c r="P1283" s="655">
        <v>9556</v>
      </c>
      <c r="Q1283" s="655">
        <v>10733</v>
      </c>
      <c r="R1283" s="655">
        <v>179</v>
      </c>
      <c r="S1283" s="655">
        <v>6390</v>
      </c>
      <c r="T1283" s="655">
        <v>761</v>
      </c>
      <c r="U1283" s="655">
        <v>56038</v>
      </c>
      <c r="V1283" s="655">
        <v>0</v>
      </c>
      <c r="W1283" s="655">
        <v>38833</v>
      </c>
      <c r="X1283" s="655">
        <v>143517.59</v>
      </c>
      <c r="Y1283" s="655">
        <v>0</v>
      </c>
      <c r="Z1283" s="655">
        <v>0</v>
      </c>
      <c r="AA1283" s="655">
        <v>0</v>
      </c>
      <c r="AB1283" s="655">
        <v>0</v>
      </c>
      <c r="AC1283" s="655">
        <v>0</v>
      </c>
      <c r="AD1283" s="655">
        <v>10017</v>
      </c>
      <c r="AE1283" s="655">
        <v>1878801.59</v>
      </c>
      <c r="AF1283" s="655">
        <v>32230</v>
      </c>
      <c r="AG1283" s="655">
        <v>95403</v>
      </c>
      <c r="AH1283" s="655">
        <v>0</v>
      </c>
      <c r="AI1283" s="805">
        <v>232024</v>
      </c>
      <c r="AJ1283" s="655">
        <v>2278184</v>
      </c>
      <c r="AK1283" s="655">
        <v>4516642.59</v>
      </c>
      <c r="AL1283" s="805">
        <v>2155464</v>
      </c>
      <c r="AM1283" s="655">
        <v>2361178.59</v>
      </c>
    </row>
    <row r="1284" spans="1:39" x14ac:dyDescent="0.2">
      <c r="A1284" s="648">
        <v>2016</v>
      </c>
      <c r="B1284" s="648">
        <v>11</v>
      </c>
      <c r="C1284" s="657" t="s">
        <v>356</v>
      </c>
      <c r="D1284" s="648">
        <v>6264</v>
      </c>
      <c r="E1284" s="648" t="s">
        <v>1299</v>
      </c>
      <c r="F1284" s="655">
        <v>6166864</v>
      </c>
      <c r="G1284" s="655">
        <v>0</v>
      </c>
      <c r="H1284" s="655">
        <v>76946</v>
      </c>
      <c r="I1284" s="655">
        <v>791924</v>
      </c>
      <c r="J1284" s="655">
        <v>540008</v>
      </c>
      <c r="K1284" s="655">
        <v>52483</v>
      </c>
      <c r="L1284" s="655">
        <v>58042</v>
      </c>
      <c r="M1284" s="655">
        <v>0</v>
      </c>
      <c r="N1284" s="655">
        <v>294199</v>
      </c>
      <c r="O1284" s="655">
        <v>0</v>
      </c>
      <c r="P1284" s="655">
        <v>49874</v>
      </c>
      <c r="Q1284" s="655">
        <v>54747</v>
      </c>
      <c r="R1284" s="655">
        <v>0</v>
      </c>
      <c r="S1284" s="655">
        <v>24108</v>
      </c>
      <c r="T1284" s="655">
        <v>3067</v>
      </c>
      <c r="U1284" s="655">
        <v>108244</v>
      </c>
      <c r="V1284" s="655">
        <v>0</v>
      </c>
      <c r="W1284" s="655">
        <v>223447</v>
      </c>
      <c r="X1284" s="655">
        <v>275814.19</v>
      </c>
      <c r="Y1284" s="655">
        <v>0</v>
      </c>
      <c r="Z1284" s="655">
        <v>0</v>
      </c>
      <c r="AA1284" s="655">
        <v>0</v>
      </c>
      <c r="AB1284" s="655">
        <v>0</v>
      </c>
      <c r="AC1284" s="655">
        <v>6432</v>
      </c>
      <c r="AD1284" s="655">
        <v>43965</v>
      </c>
      <c r="AE1284" s="655">
        <v>8682234.1899999995</v>
      </c>
      <c r="AF1284" s="655">
        <v>128880</v>
      </c>
      <c r="AG1284" s="655">
        <v>502167</v>
      </c>
      <c r="AH1284" s="655">
        <v>0</v>
      </c>
      <c r="AI1284" s="805">
        <v>737574</v>
      </c>
      <c r="AJ1284" s="655">
        <v>3694721</v>
      </c>
      <c r="AK1284" s="655">
        <v>13745576.189999999</v>
      </c>
      <c r="AL1284" s="805">
        <v>10090215</v>
      </c>
      <c r="AM1284" s="655">
        <v>3655361.1899999995</v>
      </c>
    </row>
    <row r="1285" spans="1:39" x14ac:dyDescent="0.2">
      <c r="A1285" s="648">
        <v>2016</v>
      </c>
      <c r="B1285" s="648">
        <v>7</v>
      </c>
      <c r="C1285" s="657" t="s">
        <v>357</v>
      </c>
      <c r="D1285" s="648">
        <v>6273</v>
      </c>
      <c r="E1285" s="648" t="s">
        <v>1640</v>
      </c>
      <c r="F1285" s="655">
        <v>5360494</v>
      </c>
      <c r="G1285" s="655">
        <v>158083</v>
      </c>
      <c r="H1285" s="655">
        <v>137048</v>
      </c>
      <c r="I1285" s="655">
        <v>639379</v>
      </c>
      <c r="J1285" s="655">
        <v>485892</v>
      </c>
      <c r="K1285" s="655">
        <v>53352</v>
      </c>
      <c r="L1285" s="655">
        <v>48751</v>
      </c>
      <c r="M1285" s="655">
        <v>0</v>
      </c>
      <c r="N1285" s="655">
        <v>266848</v>
      </c>
      <c r="O1285" s="655">
        <v>3549</v>
      </c>
      <c r="P1285" s="655">
        <v>44182</v>
      </c>
      <c r="Q1285" s="655">
        <v>49355</v>
      </c>
      <c r="R1285" s="655">
        <v>0</v>
      </c>
      <c r="S1285" s="655">
        <v>34516</v>
      </c>
      <c r="T1285" s="655">
        <v>3962</v>
      </c>
      <c r="U1285" s="655">
        <v>130710</v>
      </c>
      <c r="V1285" s="655">
        <v>0</v>
      </c>
      <c r="W1285" s="655">
        <v>46052</v>
      </c>
      <c r="X1285" s="655">
        <v>0</v>
      </c>
      <c r="Y1285" s="655">
        <v>54803</v>
      </c>
      <c r="Z1285" s="655">
        <v>0</v>
      </c>
      <c r="AA1285" s="655">
        <v>0</v>
      </c>
      <c r="AB1285" s="655">
        <v>0</v>
      </c>
      <c r="AC1285" s="655">
        <v>0</v>
      </c>
      <c r="AD1285" s="655">
        <v>48164</v>
      </c>
      <c r="AE1285" s="655">
        <v>7359206</v>
      </c>
      <c r="AF1285" s="655">
        <v>170819</v>
      </c>
      <c r="AG1285" s="655">
        <v>440272</v>
      </c>
      <c r="AH1285" s="655">
        <v>0</v>
      </c>
      <c r="AI1285" s="805">
        <v>748991</v>
      </c>
      <c r="AJ1285" s="655">
        <v>1184243</v>
      </c>
      <c r="AK1285" s="655">
        <v>9903531</v>
      </c>
      <c r="AL1285" s="805">
        <v>8705058</v>
      </c>
      <c r="AM1285" s="655">
        <v>1198473</v>
      </c>
    </row>
    <row r="1286" spans="1:39" x14ac:dyDescent="0.2">
      <c r="A1286" s="648">
        <v>2016</v>
      </c>
      <c r="B1286" s="648">
        <v>10</v>
      </c>
      <c r="C1286" s="657" t="s">
        <v>358</v>
      </c>
      <c r="D1286" s="648">
        <v>6408</v>
      </c>
      <c r="E1286" s="648" t="s">
        <v>1300</v>
      </c>
      <c r="F1286" s="655">
        <v>5799222</v>
      </c>
      <c r="G1286" s="655">
        <v>0</v>
      </c>
      <c r="H1286" s="655">
        <v>57862</v>
      </c>
      <c r="I1286" s="655">
        <v>665553</v>
      </c>
      <c r="J1286" s="655">
        <v>486592</v>
      </c>
      <c r="K1286" s="655">
        <v>51610</v>
      </c>
      <c r="L1286" s="655">
        <v>56885</v>
      </c>
      <c r="M1286" s="655">
        <v>0</v>
      </c>
      <c r="N1286" s="655">
        <v>281009</v>
      </c>
      <c r="O1286" s="655">
        <v>0</v>
      </c>
      <c r="P1286" s="655">
        <v>47193</v>
      </c>
      <c r="Q1286" s="655">
        <v>51847</v>
      </c>
      <c r="R1286" s="655">
        <v>0</v>
      </c>
      <c r="S1286" s="655">
        <v>26199</v>
      </c>
      <c r="T1286" s="655">
        <v>3045</v>
      </c>
      <c r="U1286" s="655">
        <v>19500</v>
      </c>
      <c r="V1286" s="655">
        <v>0</v>
      </c>
      <c r="W1286" s="655">
        <v>77821</v>
      </c>
      <c r="X1286" s="655">
        <v>8027.24</v>
      </c>
      <c r="Y1286" s="655">
        <v>0</v>
      </c>
      <c r="Z1286" s="655">
        <v>0</v>
      </c>
      <c r="AA1286" s="655">
        <v>0</v>
      </c>
      <c r="AB1286" s="655">
        <v>0</v>
      </c>
      <c r="AC1286" s="655">
        <v>0</v>
      </c>
      <c r="AD1286" s="655">
        <v>38524</v>
      </c>
      <c r="AE1286" s="655">
        <v>7593841.2400000002</v>
      </c>
      <c r="AF1286" s="655">
        <v>83798</v>
      </c>
      <c r="AG1286" s="655">
        <v>301009</v>
      </c>
      <c r="AH1286" s="655">
        <v>0</v>
      </c>
      <c r="AI1286" s="805">
        <v>1064566</v>
      </c>
      <c r="AJ1286" s="655">
        <v>2955460</v>
      </c>
      <c r="AK1286" s="655">
        <v>11998674.24</v>
      </c>
      <c r="AL1286" s="805">
        <v>8665555</v>
      </c>
      <c r="AM1286" s="655">
        <v>3333119.24</v>
      </c>
    </row>
    <row r="1287" spans="1:39" x14ac:dyDescent="0.2">
      <c r="A1287" s="648">
        <v>2016</v>
      </c>
      <c r="B1287" s="648">
        <v>13</v>
      </c>
      <c r="C1287" s="657" t="s">
        <v>359</v>
      </c>
      <c r="D1287" s="648">
        <v>6453</v>
      </c>
      <c r="E1287" s="648" t="s">
        <v>1301</v>
      </c>
      <c r="F1287" s="655">
        <v>3726433</v>
      </c>
      <c r="G1287" s="655">
        <v>4056</v>
      </c>
      <c r="H1287" s="655">
        <v>52941</v>
      </c>
      <c r="I1287" s="655">
        <v>289039</v>
      </c>
      <c r="J1287" s="655">
        <v>325268</v>
      </c>
      <c r="K1287" s="655">
        <v>34039</v>
      </c>
      <c r="L1287" s="655">
        <v>35536</v>
      </c>
      <c r="M1287" s="655">
        <v>0</v>
      </c>
      <c r="N1287" s="655">
        <v>176523</v>
      </c>
      <c r="O1287" s="655">
        <v>0</v>
      </c>
      <c r="P1287" s="655">
        <v>32488</v>
      </c>
      <c r="Q1287" s="655">
        <v>35931</v>
      </c>
      <c r="R1287" s="655">
        <v>0</v>
      </c>
      <c r="S1287" s="655">
        <v>18128</v>
      </c>
      <c r="T1287" s="655">
        <v>1925</v>
      </c>
      <c r="U1287" s="655">
        <v>896</v>
      </c>
      <c r="V1287" s="655">
        <v>0</v>
      </c>
      <c r="W1287" s="655">
        <v>26101</v>
      </c>
      <c r="X1287" s="655">
        <v>127455.22</v>
      </c>
      <c r="Y1287" s="655">
        <v>0</v>
      </c>
      <c r="Z1287" s="655">
        <v>0</v>
      </c>
      <c r="AA1287" s="655">
        <v>0</v>
      </c>
      <c r="AB1287" s="655">
        <v>0</v>
      </c>
      <c r="AC1287" s="655">
        <v>0</v>
      </c>
      <c r="AD1287" s="655">
        <v>22629</v>
      </c>
      <c r="AE1287" s="655">
        <v>4864130.22</v>
      </c>
      <c r="AF1287" s="655">
        <v>0</v>
      </c>
      <c r="AG1287" s="655">
        <v>299558</v>
      </c>
      <c r="AH1287" s="655">
        <v>0</v>
      </c>
      <c r="AI1287" s="805">
        <v>2167573</v>
      </c>
      <c r="AJ1287" s="655">
        <v>1825665</v>
      </c>
      <c r="AK1287" s="655">
        <v>9156926.2199999988</v>
      </c>
      <c r="AL1287" s="805">
        <v>7069354</v>
      </c>
      <c r="AM1287" s="655">
        <v>2087572.2199999988</v>
      </c>
    </row>
    <row r="1288" spans="1:39" x14ac:dyDescent="0.2">
      <c r="A1288" s="648">
        <v>2016</v>
      </c>
      <c r="B1288" s="648">
        <v>13</v>
      </c>
      <c r="C1288" s="657" t="s">
        <v>360</v>
      </c>
      <c r="D1288" s="648">
        <v>6460</v>
      </c>
      <c r="E1288" s="648" t="s">
        <v>1302</v>
      </c>
      <c r="F1288" s="655">
        <v>4199040</v>
      </c>
      <c r="G1288" s="655">
        <v>220954</v>
      </c>
      <c r="H1288" s="655">
        <v>21766</v>
      </c>
      <c r="I1288" s="655">
        <v>445103</v>
      </c>
      <c r="J1288" s="655">
        <v>378225</v>
      </c>
      <c r="K1288" s="655">
        <v>42326</v>
      </c>
      <c r="L1288" s="655">
        <v>41033</v>
      </c>
      <c r="M1288" s="655">
        <v>0</v>
      </c>
      <c r="N1288" s="655">
        <v>203151</v>
      </c>
      <c r="O1288" s="655">
        <v>8606</v>
      </c>
      <c r="P1288" s="655">
        <v>34597</v>
      </c>
      <c r="Q1288" s="655">
        <v>38264</v>
      </c>
      <c r="R1288" s="655">
        <v>0</v>
      </c>
      <c r="S1288" s="655">
        <v>21745</v>
      </c>
      <c r="T1288" s="655">
        <v>2308</v>
      </c>
      <c r="U1288" s="655">
        <v>180133</v>
      </c>
      <c r="V1288" s="655">
        <v>99232</v>
      </c>
      <c r="W1288" s="655">
        <v>104402</v>
      </c>
      <c r="X1288" s="655">
        <v>36305.129999999997</v>
      </c>
      <c r="Y1288" s="655">
        <v>0</v>
      </c>
      <c r="Z1288" s="655">
        <v>0</v>
      </c>
      <c r="AA1288" s="655">
        <v>0</v>
      </c>
      <c r="AB1288" s="655">
        <v>0</v>
      </c>
      <c r="AC1288" s="655">
        <v>-6398</v>
      </c>
      <c r="AD1288" s="655">
        <v>33287</v>
      </c>
      <c r="AE1288" s="655">
        <v>6037505.1299999999</v>
      </c>
      <c r="AF1288" s="655">
        <v>138589</v>
      </c>
      <c r="AG1288" s="655">
        <v>347765</v>
      </c>
      <c r="AH1288" s="655">
        <v>0</v>
      </c>
      <c r="AI1288" s="805">
        <v>1058781</v>
      </c>
      <c r="AJ1288" s="655">
        <v>-99232</v>
      </c>
      <c r="AK1288" s="655">
        <v>7483408.1299999999</v>
      </c>
      <c r="AL1288" s="805">
        <v>7026358</v>
      </c>
      <c r="AM1288" s="655">
        <v>457050.12999999989</v>
      </c>
    </row>
    <row r="1289" spans="1:39" x14ac:dyDescent="0.2">
      <c r="A1289" s="648">
        <v>2016</v>
      </c>
      <c r="B1289" s="648">
        <v>15</v>
      </c>
      <c r="C1289" s="657" t="s">
        <v>361</v>
      </c>
      <c r="D1289" s="648">
        <v>6462</v>
      </c>
      <c r="E1289" s="648" t="s">
        <v>1303</v>
      </c>
      <c r="F1289" s="655">
        <v>1663068</v>
      </c>
      <c r="G1289" s="655">
        <v>8644</v>
      </c>
      <c r="H1289" s="655">
        <v>152964</v>
      </c>
      <c r="I1289" s="655">
        <v>229026</v>
      </c>
      <c r="J1289" s="655">
        <v>166885</v>
      </c>
      <c r="K1289" s="655">
        <v>15134</v>
      </c>
      <c r="L1289" s="655">
        <v>19528</v>
      </c>
      <c r="M1289" s="655">
        <v>0</v>
      </c>
      <c r="N1289" s="655">
        <v>82403</v>
      </c>
      <c r="O1289" s="655">
        <v>11654</v>
      </c>
      <c r="P1289" s="655">
        <v>13705</v>
      </c>
      <c r="Q1289" s="655">
        <v>15054</v>
      </c>
      <c r="R1289" s="655">
        <v>219</v>
      </c>
      <c r="S1289" s="655">
        <v>8360</v>
      </c>
      <c r="T1289" s="655">
        <v>904</v>
      </c>
      <c r="U1289" s="655">
        <v>59202</v>
      </c>
      <c r="V1289" s="655">
        <v>0</v>
      </c>
      <c r="W1289" s="655">
        <v>57862</v>
      </c>
      <c r="X1289" s="655">
        <v>0</v>
      </c>
      <c r="Y1289" s="655">
        <v>26745.55</v>
      </c>
      <c r="Z1289" s="655">
        <v>0</v>
      </c>
      <c r="AA1289" s="655">
        <v>0</v>
      </c>
      <c r="AB1289" s="655">
        <v>0</v>
      </c>
      <c r="AC1289" s="655">
        <v>0</v>
      </c>
      <c r="AD1289" s="655">
        <v>17232</v>
      </c>
      <c r="AE1289" s="655">
        <v>2460634.4500000002</v>
      </c>
      <c r="AF1289" s="655">
        <v>61237</v>
      </c>
      <c r="AG1289" s="655">
        <v>135893</v>
      </c>
      <c r="AH1289" s="655">
        <v>0</v>
      </c>
      <c r="AI1289" s="805">
        <v>364375</v>
      </c>
      <c r="AJ1289" s="655">
        <v>951845</v>
      </c>
      <c r="AK1289" s="655">
        <v>3973984.45</v>
      </c>
      <c r="AL1289" s="805">
        <v>2949871</v>
      </c>
      <c r="AM1289" s="655">
        <v>1024113.4500000002</v>
      </c>
    </row>
    <row r="1290" spans="1:39" x14ac:dyDescent="0.2">
      <c r="A1290" s="648">
        <v>2016</v>
      </c>
      <c r="B1290" s="648">
        <v>7</v>
      </c>
      <c r="C1290" s="657" t="s">
        <v>362</v>
      </c>
      <c r="D1290" s="648">
        <v>6471</v>
      </c>
      <c r="E1290" s="648" t="s">
        <v>1304</v>
      </c>
      <c r="F1290" s="655">
        <v>2820975</v>
      </c>
      <c r="G1290" s="655">
        <v>0</v>
      </c>
      <c r="H1290" s="655">
        <v>72236</v>
      </c>
      <c r="I1290" s="655">
        <v>363225</v>
      </c>
      <c r="J1290" s="655">
        <v>264550</v>
      </c>
      <c r="K1290" s="655">
        <v>27170</v>
      </c>
      <c r="L1290" s="655">
        <v>27940</v>
      </c>
      <c r="M1290" s="655">
        <v>0</v>
      </c>
      <c r="N1290" s="655">
        <v>140768</v>
      </c>
      <c r="O1290" s="655">
        <v>1870</v>
      </c>
      <c r="P1290" s="655">
        <v>23232</v>
      </c>
      <c r="Q1290" s="655">
        <v>25952</v>
      </c>
      <c r="R1290" s="655">
        <v>0</v>
      </c>
      <c r="S1290" s="655">
        <v>17927</v>
      </c>
      <c r="T1290" s="655">
        <v>2057</v>
      </c>
      <c r="U1290" s="655">
        <v>29550</v>
      </c>
      <c r="V1290" s="655">
        <v>0</v>
      </c>
      <c r="W1290" s="655">
        <v>110245</v>
      </c>
      <c r="X1290" s="655">
        <v>0</v>
      </c>
      <c r="Y1290" s="655">
        <v>12075.6</v>
      </c>
      <c r="Z1290" s="655">
        <v>0</v>
      </c>
      <c r="AA1290" s="655">
        <v>0</v>
      </c>
      <c r="AB1290" s="655">
        <v>0</v>
      </c>
      <c r="AC1290" s="655">
        <v>0</v>
      </c>
      <c r="AD1290" s="655">
        <v>22675</v>
      </c>
      <c r="AE1290" s="655">
        <v>3892946.4</v>
      </c>
      <c r="AF1290" s="655">
        <v>48345</v>
      </c>
      <c r="AG1290" s="655">
        <v>211461</v>
      </c>
      <c r="AH1290" s="655">
        <v>0</v>
      </c>
      <c r="AI1290" s="805">
        <v>355499</v>
      </c>
      <c r="AJ1290" s="655">
        <v>595265</v>
      </c>
      <c r="AK1290" s="655">
        <v>5103516.4000000004</v>
      </c>
      <c r="AL1290" s="805">
        <v>4567492</v>
      </c>
      <c r="AM1290" s="655">
        <v>536024.40000000037</v>
      </c>
    </row>
    <row r="1291" spans="1:39" x14ac:dyDescent="0.2">
      <c r="A1291" s="648">
        <v>2016</v>
      </c>
      <c r="B1291" s="648">
        <v>1</v>
      </c>
      <c r="C1291" s="657" t="s">
        <v>363</v>
      </c>
      <c r="D1291" s="648">
        <v>6509</v>
      </c>
      <c r="E1291" s="648" t="s">
        <v>1305</v>
      </c>
      <c r="F1291" s="655">
        <v>2388616</v>
      </c>
      <c r="G1291" s="655">
        <v>0</v>
      </c>
      <c r="H1291" s="655">
        <v>155293</v>
      </c>
      <c r="I1291" s="655">
        <v>296262</v>
      </c>
      <c r="J1291" s="655">
        <v>217583</v>
      </c>
      <c r="K1291" s="655">
        <v>24952</v>
      </c>
      <c r="L1291" s="655">
        <v>17543</v>
      </c>
      <c r="M1291" s="655">
        <v>0</v>
      </c>
      <c r="N1291" s="655">
        <v>120813</v>
      </c>
      <c r="O1291" s="655">
        <v>25941</v>
      </c>
      <c r="P1291" s="655">
        <v>22105</v>
      </c>
      <c r="Q1291" s="655">
        <v>24670</v>
      </c>
      <c r="R1291" s="655">
        <v>0</v>
      </c>
      <c r="S1291" s="655">
        <v>11888</v>
      </c>
      <c r="T1291" s="655">
        <v>1271</v>
      </c>
      <c r="U1291" s="655">
        <v>64803</v>
      </c>
      <c r="V1291" s="655">
        <v>61392</v>
      </c>
      <c r="W1291" s="655">
        <v>31830</v>
      </c>
      <c r="X1291" s="655">
        <v>106771</v>
      </c>
      <c r="Y1291" s="655">
        <v>0</v>
      </c>
      <c r="Z1291" s="655">
        <v>0</v>
      </c>
      <c r="AA1291" s="655">
        <v>0</v>
      </c>
      <c r="AB1291" s="655">
        <v>0</v>
      </c>
      <c r="AC1291" s="655">
        <v>0</v>
      </c>
      <c r="AD1291" s="655">
        <v>29583</v>
      </c>
      <c r="AE1291" s="655">
        <v>3542150</v>
      </c>
      <c r="AF1291" s="655">
        <v>61237</v>
      </c>
      <c r="AG1291" s="655">
        <v>204299</v>
      </c>
      <c r="AH1291" s="655">
        <v>0</v>
      </c>
      <c r="AI1291" s="805">
        <v>874048</v>
      </c>
      <c r="AJ1291" s="655">
        <v>366760</v>
      </c>
      <c r="AK1291" s="655">
        <v>5048494</v>
      </c>
      <c r="AL1291" s="805">
        <v>4533858</v>
      </c>
      <c r="AM1291" s="655">
        <v>514636</v>
      </c>
    </row>
    <row r="1292" spans="1:39" x14ac:dyDescent="0.2">
      <c r="A1292" s="648">
        <v>2016</v>
      </c>
      <c r="B1292" s="648">
        <v>11</v>
      </c>
      <c r="C1292" s="657" t="s">
        <v>364</v>
      </c>
      <c r="D1292" s="648">
        <v>6512</v>
      </c>
      <c r="E1292" s="648" t="s">
        <v>1306</v>
      </c>
      <c r="F1292" s="655">
        <v>2337261</v>
      </c>
      <c r="G1292" s="655">
        <v>90855</v>
      </c>
      <c r="H1292" s="655">
        <v>96615</v>
      </c>
      <c r="I1292" s="655">
        <v>255683</v>
      </c>
      <c r="J1292" s="655">
        <v>226442</v>
      </c>
      <c r="K1292" s="655">
        <v>23524</v>
      </c>
      <c r="L1292" s="655">
        <v>27559</v>
      </c>
      <c r="M1292" s="655">
        <v>0</v>
      </c>
      <c r="N1292" s="655">
        <v>109893</v>
      </c>
      <c r="O1292" s="655">
        <v>8406</v>
      </c>
      <c r="P1292" s="655">
        <v>19781</v>
      </c>
      <c r="Q1292" s="655">
        <v>21714</v>
      </c>
      <c r="R1292" s="655">
        <v>0</v>
      </c>
      <c r="S1292" s="655">
        <v>9333</v>
      </c>
      <c r="T1292" s="655">
        <v>1190</v>
      </c>
      <c r="U1292" s="655">
        <v>93787</v>
      </c>
      <c r="V1292" s="655">
        <v>0</v>
      </c>
      <c r="W1292" s="655">
        <v>41379</v>
      </c>
      <c r="X1292" s="655">
        <v>25621</v>
      </c>
      <c r="Y1292" s="655">
        <v>0</v>
      </c>
      <c r="Z1292" s="655">
        <v>0</v>
      </c>
      <c r="AA1292" s="655">
        <v>0</v>
      </c>
      <c r="AB1292" s="655">
        <v>0</v>
      </c>
      <c r="AC1292" s="655">
        <v>-6416</v>
      </c>
      <c r="AD1292" s="655">
        <v>20920</v>
      </c>
      <c r="AE1292" s="655">
        <v>3361707</v>
      </c>
      <c r="AF1292" s="655">
        <v>54791</v>
      </c>
      <c r="AG1292" s="655">
        <v>180361</v>
      </c>
      <c r="AH1292" s="655">
        <v>0</v>
      </c>
      <c r="AI1292" s="805">
        <v>694416</v>
      </c>
      <c r="AJ1292" s="655">
        <v>1109691</v>
      </c>
      <c r="AK1292" s="655">
        <v>5400966</v>
      </c>
      <c r="AL1292" s="805">
        <v>4092903</v>
      </c>
      <c r="AM1292" s="655">
        <v>1308063</v>
      </c>
    </row>
    <row r="1293" spans="1:39" x14ac:dyDescent="0.2">
      <c r="A1293" s="648">
        <v>2016</v>
      </c>
      <c r="B1293" s="648">
        <v>5</v>
      </c>
      <c r="C1293" s="657" t="s">
        <v>365</v>
      </c>
      <c r="D1293" s="648">
        <v>6516</v>
      </c>
      <c r="E1293" s="648" t="s">
        <v>1307</v>
      </c>
      <c r="F1293" s="655">
        <v>1152054</v>
      </c>
      <c r="G1293" s="655">
        <v>4068</v>
      </c>
      <c r="H1293" s="655">
        <v>157785</v>
      </c>
      <c r="I1293" s="655">
        <v>143676</v>
      </c>
      <c r="J1293" s="655">
        <v>110024</v>
      </c>
      <c r="K1293" s="655">
        <v>10720</v>
      </c>
      <c r="L1293" s="655">
        <v>10546</v>
      </c>
      <c r="M1293" s="655">
        <v>54406</v>
      </c>
      <c r="N1293" s="655">
        <v>57403</v>
      </c>
      <c r="O1293" s="655">
        <v>372</v>
      </c>
      <c r="P1293" s="655">
        <v>10406</v>
      </c>
      <c r="Q1293" s="655">
        <v>11687</v>
      </c>
      <c r="R1293" s="655">
        <v>173</v>
      </c>
      <c r="S1293" s="655">
        <v>6149</v>
      </c>
      <c r="T1293" s="655">
        <v>733</v>
      </c>
      <c r="U1293" s="655">
        <v>0</v>
      </c>
      <c r="V1293" s="655">
        <v>0</v>
      </c>
      <c r="W1293" s="655">
        <v>50928</v>
      </c>
      <c r="X1293" s="655">
        <v>15415.79</v>
      </c>
      <c r="Y1293" s="655">
        <v>0</v>
      </c>
      <c r="Z1293" s="655">
        <v>0</v>
      </c>
      <c r="AA1293" s="655">
        <v>0</v>
      </c>
      <c r="AB1293" s="655">
        <v>0</v>
      </c>
      <c r="AC1293" s="655">
        <v>-6541</v>
      </c>
      <c r="AD1293" s="655">
        <v>11565</v>
      </c>
      <c r="AE1293" s="655">
        <v>1778439.79</v>
      </c>
      <c r="AF1293" s="655">
        <v>3223</v>
      </c>
      <c r="AG1293" s="655">
        <v>102213</v>
      </c>
      <c r="AH1293" s="655">
        <v>289031</v>
      </c>
      <c r="AI1293" s="805">
        <v>107572</v>
      </c>
      <c r="AJ1293" s="655">
        <v>1976264</v>
      </c>
      <c r="AK1293" s="655">
        <v>4256742.79</v>
      </c>
      <c r="AL1293" s="805">
        <v>2010211</v>
      </c>
      <c r="AM1293" s="655">
        <v>2246531.79</v>
      </c>
    </row>
    <row r="1294" spans="1:39" x14ac:dyDescent="0.2">
      <c r="A1294" s="648">
        <v>2016</v>
      </c>
      <c r="B1294" s="648">
        <v>13</v>
      </c>
      <c r="C1294" s="657" t="s">
        <v>366</v>
      </c>
      <c r="D1294" s="648">
        <v>6534</v>
      </c>
      <c r="E1294" s="648" t="s">
        <v>1312</v>
      </c>
      <c r="F1294" s="655">
        <v>4463855</v>
      </c>
      <c r="G1294" s="655">
        <v>0</v>
      </c>
      <c r="H1294" s="655">
        <v>41435</v>
      </c>
      <c r="I1294" s="655">
        <v>318046</v>
      </c>
      <c r="J1294" s="655">
        <v>365626</v>
      </c>
      <c r="K1294" s="655">
        <v>37506</v>
      </c>
      <c r="L1294" s="655">
        <v>41439</v>
      </c>
      <c r="M1294" s="655">
        <v>0</v>
      </c>
      <c r="N1294" s="655">
        <v>210215</v>
      </c>
      <c r="O1294" s="655">
        <v>4032</v>
      </c>
      <c r="P1294" s="655">
        <v>38237</v>
      </c>
      <c r="Q1294" s="655">
        <v>42289</v>
      </c>
      <c r="R1294" s="655">
        <v>0</v>
      </c>
      <c r="S1294" s="655">
        <v>21588</v>
      </c>
      <c r="T1294" s="655">
        <v>2292</v>
      </c>
      <c r="U1294" s="655">
        <v>159556</v>
      </c>
      <c r="V1294" s="655">
        <v>0</v>
      </c>
      <c r="W1294" s="655">
        <v>57686</v>
      </c>
      <c r="X1294" s="655">
        <v>240842.59</v>
      </c>
      <c r="Y1294" s="655">
        <v>0</v>
      </c>
      <c r="Z1294" s="655">
        <v>0</v>
      </c>
      <c r="AA1294" s="655">
        <v>0</v>
      </c>
      <c r="AB1294" s="655">
        <v>0</v>
      </c>
      <c r="AC1294" s="655">
        <v>0</v>
      </c>
      <c r="AD1294" s="655">
        <v>30799</v>
      </c>
      <c r="AE1294" s="655">
        <v>6013845.5899999999</v>
      </c>
      <c r="AF1294" s="655">
        <v>122474</v>
      </c>
      <c r="AG1294" s="655">
        <v>351083</v>
      </c>
      <c r="AH1294" s="655">
        <v>0</v>
      </c>
      <c r="AI1294" s="805">
        <v>1398170</v>
      </c>
      <c r="AJ1294" s="655">
        <v>504694</v>
      </c>
      <c r="AK1294" s="655">
        <v>8390266.5899999999</v>
      </c>
      <c r="AL1294" s="805">
        <v>7789197</v>
      </c>
      <c r="AM1294" s="655">
        <v>601069.58999999985</v>
      </c>
    </row>
    <row r="1295" spans="1:39" x14ac:dyDescent="0.2">
      <c r="A1295" s="648">
        <v>2016</v>
      </c>
      <c r="B1295" s="648">
        <v>11</v>
      </c>
      <c r="C1295" s="657" t="s">
        <v>367</v>
      </c>
      <c r="D1295" s="648">
        <v>6561</v>
      </c>
      <c r="E1295" s="648" t="s">
        <v>1313</v>
      </c>
      <c r="F1295" s="655">
        <v>2184549</v>
      </c>
      <c r="G1295" s="655">
        <v>0</v>
      </c>
      <c r="H1295" s="655">
        <v>31998</v>
      </c>
      <c r="I1295" s="655">
        <v>223612</v>
      </c>
      <c r="J1295" s="655">
        <v>162248</v>
      </c>
      <c r="K1295" s="655">
        <v>13688</v>
      </c>
      <c r="L1295" s="655">
        <v>22042</v>
      </c>
      <c r="M1295" s="655">
        <v>0</v>
      </c>
      <c r="N1295" s="655">
        <v>102853</v>
      </c>
      <c r="O1295" s="655">
        <v>0</v>
      </c>
      <c r="P1295" s="655">
        <v>18098</v>
      </c>
      <c r="Q1295" s="655">
        <v>19866</v>
      </c>
      <c r="R1295" s="655">
        <v>0</v>
      </c>
      <c r="S1295" s="655">
        <v>8428</v>
      </c>
      <c r="T1295" s="655">
        <v>1072</v>
      </c>
      <c r="U1295" s="655">
        <v>62566</v>
      </c>
      <c r="V1295" s="655">
        <v>0</v>
      </c>
      <c r="W1295" s="655">
        <v>163902</v>
      </c>
      <c r="X1295" s="655">
        <v>12565.95</v>
      </c>
      <c r="Y1295" s="655">
        <v>0</v>
      </c>
      <c r="Z1295" s="655">
        <v>0</v>
      </c>
      <c r="AA1295" s="655">
        <v>0</v>
      </c>
      <c r="AB1295" s="655">
        <v>0</v>
      </c>
      <c r="AC1295" s="655">
        <v>0</v>
      </c>
      <c r="AD1295" s="655">
        <v>19730</v>
      </c>
      <c r="AE1295" s="655">
        <v>3007757.95</v>
      </c>
      <c r="AF1295" s="655">
        <v>128920</v>
      </c>
      <c r="AG1295" s="655">
        <v>194622</v>
      </c>
      <c r="AH1295" s="655">
        <v>0</v>
      </c>
      <c r="AI1295" s="805">
        <v>1293657</v>
      </c>
      <c r="AJ1295" s="655">
        <v>628850</v>
      </c>
      <c r="AK1295" s="655">
        <v>5253806.95</v>
      </c>
      <c r="AL1295" s="805">
        <v>4699704</v>
      </c>
      <c r="AM1295" s="655">
        <v>554102.95000000019</v>
      </c>
    </row>
    <row r="1296" spans="1:39" x14ac:dyDescent="0.2">
      <c r="A1296" s="648">
        <v>2016</v>
      </c>
      <c r="B1296" s="648">
        <v>11</v>
      </c>
      <c r="C1296" s="657" t="s">
        <v>368</v>
      </c>
      <c r="D1296" s="648">
        <v>6579</v>
      </c>
      <c r="E1296" s="648" t="s">
        <v>1314</v>
      </c>
      <c r="F1296" s="655">
        <v>21595389</v>
      </c>
      <c r="G1296" s="655">
        <v>108572</v>
      </c>
      <c r="H1296" s="655">
        <v>574725</v>
      </c>
      <c r="I1296" s="655">
        <v>2044736</v>
      </c>
      <c r="J1296" s="655">
        <v>1887134</v>
      </c>
      <c r="K1296" s="655">
        <v>222956</v>
      </c>
      <c r="L1296" s="655">
        <v>213207</v>
      </c>
      <c r="M1296" s="655">
        <v>0</v>
      </c>
      <c r="N1296" s="655">
        <v>1009675</v>
      </c>
      <c r="O1296" s="655">
        <v>0</v>
      </c>
      <c r="P1296" s="655">
        <v>200181</v>
      </c>
      <c r="Q1296" s="655">
        <v>219739</v>
      </c>
      <c r="R1296" s="655">
        <v>0</v>
      </c>
      <c r="S1296" s="655">
        <v>82737</v>
      </c>
      <c r="T1296" s="655">
        <v>10525</v>
      </c>
      <c r="U1296" s="655">
        <v>734006</v>
      </c>
      <c r="V1296" s="655">
        <v>847228</v>
      </c>
      <c r="W1296" s="655">
        <v>508511</v>
      </c>
      <c r="X1296" s="655">
        <v>1094152.26</v>
      </c>
      <c r="Y1296" s="655">
        <v>0</v>
      </c>
      <c r="Z1296" s="655">
        <v>0</v>
      </c>
      <c r="AA1296" s="655">
        <v>0</v>
      </c>
      <c r="AB1296" s="655">
        <v>0</v>
      </c>
      <c r="AC1296" s="655">
        <v>-6366</v>
      </c>
      <c r="AD1296" s="655">
        <v>138380</v>
      </c>
      <c r="AE1296" s="655">
        <v>31208727.260000002</v>
      </c>
      <c r="AF1296" s="655">
        <v>560802</v>
      </c>
      <c r="AG1296" s="655">
        <v>1668166</v>
      </c>
      <c r="AH1296" s="655">
        <v>0</v>
      </c>
      <c r="AI1296" s="805">
        <v>9839168</v>
      </c>
      <c r="AJ1296" s="655">
        <v>5770971</v>
      </c>
      <c r="AK1296" s="655">
        <v>49047834.260000005</v>
      </c>
      <c r="AL1296" s="805">
        <v>42281275</v>
      </c>
      <c r="AM1296" s="655">
        <v>6766559.2600000054</v>
      </c>
    </row>
    <row r="1297" spans="1:39" x14ac:dyDescent="0.2">
      <c r="A1297" s="648">
        <v>2016</v>
      </c>
      <c r="B1297" s="648">
        <v>1</v>
      </c>
      <c r="C1297" s="657" t="s">
        <v>369</v>
      </c>
      <c r="D1297" s="648">
        <v>6591</v>
      </c>
      <c r="E1297" s="648" t="s">
        <v>1333</v>
      </c>
      <c r="F1297" s="655">
        <v>2548786</v>
      </c>
      <c r="G1297" s="655">
        <v>0</v>
      </c>
      <c r="H1297" s="655">
        <v>206465</v>
      </c>
      <c r="I1297" s="655">
        <v>331989</v>
      </c>
      <c r="J1297" s="655">
        <v>224493</v>
      </c>
      <c r="K1297" s="655">
        <v>24369</v>
      </c>
      <c r="L1297" s="655">
        <v>25480</v>
      </c>
      <c r="M1297" s="655">
        <v>0</v>
      </c>
      <c r="N1297" s="655">
        <v>132514</v>
      </c>
      <c r="O1297" s="655">
        <v>19503</v>
      </c>
      <c r="P1297" s="655">
        <v>20886</v>
      </c>
      <c r="Q1297" s="655">
        <v>23309</v>
      </c>
      <c r="R1297" s="655">
        <v>0</v>
      </c>
      <c r="S1297" s="655">
        <v>13039</v>
      </c>
      <c r="T1297" s="655">
        <v>1394</v>
      </c>
      <c r="U1297" s="655">
        <v>101718</v>
      </c>
      <c r="V1297" s="655">
        <v>0</v>
      </c>
      <c r="W1297" s="655">
        <v>33253</v>
      </c>
      <c r="X1297" s="655">
        <v>124382.71</v>
      </c>
      <c r="Y1297" s="655">
        <v>0</v>
      </c>
      <c r="Z1297" s="655">
        <v>0</v>
      </c>
      <c r="AA1297" s="655">
        <v>0</v>
      </c>
      <c r="AB1297" s="655">
        <v>0</v>
      </c>
      <c r="AC1297" s="655">
        <v>51112</v>
      </c>
      <c r="AD1297" s="655">
        <v>28089</v>
      </c>
      <c r="AE1297" s="655">
        <v>3854603.71</v>
      </c>
      <c r="AF1297" s="655">
        <v>80575</v>
      </c>
      <c r="AG1297" s="655">
        <v>192230</v>
      </c>
      <c r="AH1297" s="655">
        <v>0</v>
      </c>
      <c r="AI1297" s="805">
        <v>1804394</v>
      </c>
      <c r="AJ1297" s="655">
        <v>767404</v>
      </c>
      <c r="AK1297" s="655">
        <v>6699206.71</v>
      </c>
      <c r="AL1297" s="805">
        <v>5726146</v>
      </c>
      <c r="AM1297" s="655">
        <v>973060.71</v>
      </c>
    </row>
    <row r="1298" spans="1:39" x14ac:dyDescent="0.2">
      <c r="A1298" s="648">
        <v>2016</v>
      </c>
      <c r="B1298" s="648">
        <v>15</v>
      </c>
      <c r="C1298" s="657" t="s">
        <v>370</v>
      </c>
      <c r="D1298" s="648">
        <v>6592</v>
      </c>
      <c r="E1298" s="648" t="s">
        <v>2013</v>
      </c>
      <c r="F1298" s="655">
        <v>4068702</v>
      </c>
      <c r="G1298" s="655">
        <v>0</v>
      </c>
      <c r="H1298" s="655">
        <v>113790</v>
      </c>
      <c r="I1298" s="655">
        <v>491261</v>
      </c>
      <c r="J1298" s="655">
        <v>353580</v>
      </c>
      <c r="K1298" s="655">
        <v>34994</v>
      </c>
      <c r="L1298" s="655">
        <v>42328</v>
      </c>
      <c r="M1298" s="655">
        <v>0</v>
      </c>
      <c r="N1298" s="655">
        <v>198560</v>
      </c>
      <c r="O1298" s="655">
        <v>18199</v>
      </c>
      <c r="P1298" s="655">
        <v>33260</v>
      </c>
      <c r="Q1298" s="655">
        <v>36535</v>
      </c>
      <c r="R1298" s="655">
        <v>531</v>
      </c>
      <c r="S1298" s="655">
        <v>19882</v>
      </c>
      <c r="T1298" s="655">
        <v>2150</v>
      </c>
      <c r="U1298" s="655">
        <v>62005</v>
      </c>
      <c r="V1298" s="655">
        <v>0</v>
      </c>
      <c r="W1298" s="655">
        <v>126047</v>
      </c>
      <c r="X1298" s="655">
        <v>133861.5</v>
      </c>
      <c r="Y1298" s="655">
        <v>0</v>
      </c>
      <c r="Z1298" s="655">
        <v>0</v>
      </c>
      <c r="AA1298" s="655">
        <v>0</v>
      </c>
      <c r="AB1298" s="655">
        <v>0</v>
      </c>
      <c r="AC1298" s="655">
        <v>0</v>
      </c>
      <c r="AD1298" s="655">
        <v>38342</v>
      </c>
      <c r="AE1298" s="655">
        <v>5697343.5</v>
      </c>
      <c r="AF1298" s="655">
        <v>116028</v>
      </c>
      <c r="AG1298" s="655">
        <v>313860</v>
      </c>
      <c r="AH1298" s="655">
        <v>0</v>
      </c>
      <c r="AI1298" s="805">
        <v>1205198</v>
      </c>
      <c r="AJ1298" s="655">
        <v>340796</v>
      </c>
      <c r="AK1298" s="655">
        <v>7673225.5</v>
      </c>
      <c r="AL1298" s="805">
        <v>7563712</v>
      </c>
      <c r="AM1298" s="655">
        <v>109513.5</v>
      </c>
    </row>
    <row r="1299" spans="1:39" x14ac:dyDescent="0.2">
      <c r="A1299" s="648">
        <v>2016</v>
      </c>
      <c r="B1299" s="648">
        <v>11</v>
      </c>
      <c r="C1299" s="657" t="s">
        <v>371</v>
      </c>
      <c r="D1299" s="648">
        <v>6615</v>
      </c>
      <c r="E1299" s="648" t="s">
        <v>1334</v>
      </c>
      <c r="F1299" s="655">
        <v>3652304</v>
      </c>
      <c r="G1299" s="655">
        <v>64039</v>
      </c>
      <c r="H1299" s="655">
        <v>47288</v>
      </c>
      <c r="I1299" s="655">
        <v>269894</v>
      </c>
      <c r="J1299" s="655">
        <v>327558</v>
      </c>
      <c r="K1299" s="655">
        <v>33616</v>
      </c>
      <c r="L1299" s="655">
        <v>35264</v>
      </c>
      <c r="M1299" s="655">
        <v>178498</v>
      </c>
      <c r="N1299" s="655">
        <v>167518</v>
      </c>
      <c r="O1299" s="655">
        <v>1171</v>
      </c>
      <c r="P1299" s="655">
        <v>31040</v>
      </c>
      <c r="Q1299" s="655">
        <v>34073</v>
      </c>
      <c r="R1299" s="655">
        <v>0</v>
      </c>
      <c r="S1299" s="655">
        <v>13777</v>
      </c>
      <c r="T1299" s="655">
        <v>1756</v>
      </c>
      <c r="U1299" s="655">
        <v>37800</v>
      </c>
      <c r="V1299" s="655">
        <v>0</v>
      </c>
      <c r="W1299" s="655">
        <v>256164</v>
      </c>
      <c r="X1299" s="655">
        <v>269672.01</v>
      </c>
      <c r="Y1299" s="655">
        <v>0</v>
      </c>
      <c r="Z1299" s="655">
        <v>0</v>
      </c>
      <c r="AA1299" s="655">
        <v>0</v>
      </c>
      <c r="AB1299" s="655">
        <v>0</v>
      </c>
      <c r="AC1299" s="655">
        <v>31830</v>
      </c>
      <c r="AD1299" s="655">
        <v>22227</v>
      </c>
      <c r="AE1299" s="655">
        <v>5431035.0099999998</v>
      </c>
      <c r="AF1299" s="655">
        <v>0</v>
      </c>
      <c r="AG1299" s="655">
        <v>287608</v>
      </c>
      <c r="AH1299" s="655">
        <v>0</v>
      </c>
      <c r="AI1299" s="805">
        <v>1394381</v>
      </c>
      <c r="AJ1299" s="655">
        <v>2012235</v>
      </c>
      <c r="AK1299" s="655">
        <v>9125259.0099999998</v>
      </c>
      <c r="AL1299" s="805">
        <v>7244124</v>
      </c>
      <c r="AM1299" s="655">
        <v>1881135.0099999998</v>
      </c>
    </row>
    <row r="1300" spans="1:39" x14ac:dyDescent="0.2">
      <c r="A1300" s="648">
        <v>2016</v>
      </c>
      <c r="B1300" s="648">
        <v>13</v>
      </c>
      <c r="C1300" s="657" t="s">
        <v>372</v>
      </c>
      <c r="D1300" s="648">
        <v>6651</v>
      </c>
      <c r="E1300" s="648" t="s">
        <v>1335</v>
      </c>
      <c r="F1300" s="655">
        <v>2172302</v>
      </c>
      <c r="G1300" s="655">
        <v>0</v>
      </c>
      <c r="H1300" s="655">
        <v>172224</v>
      </c>
      <c r="I1300" s="655">
        <v>275760</v>
      </c>
      <c r="J1300" s="655">
        <v>191874</v>
      </c>
      <c r="K1300" s="655">
        <v>20581</v>
      </c>
      <c r="L1300" s="655">
        <v>23486</v>
      </c>
      <c r="M1300" s="655">
        <v>0</v>
      </c>
      <c r="N1300" s="655">
        <v>107618</v>
      </c>
      <c r="O1300" s="655">
        <v>5218</v>
      </c>
      <c r="P1300" s="655">
        <v>17773</v>
      </c>
      <c r="Q1300" s="655">
        <v>19657</v>
      </c>
      <c r="R1300" s="655">
        <v>0</v>
      </c>
      <c r="S1300" s="655">
        <v>11052</v>
      </c>
      <c r="T1300" s="655">
        <v>1174</v>
      </c>
      <c r="U1300" s="655">
        <v>33246</v>
      </c>
      <c r="V1300" s="655">
        <v>0</v>
      </c>
      <c r="W1300" s="655">
        <v>44562</v>
      </c>
      <c r="X1300" s="655">
        <v>24165.75</v>
      </c>
      <c r="Y1300" s="655">
        <v>0</v>
      </c>
      <c r="Z1300" s="655">
        <v>0</v>
      </c>
      <c r="AA1300" s="655">
        <v>0</v>
      </c>
      <c r="AB1300" s="655">
        <v>0</v>
      </c>
      <c r="AC1300" s="655">
        <v>63660</v>
      </c>
      <c r="AD1300" s="655">
        <v>20643</v>
      </c>
      <c r="AE1300" s="655">
        <v>3163709.75</v>
      </c>
      <c r="AF1300" s="655">
        <v>54791</v>
      </c>
      <c r="AG1300" s="655">
        <v>173111</v>
      </c>
      <c r="AH1300" s="655">
        <v>0</v>
      </c>
      <c r="AI1300" s="805">
        <v>939082</v>
      </c>
      <c r="AJ1300" s="655">
        <v>90767</v>
      </c>
      <c r="AK1300" s="655">
        <v>4421460.75</v>
      </c>
      <c r="AL1300" s="805">
        <v>4062438</v>
      </c>
      <c r="AM1300" s="655">
        <v>359022.75</v>
      </c>
    </row>
    <row r="1301" spans="1:39" x14ac:dyDescent="0.2">
      <c r="A1301" s="648">
        <v>2016</v>
      </c>
      <c r="B1301" s="648">
        <v>10</v>
      </c>
      <c r="C1301" s="657" t="s">
        <v>373</v>
      </c>
      <c r="D1301" s="648">
        <v>6660</v>
      </c>
      <c r="E1301" s="648" t="s">
        <v>652</v>
      </c>
      <c r="F1301" s="655">
        <v>10262677</v>
      </c>
      <c r="G1301" s="655">
        <v>0</v>
      </c>
      <c r="H1301" s="655">
        <v>87260</v>
      </c>
      <c r="I1301" s="655">
        <v>1448610</v>
      </c>
      <c r="J1301" s="655">
        <v>919024</v>
      </c>
      <c r="K1301" s="655">
        <v>103359</v>
      </c>
      <c r="L1301" s="655">
        <v>99299</v>
      </c>
      <c r="M1301" s="655">
        <v>0</v>
      </c>
      <c r="N1301" s="655">
        <v>513091</v>
      </c>
      <c r="O1301" s="655">
        <v>23817</v>
      </c>
      <c r="P1301" s="655">
        <v>85106</v>
      </c>
      <c r="Q1301" s="655">
        <v>93499</v>
      </c>
      <c r="R1301" s="655">
        <v>0</v>
      </c>
      <c r="S1301" s="655">
        <v>47837</v>
      </c>
      <c r="T1301" s="655">
        <v>5559</v>
      </c>
      <c r="U1301" s="655">
        <v>304059</v>
      </c>
      <c r="V1301" s="655">
        <v>0</v>
      </c>
      <c r="W1301" s="655">
        <v>115861</v>
      </c>
      <c r="X1301" s="655">
        <v>345469.39</v>
      </c>
      <c r="Y1301" s="655">
        <v>0</v>
      </c>
      <c r="Z1301" s="655">
        <v>0</v>
      </c>
      <c r="AA1301" s="655">
        <v>0</v>
      </c>
      <c r="AB1301" s="655">
        <v>0</v>
      </c>
      <c r="AC1301" s="655">
        <v>-127</v>
      </c>
      <c r="AD1301" s="655">
        <v>88383</v>
      </c>
      <c r="AE1301" s="655">
        <v>14366017.390000001</v>
      </c>
      <c r="AF1301" s="655">
        <v>261063</v>
      </c>
      <c r="AG1301" s="655">
        <v>761080</v>
      </c>
      <c r="AH1301" s="655">
        <v>0</v>
      </c>
      <c r="AI1301" s="805">
        <v>2299623</v>
      </c>
      <c r="AJ1301" s="655">
        <v>3744970</v>
      </c>
      <c r="AK1301" s="655">
        <v>21432753.390000001</v>
      </c>
      <c r="AL1301" s="805">
        <v>17538918</v>
      </c>
      <c r="AM1301" s="655">
        <v>3893835.3900000006</v>
      </c>
    </row>
    <row r="1302" spans="1:39" x14ac:dyDescent="0.2">
      <c r="A1302" s="648">
        <v>2016</v>
      </c>
      <c r="B1302" s="648">
        <v>15</v>
      </c>
      <c r="C1302" s="657" t="s">
        <v>374</v>
      </c>
      <c r="D1302" s="648">
        <v>6700</v>
      </c>
      <c r="E1302" s="648" t="s">
        <v>1336</v>
      </c>
      <c r="F1302" s="655">
        <v>3179223</v>
      </c>
      <c r="G1302" s="655">
        <v>0</v>
      </c>
      <c r="H1302" s="655">
        <v>121979</v>
      </c>
      <c r="I1302" s="655">
        <v>507664</v>
      </c>
      <c r="J1302" s="655">
        <v>304068</v>
      </c>
      <c r="K1302" s="655">
        <v>32455</v>
      </c>
      <c r="L1302" s="655">
        <v>32533</v>
      </c>
      <c r="M1302" s="655">
        <v>0</v>
      </c>
      <c r="N1302" s="655">
        <v>157537</v>
      </c>
      <c r="O1302" s="655">
        <v>280</v>
      </c>
      <c r="P1302" s="655">
        <v>25617</v>
      </c>
      <c r="Q1302" s="655">
        <v>28139</v>
      </c>
      <c r="R1302" s="655">
        <v>421</v>
      </c>
      <c r="S1302" s="655">
        <v>15774</v>
      </c>
      <c r="T1302" s="655">
        <v>1706</v>
      </c>
      <c r="U1302" s="655">
        <v>45513</v>
      </c>
      <c r="V1302" s="655">
        <v>0</v>
      </c>
      <c r="W1302" s="655">
        <v>19906</v>
      </c>
      <c r="X1302" s="655">
        <v>0</v>
      </c>
      <c r="Y1302" s="655">
        <v>0</v>
      </c>
      <c r="Z1302" s="655">
        <v>0</v>
      </c>
      <c r="AA1302" s="655">
        <v>0</v>
      </c>
      <c r="AB1302" s="655">
        <v>0</v>
      </c>
      <c r="AC1302" s="655">
        <v>-2985</v>
      </c>
      <c r="AD1302" s="655">
        <v>26545</v>
      </c>
      <c r="AE1302" s="655">
        <v>4443285</v>
      </c>
      <c r="AF1302" s="655">
        <v>77352</v>
      </c>
      <c r="AG1302" s="655">
        <v>235326</v>
      </c>
      <c r="AH1302" s="655">
        <v>0</v>
      </c>
      <c r="AI1302" s="805">
        <v>798780</v>
      </c>
      <c r="AJ1302" s="655">
        <v>249995</v>
      </c>
      <c r="AK1302" s="655">
        <v>5804738</v>
      </c>
      <c r="AL1302" s="805">
        <v>5405940</v>
      </c>
      <c r="AM1302" s="655">
        <v>398798</v>
      </c>
    </row>
    <row r="1303" spans="1:39" x14ac:dyDescent="0.2">
      <c r="A1303" s="648">
        <v>2016</v>
      </c>
      <c r="B1303" s="648">
        <v>5</v>
      </c>
      <c r="C1303" s="657" t="s">
        <v>375</v>
      </c>
      <c r="D1303" s="648">
        <v>6741</v>
      </c>
      <c r="E1303" s="648" t="s">
        <v>1485</v>
      </c>
      <c r="F1303" s="655">
        <v>5849916</v>
      </c>
      <c r="G1303" s="655">
        <v>110954</v>
      </c>
      <c r="H1303" s="655">
        <v>146884</v>
      </c>
      <c r="I1303" s="655">
        <v>606113</v>
      </c>
      <c r="J1303" s="655">
        <v>543574</v>
      </c>
      <c r="K1303" s="655">
        <v>57242</v>
      </c>
      <c r="L1303" s="655">
        <v>62099</v>
      </c>
      <c r="M1303" s="655">
        <v>0</v>
      </c>
      <c r="N1303" s="655">
        <v>293185</v>
      </c>
      <c r="O1303" s="655">
        <v>0</v>
      </c>
      <c r="P1303" s="655">
        <v>51179</v>
      </c>
      <c r="Q1303" s="655">
        <v>57483</v>
      </c>
      <c r="R1303" s="655">
        <v>877</v>
      </c>
      <c r="S1303" s="655">
        <v>31226</v>
      </c>
      <c r="T1303" s="655">
        <v>3718</v>
      </c>
      <c r="U1303" s="655">
        <v>283096</v>
      </c>
      <c r="V1303" s="655">
        <v>0</v>
      </c>
      <c r="W1303" s="655">
        <v>69389</v>
      </c>
      <c r="X1303" s="655">
        <v>0</v>
      </c>
      <c r="Y1303" s="655">
        <v>8287</v>
      </c>
      <c r="Z1303" s="655">
        <v>0</v>
      </c>
      <c r="AA1303" s="655">
        <v>0</v>
      </c>
      <c r="AB1303" s="655">
        <v>0</v>
      </c>
      <c r="AC1303" s="655">
        <v>-25271</v>
      </c>
      <c r="AD1303" s="655">
        <v>51797</v>
      </c>
      <c r="AE1303" s="655">
        <v>8081580</v>
      </c>
      <c r="AF1303" s="655">
        <v>180488</v>
      </c>
      <c r="AG1303" s="655">
        <v>482711</v>
      </c>
      <c r="AH1303" s="655">
        <v>0</v>
      </c>
      <c r="AI1303" s="805">
        <v>967190</v>
      </c>
      <c r="AJ1303" s="655">
        <v>2826261</v>
      </c>
      <c r="AK1303" s="655">
        <v>12538230</v>
      </c>
      <c r="AL1303" s="805">
        <v>9563162</v>
      </c>
      <c r="AM1303" s="655">
        <v>2975068</v>
      </c>
    </row>
    <row r="1304" spans="1:39" x14ac:dyDescent="0.2">
      <c r="A1304" s="648">
        <v>2016</v>
      </c>
      <c r="B1304" s="648">
        <v>15</v>
      </c>
      <c r="C1304" s="657" t="s">
        <v>376</v>
      </c>
      <c r="D1304" s="648">
        <v>6759</v>
      </c>
      <c r="E1304" s="648" t="s">
        <v>1337</v>
      </c>
      <c r="F1304" s="655">
        <v>4392451</v>
      </c>
      <c r="G1304" s="655">
        <v>40684</v>
      </c>
      <c r="H1304" s="655">
        <v>94958</v>
      </c>
      <c r="I1304" s="655">
        <v>715795</v>
      </c>
      <c r="J1304" s="655">
        <v>400858</v>
      </c>
      <c r="K1304" s="655">
        <v>41338</v>
      </c>
      <c r="L1304" s="655">
        <v>49986</v>
      </c>
      <c r="M1304" s="655">
        <v>0</v>
      </c>
      <c r="N1304" s="655">
        <v>221678</v>
      </c>
      <c r="O1304" s="655">
        <v>7328</v>
      </c>
      <c r="P1304" s="655">
        <v>35790</v>
      </c>
      <c r="Q1304" s="655">
        <v>39314</v>
      </c>
      <c r="R1304" s="655">
        <v>592</v>
      </c>
      <c r="S1304" s="655">
        <v>22494</v>
      </c>
      <c r="T1304" s="655">
        <v>2432</v>
      </c>
      <c r="U1304" s="655">
        <v>0</v>
      </c>
      <c r="V1304" s="655">
        <v>0</v>
      </c>
      <c r="W1304" s="655">
        <v>125300</v>
      </c>
      <c r="X1304" s="655">
        <v>0</v>
      </c>
      <c r="Y1304" s="655">
        <v>0</v>
      </c>
      <c r="Z1304" s="655">
        <v>0</v>
      </c>
      <c r="AA1304" s="655">
        <v>0</v>
      </c>
      <c r="AB1304" s="655">
        <v>0</v>
      </c>
      <c r="AC1304" s="655">
        <v>-2044</v>
      </c>
      <c r="AD1304" s="655">
        <v>34892</v>
      </c>
      <c r="AE1304" s="655">
        <v>6154062</v>
      </c>
      <c r="AF1304" s="655">
        <v>87061</v>
      </c>
      <c r="AG1304" s="655">
        <v>316216</v>
      </c>
      <c r="AH1304" s="655">
        <v>0</v>
      </c>
      <c r="AI1304" s="805">
        <v>938589</v>
      </c>
      <c r="AJ1304" s="655">
        <v>306659</v>
      </c>
      <c r="AK1304" s="655">
        <v>7802587</v>
      </c>
      <c r="AL1304" s="805">
        <v>7666704</v>
      </c>
      <c r="AM1304" s="655">
        <v>135883</v>
      </c>
    </row>
    <row r="1305" spans="1:39" x14ac:dyDescent="0.2">
      <c r="A1305" s="648">
        <v>2016</v>
      </c>
      <c r="B1305" s="648">
        <v>7</v>
      </c>
      <c r="C1305" s="657" t="s">
        <v>377</v>
      </c>
      <c r="D1305" s="648">
        <v>6762</v>
      </c>
      <c r="E1305" s="648" t="s">
        <v>1338</v>
      </c>
      <c r="F1305" s="655">
        <v>4490516</v>
      </c>
      <c r="G1305" s="655">
        <v>155453</v>
      </c>
      <c r="H1305" s="655">
        <v>172317</v>
      </c>
      <c r="I1305" s="655">
        <v>346478</v>
      </c>
      <c r="J1305" s="655">
        <v>429909</v>
      </c>
      <c r="K1305" s="655">
        <v>44177</v>
      </c>
      <c r="L1305" s="655">
        <v>46423</v>
      </c>
      <c r="M1305" s="655">
        <v>0</v>
      </c>
      <c r="N1305" s="655">
        <v>213604</v>
      </c>
      <c r="O1305" s="655">
        <v>7377</v>
      </c>
      <c r="P1305" s="655">
        <v>38772</v>
      </c>
      <c r="Q1305" s="655">
        <v>43312</v>
      </c>
      <c r="R1305" s="655">
        <v>0</v>
      </c>
      <c r="S1305" s="655">
        <v>28208</v>
      </c>
      <c r="T1305" s="655">
        <v>3238</v>
      </c>
      <c r="U1305" s="655">
        <v>21779</v>
      </c>
      <c r="V1305" s="655">
        <v>0</v>
      </c>
      <c r="W1305" s="655">
        <v>87531</v>
      </c>
      <c r="X1305" s="655">
        <v>0</v>
      </c>
      <c r="Y1305" s="655">
        <v>0</v>
      </c>
      <c r="Z1305" s="655">
        <v>0</v>
      </c>
      <c r="AA1305" s="655">
        <v>0</v>
      </c>
      <c r="AB1305" s="655">
        <v>0</v>
      </c>
      <c r="AC1305" s="655">
        <v>-256</v>
      </c>
      <c r="AD1305" s="655">
        <v>33496</v>
      </c>
      <c r="AE1305" s="655">
        <v>6095342</v>
      </c>
      <c r="AF1305" s="655">
        <v>151481</v>
      </c>
      <c r="AG1305" s="655">
        <v>332884</v>
      </c>
      <c r="AH1305" s="655">
        <v>0</v>
      </c>
      <c r="AI1305" s="805">
        <v>833094</v>
      </c>
      <c r="AJ1305" s="655">
        <v>529613</v>
      </c>
      <c r="AK1305" s="655">
        <v>7942414</v>
      </c>
      <c r="AL1305" s="805">
        <v>7479896</v>
      </c>
      <c r="AM1305" s="655">
        <v>462518</v>
      </c>
    </row>
    <row r="1306" spans="1:39" x14ac:dyDescent="0.2">
      <c r="A1306" s="648">
        <v>2016</v>
      </c>
      <c r="B1306" s="648">
        <v>10</v>
      </c>
      <c r="C1306" s="657" t="s">
        <v>378</v>
      </c>
      <c r="D1306" s="648">
        <v>6768</v>
      </c>
      <c r="E1306" s="648" t="s">
        <v>1339</v>
      </c>
      <c r="F1306" s="655">
        <v>11328845</v>
      </c>
      <c r="G1306" s="655">
        <v>145527</v>
      </c>
      <c r="H1306" s="655">
        <v>427305</v>
      </c>
      <c r="I1306" s="655">
        <v>1778387</v>
      </c>
      <c r="J1306" s="655">
        <v>983136</v>
      </c>
      <c r="K1306" s="655">
        <v>108771</v>
      </c>
      <c r="L1306" s="655">
        <v>120978</v>
      </c>
      <c r="M1306" s="655">
        <v>0</v>
      </c>
      <c r="N1306" s="655">
        <v>574250</v>
      </c>
      <c r="O1306" s="655">
        <v>6938</v>
      </c>
      <c r="P1306" s="655">
        <v>96180</v>
      </c>
      <c r="Q1306" s="655">
        <v>105664</v>
      </c>
      <c r="R1306" s="655">
        <v>0</v>
      </c>
      <c r="S1306" s="655">
        <v>54114</v>
      </c>
      <c r="T1306" s="655">
        <v>6293</v>
      </c>
      <c r="U1306" s="655">
        <v>302083</v>
      </c>
      <c r="V1306" s="655">
        <v>0</v>
      </c>
      <c r="W1306" s="655">
        <v>203226</v>
      </c>
      <c r="X1306" s="655">
        <v>27376.85</v>
      </c>
      <c r="Y1306" s="655">
        <v>0</v>
      </c>
      <c r="Z1306" s="655">
        <v>0</v>
      </c>
      <c r="AA1306" s="655">
        <v>0</v>
      </c>
      <c r="AB1306" s="655">
        <v>0</v>
      </c>
      <c r="AC1306" s="655">
        <v>38196</v>
      </c>
      <c r="AD1306" s="655">
        <v>80503</v>
      </c>
      <c r="AE1306" s="655">
        <v>16226766.85</v>
      </c>
      <c r="AF1306" s="655">
        <v>293293</v>
      </c>
      <c r="AG1306" s="655">
        <v>767865</v>
      </c>
      <c r="AH1306" s="655">
        <v>0</v>
      </c>
      <c r="AI1306" s="805">
        <v>2029295</v>
      </c>
      <c r="AJ1306" s="655">
        <v>2413548</v>
      </c>
      <c r="AK1306" s="655">
        <v>21730767.850000001</v>
      </c>
      <c r="AL1306" s="805">
        <v>19293314</v>
      </c>
      <c r="AM1306" s="655">
        <v>2437453.8500000015</v>
      </c>
    </row>
    <row r="1307" spans="1:39" x14ac:dyDescent="0.2">
      <c r="A1307" s="648">
        <v>2016</v>
      </c>
      <c r="B1307" s="648">
        <v>7</v>
      </c>
      <c r="C1307" s="657" t="s">
        <v>379</v>
      </c>
      <c r="D1307" s="648">
        <v>6795</v>
      </c>
      <c r="E1307" s="648" t="s">
        <v>1340</v>
      </c>
      <c r="F1307" s="655">
        <v>71772342</v>
      </c>
      <c r="G1307" s="655">
        <v>0</v>
      </c>
      <c r="H1307" s="655">
        <v>1522803</v>
      </c>
      <c r="I1307" s="655">
        <v>14462310</v>
      </c>
      <c r="J1307" s="655">
        <v>6075040</v>
      </c>
      <c r="K1307" s="655">
        <v>660493</v>
      </c>
      <c r="L1307" s="655">
        <v>849443</v>
      </c>
      <c r="M1307" s="655">
        <v>3481504</v>
      </c>
      <c r="N1307" s="655">
        <v>3835342</v>
      </c>
      <c r="O1307" s="655">
        <v>0</v>
      </c>
      <c r="P1307" s="655">
        <v>660613</v>
      </c>
      <c r="Q1307" s="655">
        <v>737959</v>
      </c>
      <c r="R1307" s="655">
        <v>0</v>
      </c>
      <c r="S1307" s="655">
        <v>488431</v>
      </c>
      <c r="T1307" s="655">
        <v>56054</v>
      </c>
      <c r="U1307" s="655">
        <v>3207291</v>
      </c>
      <c r="V1307" s="655">
        <v>823072</v>
      </c>
      <c r="W1307" s="655">
        <v>665609</v>
      </c>
      <c r="X1307" s="655">
        <v>0</v>
      </c>
      <c r="Y1307" s="655">
        <v>0</v>
      </c>
      <c r="Z1307" s="655">
        <v>0</v>
      </c>
      <c r="AA1307" s="655">
        <v>0</v>
      </c>
      <c r="AB1307" s="655">
        <v>0</v>
      </c>
      <c r="AC1307" s="655">
        <v>-9549</v>
      </c>
      <c r="AD1307" s="655">
        <v>541622</v>
      </c>
      <c r="AE1307" s="655">
        <v>108747135</v>
      </c>
      <c r="AF1307" s="655">
        <v>1653399</v>
      </c>
      <c r="AG1307" s="655">
        <v>4810182</v>
      </c>
      <c r="AH1307" s="655">
        <v>0</v>
      </c>
      <c r="AI1307" s="805">
        <v>11720055</v>
      </c>
      <c r="AJ1307" s="655">
        <v>12182616</v>
      </c>
      <c r="AK1307" s="655">
        <v>139113387</v>
      </c>
      <c r="AL1307" s="805">
        <v>125891879</v>
      </c>
      <c r="AM1307" s="655">
        <v>13221508</v>
      </c>
    </row>
    <row r="1308" spans="1:39" x14ac:dyDescent="0.2">
      <c r="A1308" s="648">
        <v>2016</v>
      </c>
      <c r="B1308" s="648">
        <v>11</v>
      </c>
      <c r="C1308" s="657" t="s">
        <v>380</v>
      </c>
      <c r="D1308" s="648">
        <v>6822</v>
      </c>
      <c r="E1308" s="648" t="s">
        <v>1341</v>
      </c>
      <c r="F1308" s="655">
        <v>56552692</v>
      </c>
      <c r="G1308" s="655">
        <v>0</v>
      </c>
      <c r="H1308" s="655">
        <v>909840</v>
      </c>
      <c r="I1308" s="655">
        <v>3657074</v>
      </c>
      <c r="J1308" s="655">
        <v>4274527</v>
      </c>
      <c r="K1308" s="655">
        <v>439718</v>
      </c>
      <c r="L1308" s="655">
        <v>567720</v>
      </c>
      <c r="M1308" s="655">
        <v>0</v>
      </c>
      <c r="N1308" s="655">
        <v>2571572</v>
      </c>
      <c r="O1308" s="655">
        <v>0</v>
      </c>
      <c r="P1308" s="655">
        <v>509054</v>
      </c>
      <c r="Q1308" s="655">
        <v>558789</v>
      </c>
      <c r="R1308" s="655">
        <v>0</v>
      </c>
      <c r="S1308" s="655">
        <v>210725</v>
      </c>
      <c r="T1308" s="655">
        <v>26808</v>
      </c>
      <c r="U1308" s="655">
        <v>1460448</v>
      </c>
      <c r="V1308" s="655">
        <v>0</v>
      </c>
      <c r="W1308" s="655">
        <v>4402747</v>
      </c>
      <c r="X1308" s="655">
        <v>3321449.74</v>
      </c>
      <c r="Y1308" s="655">
        <v>0</v>
      </c>
      <c r="Z1308" s="655">
        <v>0</v>
      </c>
      <c r="AA1308" s="655">
        <v>0</v>
      </c>
      <c r="AB1308" s="655">
        <v>0</v>
      </c>
      <c r="AC1308" s="655">
        <v>0</v>
      </c>
      <c r="AD1308" s="655">
        <v>115205</v>
      </c>
      <c r="AE1308" s="655">
        <v>79347958.739999995</v>
      </c>
      <c r="AF1308" s="655">
        <v>0</v>
      </c>
      <c r="AG1308" s="655">
        <v>4359081</v>
      </c>
      <c r="AH1308" s="655">
        <v>0</v>
      </c>
      <c r="AI1308" s="805">
        <v>7993755</v>
      </c>
      <c r="AJ1308" s="655">
        <v>35179646</v>
      </c>
      <c r="AK1308" s="655">
        <v>126880440.73999999</v>
      </c>
      <c r="AL1308" s="805">
        <v>88393906</v>
      </c>
      <c r="AM1308" s="655">
        <v>38486534.739999995</v>
      </c>
    </row>
    <row r="1309" spans="1:39" x14ac:dyDescent="0.2">
      <c r="A1309" s="648">
        <v>2016</v>
      </c>
      <c r="B1309" s="648">
        <v>7</v>
      </c>
      <c r="C1309" s="657" t="s">
        <v>381</v>
      </c>
      <c r="D1309" s="648">
        <v>6840</v>
      </c>
      <c r="E1309" s="648" t="s">
        <v>1342</v>
      </c>
      <c r="F1309" s="655">
        <v>13052505</v>
      </c>
      <c r="G1309" s="655">
        <v>0</v>
      </c>
      <c r="H1309" s="655">
        <v>125749</v>
      </c>
      <c r="I1309" s="655">
        <v>1582364</v>
      </c>
      <c r="J1309" s="655">
        <v>1208805</v>
      </c>
      <c r="K1309" s="655">
        <v>134109</v>
      </c>
      <c r="L1309" s="655">
        <v>112463</v>
      </c>
      <c r="M1309" s="655">
        <v>0</v>
      </c>
      <c r="N1309" s="655">
        <v>650895</v>
      </c>
      <c r="O1309" s="655">
        <v>0</v>
      </c>
      <c r="P1309" s="655">
        <v>113559</v>
      </c>
      <c r="Q1309" s="655">
        <v>126854</v>
      </c>
      <c r="R1309" s="655">
        <v>0</v>
      </c>
      <c r="S1309" s="655">
        <v>82892</v>
      </c>
      <c r="T1309" s="655">
        <v>9513</v>
      </c>
      <c r="U1309" s="655">
        <v>314359</v>
      </c>
      <c r="V1309" s="655">
        <v>0</v>
      </c>
      <c r="W1309" s="655">
        <v>57294</v>
      </c>
      <c r="X1309" s="655">
        <v>304209.02</v>
      </c>
      <c r="Y1309" s="655">
        <v>0</v>
      </c>
      <c r="Z1309" s="655">
        <v>0</v>
      </c>
      <c r="AA1309" s="655">
        <v>0</v>
      </c>
      <c r="AB1309" s="655">
        <v>0</v>
      </c>
      <c r="AC1309" s="655">
        <v>-10504</v>
      </c>
      <c r="AD1309" s="655">
        <v>88570</v>
      </c>
      <c r="AE1309" s="655">
        <v>17776496.02</v>
      </c>
      <c r="AF1309" s="655">
        <v>248171</v>
      </c>
      <c r="AG1309" s="655">
        <v>984681</v>
      </c>
      <c r="AH1309" s="655">
        <v>0</v>
      </c>
      <c r="AI1309" s="805">
        <v>4510175</v>
      </c>
      <c r="AJ1309" s="655">
        <v>2852963</v>
      </c>
      <c r="AK1309" s="655">
        <v>26372486.02</v>
      </c>
      <c r="AL1309" s="805">
        <v>21680334</v>
      </c>
      <c r="AM1309" s="655">
        <v>4692152.0199999996</v>
      </c>
    </row>
    <row r="1310" spans="1:39" x14ac:dyDescent="0.2">
      <c r="A1310" s="648">
        <v>2016</v>
      </c>
      <c r="B1310" s="648">
        <v>15</v>
      </c>
      <c r="C1310" s="657" t="s">
        <v>382</v>
      </c>
      <c r="D1310" s="648">
        <v>6854</v>
      </c>
      <c r="E1310" s="648" t="s">
        <v>1343</v>
      </c>
      <c r="F1310" s="655">
        <v>3378759</v>
      </c>
      <c r="G1310" s="655">
        <v>72892</v>
      </c>
      <c r="H1310" s="655">
        <v>37585</v>
      </c>
      <c r="I1310" s="655">
        <v>366016</v>
      </c>
      <c r="J1310" s="655">
        <v>348343</v>
      </c>
      <c r="K1310" s="655">
        <v>38770</v>
      </c>
      <c r="L1310" s="655">
        <v>38764</v>
      </c>
      <c r="M1310" s="655">
        <v>0</v>
      </c>
      <c r="N1310" s="655">
        <v>162509</v>
      </c>
      <c r="O1310" s="655">
        <v>24743</v>
      </c>
      <c r="P1310" s="655">
        <v>27515</v>
      </c>
      <c r="Q1310" s="655">
        <v>30224</v>
      </c>
      <c r="R1310" s="655">
        <v>435</v>
      </c>
      <c r="S1310" s="655">
        <v>16703</v>
      </c>
      <c r="T1310" s="655">
        <v>1806</v>
      </c>
      <c r="U1310" s="655">
        <v>166849</v>
      </c>
      <c r="V1310" s="655">
        <v>0</v>
      </c>
      <c r="W1310" s="655">
        <v>167806</v>
      </c>
      <c r="X1310" s="655">
        <v>162750.43</v>
      </c>
      <c r="Y1310" s="655">
        <v>0</v>
      </c>
      <c r="Z1310" s="655">
        <v>0</v>
      </c>
      <c r="AA1310" s="655">
        <v>0</v>
      </c>
      <c r="AB1310" s="655">
        <v>0</v>
      </c>
      <c r="AC1310" s="655">
        <v>-192</v>
      </c>
      <c r="AD1310" s="655">
        <v>35052</v>
      </c>
      <c r="AE1310" s="655">
        <v>5007225.43</v>
      </c>
      <c r="AF1310" s="655">
        <v>96690</v>
      </c>
      <c r="AG1310" s="655">
        <v>271541</v>
      </c>
      <c r="AH1310" s="655">
        <v>0</v>
      </c>
      <c r="AI1310" s="805">
        <v>878836</v>
      </c>
      <c r="AJ1310" s="655">
        <v>2691753</v>
      </c>
      <c r="AK1310" s="655">
        <v>8946045.4299999997</v>
      </c>
      <c r="AL1310" s="805">
        <v>6150497</v>
      </c>
      <c r="AM1310" s="655">
        <v>2795548.4299999997</v>
      </c>
    </row>
    <row r="1311" spans="1:39" x14ac:dyDescent="0.2">
      <c r="A1311" s="648">
        <v>2016</v>
      </c>
      <c r="B1311" s="648">
        <v>5</v>
      </c>
      <c r="C1311" s="657" t="s">
        <v>383</v>
      </c>
      <c r="D1311" s="648">
        <v>6867</v>
      </c>
      <c r="E1311" s="648" t="s">
        <v>1344</v>
      </c>
      <c r="F1311" s="655">
        <v>9909436</v>
      </c>
      <c r="G1311" s="655">
        <v>52679</v>
      </c>
      <c r="H1311" s="655">
        <v>389719</v>
      </c>
      <c r="I1311" s="655">
        <v>1412963</v>
      </c>
      <c r="J1311" s="655">
        <v>865684</v>
      </c>
      <c r="K1311" s="655">
        <v>95743</v>
      </c>
      <c r="L1311" s="655">
        <v>108549</v>
      </c>
      <c r="M1311" s="655">
        <v>0</v>
      </c>
      <c r="N1311" s="655">
        <v>515217</v>
      </c>
      <c r="O1311" s="655">
        <v>0</v>
      </c>
      <c r="P1311" s="655">
        <v>86696</v>
      </c>
      <c r="Q1311" s="655">
        <v>97376</v>
      </c>
      <c r="R1311" s="655">
        <v>1543</v>
      </c>
      <c r="S1311" s="655">
        <v>54873</v>
      </c>
      <c r="T1311" s="655">
        <v>6534</v>
      </c>
      <c r="U1311" s="655">
        <v>351613</v>
      </c>
      <c r="V1311" s="655">
        <v>1288</v>
      </c>
      <c r="W1311" s="655">
        <v>119573</v>
      </c>
      <c r="X1311" s="655">
        <v>219419.16</v>
      </c>
      <c r="Y1311" s="655">
        <v>0</v>
      </c>
      <c r="Z1311" s="655">
        <v>0</v>
      </c>
      <c r="AA1311" s="655">
        <v>0</v>
      </c>
      <c r="AB1311" s="655">
        <v>0</v>
      </c>
      <c r="AC1311" s="655">
        <v>-6366</v>
      </c>
      <c r="AD1311" s="655">
        <v>79389</v>
      </c>
      <c r="AE1311" s="655">
        <v>14203150.16</v>
      </c>
      <c r="AF1311" s="655">
        <v>254617</v>
      </c>
      <c r="AG1311" s="655">
        <v>706314</v>
      </c>
      <c r="AH1311" s="655">
        <v>0</v>
      </c>
      <c r="AI1311" s="805">
        <v>2442024</v>
      </c>
      <c r="AJ1311" s="655">
        <v>3083498</v>
      </c>
      <c r="AK1311" s="655">
        <v>20689603.16</v>
      </c>
      <c r="AL1311" s="805">
        <v>17895758</v>
      </c>
      <c r="AM1311" s="655">
        <v>2793845.16</v>
      </c>
    </row>
    <row r="1312" spans="1:39" x14ac:dyDescent="0.2">
      <c r="A1312" s="648">
        <v>2016</v>
      </c>
      <c r="B1312" s="648">
        <v>5</v>
      </c>
      <c r="C1312" s="657" t="s">
        <v>384</v>
      </c>
      <c r="D1312" s="648">
        <v>6921</v>
      </c>
      <c r="E1312" s="648" t="s">
        <v>653</v>
      </c>
      <c r="F1312" s="655">
        <v>2261304</v>
      </c>
      <c r="G1312" s="655">
        <v>0</v>
      </c>
      <c r="H1312" s="655">
        <v>108738</v>
      </c>
      <c r="I1312" s="655">
        <v>308005</v>
      </c>
      <c r="J1312" s="655">
        <v>220635</v>
      </c>
      <c r="K1312" s="655">
        <v>23393</v>
      </c>
      <c r="L1312" s="655">
        <v>20421</v>
      </c>
      <c r="M1312" s="655">
        <v>0</v>
      </c>
      <c r="N1312" s="655">
        <v>115979</v>
      </c>
      <c r="O1312" s="655">
        <v>0</v>
      </c>
      <c r="P1312" s="655">
        <v>19856</v>
      </c>
      <c r="Q1312" s="655">
        <v>22302</v>
      </c>
      <c r="R1312" s="655">
        <v>346</v>
      </c>
      <c r="S1312" s="655">
        <v>12352</v>
      </c>
      <c r="T1312" s="655">
        <v>1471</v>
      </c>
      <c r="U1312" s="655">
        <v>63080</v>
      </c>
      <c r="V1312" s="655">
        <v>0</v>
      </c>
      <c r="W1312" s="655">
        <v>48851</v>
      </c>
      <c r="X1312" s="655">
        <v>87980.99</v>
      </c>
      <c r="Y1312" s="655">
        <v>0</v>
      </c>
      <c r="Z1312" s="655">
        <v>0</v>
      </c>
      <c r="AA1312" s="655">
        <v>0</v>
      </c>
      <c r="AB1312" s="655">
        <v>0</v>
      </c>
      <c r="AC1312" s="655">
        <v>0</v>
      </c>
      <c r="AD1312" s="655">
        <v>19619</v>
      </c>
      <c r="AE1312" s="655">
        <v>3295094.99</v>
      </c>
      <c r="AF1312" s="655">
        <v>25784</v>
      </c>
      <c r="AG1312" s="655">
        <v>195693</v>
      </c>
      <c r="AH1312" s="655">
        <v>0</v>
      </c>
      <c r="AI1312" s="805">
        <v>629041</v>
      </c>
      <c r="AJ1312" s="655">
        <v>949655</v>
      </c>
      <c r="AK1312" s="655">
        <v>5095267.99</v>
      </c>
      <c r="AL1312" s="805">
        <v>3718987</v>
      </c>
      <c r="AM1312" s="655">
        <v>1376280.9900000002</v>
      </c>
    </row>
    <row r="1313" spans="1:39" x14ac:dyDescent="0.2">
      <c r="A1313" s="648">
        <v>2016</v>
      </c>
      <c r="B1313" s="648">
        <v>10</v>
      </c>
      <c r="C1313" s="657" t="s">
        <v>385</v>
      </c>
      <c r="D1313" s="648">
        <v>6930</v>
      </c>
      <c r="E1313" s="648" t="s">
        <v>1345</v>
      </c>
      <c r="F1313" s="655">
        <v>5192117</v>
      </c>
      <c r="G1313" s="655">
        <v>63411</v>
      </c>
      <c r="H1313" s="655">
        <v>75086</v>
      </c>
      <c r="I1313" s="655">
        <v>521349</v>
      </c>
      <c r="J1313" s="655">
        <v>442256</v>
      </c>
      <c r="K1313" s="655">
        <v>46724</v>
      </c>
      <c r="L1313" s="655">
        <v>47505</v>
      </c>
      <c r="M1313" s="655">
        <v>0</v>
      </c>
      <c r="N1313" s="655">
        <v>249080</v>
      </c>
      <c r="O1313" s="655">
        <v>3178</v>
      </c>
      <c r="P1313" s="655">
        <v>42922</v>
      </c>
      <c r="Q1313" s="655">
        <v>47155</v>
      </c>
      <c r="R1313" s="655">
        <v>0</v>
      </c>
      <c r="S1313" s="655">
        <v>23488</v>
      </c>
      <c r="T1313" s="655">
        <v>2731</v>
      </c>
      <c r="U1313" s="655">
        <v>121735</v>
      </c>
      <c r="V1313" s="655">
        <v>0</v>
      </c>
      <c r="W1313" s="655">
        <v>39621</v>
      </c>
      <c r="X1313" s="655">
        <v>183329.53</v>
      </c>
      <c r="Y1313" s="655">
        <v>0</v>
      </c>
      <c r="Z1313" s="655">
        <v>0</v>
      </c>
      <c r="AA1313" s="655">
        <v>0</v>
      </c>
      <c r="AB1313" s="655">
        <v>0</v>
      </c>
      <c r="AC1313" s="655">
        <v>-6398</v>
      </c>
      <c r="AD1313" s="655">
        <v>35036</v>
      </c>
      <c r="AE1313" s="655">
        <v>7060253.5300000003</v>
      </c>
      <c r="AF1313" s="655">
        <v>112805</v>
      </c>
      <c r="AG1313" s="655">
        <v>425067</v>
      </c>
      <c r="AH1313" s="655">
        <v>0</v>
      </c>
      <c r="AI1313" s="805">
        <v>1158393</v>
      </c>
      <c r="AJ1313" s="655">
        <v>1339324</v>
      </c>
      <c r="AK1313" s="655">
        <v>10095842.530000001</v>
      </c>
      <c r="AL1313" s="805">
        <v>8747654</v>
      </c>
      <c r="AM1313" s="655">
        <v>1348188.5300000012</v>
      </c>
    </row>
    <row r="1314" spans="1:39" x14ac:dyDescent="0.2">
      <c r="A1314" s="648">
        <v>2016</v>
      </c>
      <c r="B1314" s="648">
        <v>15</v>
      </c>
      <c r="C1314" s="657" t="s">
        <v>386</v>
      </c>
      <c r="D1314" s="648">
        <v>6937</v>
      </c>
      <c r="E1314" s="648" t="s">
        <v>1346</v>
      </c>
      <c r="F1314" s="655">
        <v>3000613</v>
      </c>
      <c r="G1314" s="655">
        <v>92697</v>
      </c>
      <c r="H1314" s="655">
        <v>33281</v>
      </c>
      <c r="I1314" s="655">
        <v>330293</v>
      </c>
      <c r="J1314" s="655">
        <v>326104</v>
      </c>
      <c r="K1314" s="655">
        <v>42269</v>
      </c>
      <c r="L1314" s="655">
        <v>53739</v>
      </c>
      <c r="M1314" s="655">
        <v>0</v>
      </c>
      <c r="N1314" s="655">
        <v>145064</v>
      </c>
      <c r="O1314" s="655">
        <v>3631</v>
      </c>
      <c r="P1314" s="655">
        <v>24985</v>
      </c>
      <c r="Q1314" s="655">
        <v>27445</v>
      </c>
      <c r="R1314" s="655">
        <v>387</v>
      </c>
      <c r="S1314" s="655">
        <v>14883</v>
      </c>
      <c r="T1314" s="655">
        <v>1609</v>
      </c>
      <c r="U1314" s="655">
        <v>148169</v>
      </c>
      <c r="V1314" s="655">
        <v>0</v>
      </c>
      <c r="W1314" s="655">
        <v>43833</v>
      </c>
      <c r="X1314" s="655">
        <v>25666.25</v>
      </c>
      <c r="Y1314" s="655">
        <v>0</v>
      </c>
      <c r="Z1314" s="655">
        <v>0</v>
      </c>
      <c r="AA1314" s="655">
        <v>0</v>
      </c>
      <c r="AB1314" s="655">
        <v>0</v>
      </c>
      <c r="AC1314" s="655">
        <v>-6366</v>
      </c>
      <c r="AD1314" s="655">
        <v>21967</v>
      </c>
      <c r="AE1314" s="655">
        <v>4286335.25</v>
      </c>
      <c r="AF1314" s="655">
        <v>145035</v>
      </c>
      <c r="AG1314" s="655">
        <v>227389</v>
      </c>
      <c r="AH1314" s="655">
        <v>0</v>
      </c>
      <c r="AI1314" s="805">
        <v>3429293</v>
      </c>
      <c r="AJ1314" s="655">
        <v>2085124</v>
      </c>
      <c r="AK1314" s="655">
        <v>10173176.25</v>
      </c>
      <c r="AL1314" s="805">
        <v>8376185</v>
      </c>
      <c r="AM1314" s="655">
        <v>1796991.25</v>
      </c>
    </row>
    <row r="1315" spans="1:39" x14ac:dyDescent="0.2">
      <c r="A1315" s="648">
        <v>2016</v>
      </c>
      <c r="B1315" s="648">
        <v>1</v>
      </c>
      <c r="C1315" s="657" t="s">
        <v>387</v>
      </c>
      <c r="D1315" s="648">
        <v>6943</v>
      </c>
      <c r="E1315" s="648" t="s">
        <v>1347</v>
      </c>
      <c r="F1315" s="655">
        <v>1711413</v>
      </c>
      <c r="G1315" s="655">
        <v>81819</v>
      </c>
      <c r="H1315" s="655">
        <v>50852</v>
      </c>
      <c r="I1315" s="655">
        <v>142070</v>
      </c>
      <c r="J1315" s="655">
        <v>164481</v>
      </c>
      <c r="K1315" s="655">
        <v>17077</v>
      </c>
      <c r="L1315" s="655">
        <v>15577</v>
      </c>
      <c r="M1315" s="655">
        <v>0</v>
      </c>
      <c r="N1315" s="655">
        <v>85563</v>
      </c>
      <c r="O1315" s="655">
        <v>12697</v>
      </c>
      <c r="P1315" s="655">
        <v>14313</v>
      </c>
      <c r="Q1315" s="655">
        <v>15973</v>
      </c>
      <c r="R1315" s="655">
        <v>0</v>
      </c>
      <c r="S1315" s="655">
        <v>8833</v>
      </c>
      <c r="T1315" s="655">
        <v>944</v>
      </c>
      <c r="U1315" s="655">
        <v>84509</v>
      </c>
      <c r="V1315" s="655">
        <v>0</v>
      </c>
      <c r="W1315" s="655">
        <v>76836</v>
      </c>
      <c r="X1315" s="655">
        <v>148796.64000000001</v>
      </c>
      <c r="Y1315" s="655">
        <v>0</v>
      </c>
      <c r="Z1315" s="655">
        <v>0</v>
      </c>
      <c r="AA1315" s="655">
        <v>0</v>
      </c>
      <c r="AB1315" s="655">
        <v>0</v>
      </c>
      <c r="AC1315" s="655">
        <v>-4138</v>
      </c>
      <c r="AD1315" s="655">
        <v>16863</v>
      </c>
      <c r="AE1315" s="655">
        <v>2610752.64</v>
      </c>
      <c r="AF1315" s="655">
        <v>51568</v>
      </c>
      <c r="AG1315" s="655">
        <v>151295</v>
      </c>
      <c r="AH1315" s="655">
        <v>0</v>
      </c>
      <c r="AI1315" s="805">
        <v>420332</v>
      </c>
      <c r="AJ1315" s="655">
        <v>422711</v>
      </c>
      <c r="AK1315" s="655">
        <v>3656658.64</v>
      </c>
      <c r="AL1315" s="805">
        <v>3219577</v>
      </c>
      <c r="AM1315" s="655">
        <v>437081.64000000013</v>
      </c>
    </row>
    <row r="1316" spans="1:39" x14ac:dyDescent="0.2">
      <c r="A1316" s="648">
        <v>2016</v>
      </c>
      <c r="B1316" s="648">
        <v>1</v>
      </c>
      <c r="C1316" s="657" t="s">
        <v>388</v>
      </c>
      <c r="D1316" s="648">
        <v>6950</v>
      </c>
      <c r="E1316" s="648" t="s">
        <v>1348</v>
      </c>
      <c r="F1316" s="655">
        <v>9794741</v>
      </c>
      <c r="G1316" s="655">
        <v>146339</v>
      </c>
      <c r="H1316" s="655">
        <v>233744</v>
      </c>
      <c r="I1316" s="655">
        <v>1058926</v>
      </c>
      <c r="J1316" s="655">
        <v>848208</v>
      </c>
      <c r="K1316" s="655">
        <v>93945</v>
      </c>
      <c r="L1316" s="655">
        <v>91658</v>
      </c>
      <c r="M1316" s="655">
        <v>0</v>
      </c>
      <c r="N1316" s="655">
        <v>500810</v>
      </c>
      <c r="O1316" s="655">
        <v>3949</v>
      </c>
      <c r="P1316" s="655">
        <v>87785</v>
      </c>
      <c r="Q1316" s="655">
        <v>97969</v>
      </c>
      <c r="R1316" s="655">
        <v>0</v>
      </c>
      <c r="S1316" s="655">
        <v>49638</v>
      </c>
      <c r="T1316" s="655">
        <v>5304</v>
      </c>
      <c r="U1316" s="655">
        <v>222899</v>
      </c>
      <c r="V1316" s="655">
        <v>0</v>
      </c>
      <c r="W1316" s="655">
        <v>101511</v>
      </c>
      <c r="X1316" s="655">
        <v>431696.22</v>
      </c>
      <c r="Y1316" s="655">
        <v>0</v>
      </c>
      <c r="Z1316" s="655">
        <v>0</v>
      </c>
      <c r="AA1316" s="655">
        <v>0</v>
      </c>
      <c r="AB1316" s="655">
        <v>0</v>
      </c>
      <c r="AC1316" s="655">
        <v>-6369</v>
      </c>
      <c r="AD1316" s="655">
        <v>90517</v>
      </c>
      <c r="AE1316" s="655">
        <v>13672236.220000001</v>
      </c>
      <c r="AF1316" s="655">
        <v>103136</v>
      </c>
      <c r="AG1316" s="655">
        <v>756616</v>
      </c>
      <c r="AH1316" s="655">
        <v>0</v>
      </c>
      <c r="AI1316" s="805">
        <v>1812115</v>
      </c>
      <c r="AJ1316" s="655">
        <v>2166380</v>
      </c>
      <c r="AK1316" s="655">
        <v>18510483.219999999</v>
      </c>
      <c r="AL1316" s="805">
        <v>15602035</v>
      </c>
      <c r="AM1316" s="655">
        <v>2908448.2199999988</v>
      </c>
    </row>
    <row r="1317" spans="1:39" x14ac:dyDescent="0.2">
      <c r="A1317" s="648">
        <v>2016</v>
      </c>
      <c r="B1317" s="648">
        <v>11</v>
      </c>
      <c r="C1317" s="657" t="s">
        <v>389</v>
      </c>
      <c r="D1317" s="648">
        <v>6957</v>
      </c>
      <c r="E1317" s="648" t="s">
        <v>1349</v>
      </c>
      <c r="F1317" s="655">
        <v>58955761</v>
      </c>
      <c r="G1317" s="655">
        <v>0</v>
      </c>
      <c r="H1317" s="655">
        <v>1798724</v>
      </c>
      <c r="I1317" s="655">
        <v>5697362</v>
      </c>
      <c r="J1317" s="655">
        <v>4837006</v>
      </c>
      <c r="K1317" s="655">
        <v>551327</v>
      </c>
      <c r="L1317" s="655">
        <v>536510</v>
      </c>
      <c r="M1317" s="655">
        <v>2859803</v>
      </c>
      <c r="N1317" s="655">
        <v>2761348</v>
      </c>
      <c r="O1317" s="655">
        <v>0</v>
      </c>
      <c r="P1317" s="655">
        <v>558245</v>
      </c>
      <c r="Q1317" s="655">
        <v>612785</v>
      </c>
      <c r="R1317" s="655">
        <v>0</v>
      </c>
      <c r="S1317" s="655">
        <v>226276</v>
      </c>
      <c r="T1317" s="655">
        <v>28786</v>
      </c>
      <c r="U1317" s="655">
        <v>2911204</v>
      </c>
      <c r="V1317" s="655">
        <v>1513900</v>
      </c>
      <c r="W1317" s="655">
        <v>1233736</v>
      </c>
      <c r="X1317" s="655">
        <v>3353892.72</v>
      </c>
      <c r="Y1317" s="655">
        <v>0</v>
      </c>
      <c r="Z1317" s="655">
        <v>0</v>
      </c>
      <c r="AA1317" s="655">
        <v>0</v>
      </c>
      <c r="AB1317" s="655">
        <v>0</v>
      </c>
      <c r="AC1317" s="655">
        <v>-2938</v>
      </c>
      <c r="AD1317" s="655">
        <v>390197</v>
      </c>
      <c r="AE1317" s="655">
        <v>88043530.719999999</v>
      </c>
      <c r="AF1317" s="655">
        <v>1115158</v>
      </c>
      <c r="AG1317" s="655">
        <v>4885664</v>
      </c>
      <c r="AH1317" s="655">
        <v>0</v>
      </c>
      <c r="AI1317" s="805">
        <v>10725834</v>
      </c>
      <c r="AJ1317" s="655">
        <v>21182880</v>
      </c>
      <c r="AK1317" s="655">
        <v>125953066.72</v>
      </c>
      <c r="AL1317" s="805">
        <v>101836294</v>
      </c>
      <c r="AM1317" s="655">
        <v>24116772.719999999</v>
      </c>
    </row>
    <row r="1318" spans="1:39" x14ac:dyDescent="0.2">
      <c r="A1318" s="648">
        <v>2016</v>
      </c>
      <c r="B1318" s="648">
        <v>1</v>
      </c>
      <c r="C1318" s="657" t="s">
        <v>390</v>
      </c>
      <c r="D1318" s="648">
        <v>6961</v>
      </c>
      <c r="E1318" s="648" t="s">
        <v>1350</v>
      </c>
      <c r="F1318" s="655">
        <v>19446441</v>
      </c>
      <c r="G1318" s="655">
        <v>0</v>
      </c>
      <c r="H1318" s="655">
        <v>399740</v>
      </c>
      <c r="I1318" s="655">
        <v>2518942</v>
      </c>
      <c r="J1318" s="655">
        <v>1647548</v>
      </c>
      <c r="K1318" s="655">
        <v>182888</v>
      </c>
      <c r="L1318" s="655">
        <v>188003</v>
      </c>
      <c r="M1318" s="655">
        <v>935320</v>
      </c>
      <c r="N1318" s="655">
        <v>1005421</v>
      </c>
      <c r="O1318" s="655">
        <v>0</v>
      </c>
      <c r="P1318" s="655">
        <v>230647</v>
      </c>
      <c r="Q1318" s="655">
        <v>257405</v>
      </c>
      <c r="R1318" s="655">
        <v>0</v>
      </c>
      <c r="S1318" s="655">
        <v>98930</v>
      </c>
      <c r="T1318" s="655">
        <v>10576</v>
      </c>
      <c r="U1318" s="655">
        <v>787493</v>
      </c>
      <c r="V1318" s="655">
        <v>195288</v>
      </c>
      <c r="W1318" s="655">
        <v>404752</v>
      </c>
      <c r="X1318" s="655">
        <v>189854.63</v>
      </c>
      <c r="Y1318" s="655">
        <v>0</v>
      </c>
      <c r="Z1318" s="655">
        <v>0</v>
      </c>
      <c r="AA1318" s="655">
        <v>0</v>
      </c>
      <c r="AB1318" s="655">
        <v>0</v>
      </c>
      <c r="AC1318" s="655">
        <v>-6421</v>
      </c>
      <c r="AD1318" s="655">
        <v>140594</v>
      </c>
      <c r="AE1318" s="655">
        <v>28352233.629999999</v>
      </c>
      <c r="AF1318" s="655">
        <v>983015</v>
      </c>
      <c r="AG1318" s="655">
        <v>1575745</v>
      </c>
      <c r="AH1318" s="655">
        <v>0</v>
      </c>
      <c r="AI1318" s="805">
        <v>4444573</v>
      </c>
      <c r="AJ1318" s="655">
        <v>6047367</v>
      </c>
      <c r="AK1318" s="655">
        <v>41402933.629999995</v>
      </c>
      <c r="AL1318" s="805">
        <v>34252421</v>
      </c>
      <c r="AM1318" s="655">
        <v>7150512.6299999952</v>
      </c>
    </row>
    <row r="1319" spans="1:39" x14ac:dyDescent="0.2">
      <c r="A1319" s="648">
        <v>2016</v>
      </c>
      <c r="B1319" s="648">
        <v>13</v>
      </c>
      <c r="C1319" s="657" t="s">
        <v>391</v>
      </c>
      <c r="D1319" s="648">
        <v>6969</v>
      </c>
      <c r="E1319" s="648" t="s">
        <v>1393</v>
      </c>
      <c r="F1319" s="655">
        <v>2447258</v>
      </c>
      <c r="G1319" s="655">
        <v>71161</v>
      </c>
      <c r="H1319" s="655">
        <v>141933</v>
      </c>
      <c r="I1319" s="655">
        <v>512542</v>
      </c>
      <c r="J1319" s="655">
        <v>215708</v>
      </c>
      <c r="K1319" s="655">
        <v>23497</v>
      </c>
      <c r="L1319" s="655">
        <v>19457</v>
      </c>
      <c r="M1319" s="655">
        <v>0</v>
      </c>
      <c r="N1319" s="655">
        <v>126771</v>
      </c>
      <c r="O1319" s="655">
        <v>21189</v>
      </c>
      <c r="P1319" s="655">
        <v>19514</v>
      </c>
      <c r="Q1319" s="655">
        <v>21582</v>
      </c>
      <c r="R1319" s="655">
        <v>0</v>
      </c>
      <c r="S1319" s="655">
        <v>13038</v>
      </c>
      <c r="T1319" s="655">
        <v>1384</v>
      </c>
      <c r="U1319" s="655">
        <v>91871</v>
      </c>
      <c r="V1319" s="655">
        <v>0</v>
      </c>
      <c r="W1319" s="655">
        <v>68116</v>
      </c>
      <c r="X1319" s="655">
        <v>82492.84</v>
      </c>
      <c r="Y1319" s="655">
        <v>0</v>
      </c>
      <c r="Z1319" s="655">
        <v>0</v>
      </c>
      <c r="AA1319" s="655">
        <v>0</v>
      </c>
      <c r="AB1319" s="655">
        <v>0</v>
      </c>
      <c r="AC1319" s="655">
        <v>0</v>
      </c>
      <c r="AD1319" s="655">
        <v>25347</v>
      </c>
      <c r="AE1319" s="655">
        <v>3852166.84</v>
      </c>
      <c r="AF1319" s="655">
        <v>38676</v>
      </c>
      <c r="AG1319" s="655">
        <v>220337</v>
      </c>
      <c r="AH1319" s="655">
        <v>0</v>
      </c>
      <c r="AI1319" s="805">
        <v>626924</v>
      </c>
      <c r="AJ1319" s="655">
        <v>195025</v>
      </c>
      <c r="AK1319" s="655">
        <v>4933128.84</v>
      </c>
      <c r="AL1319" s="805">
        <v>4396142</v>
      </c>
      <c r="AM1319" s="655">
        <v>536986.83999999985</v>
      </c>
    </row>
    <row r="1320" spans="1:39" x14ac:dyDescent="0.2">
      <c r="A1320" s="648">
        <v>2016</v>
      </c>
      <c r="B1320" s="648">
        <v>9</v>
      </c>
      <c r="C1320" s="657" t="s">
        <v>392</v>
      </c>
      <c r="D1320" s="648">
        <v>6975</v>
      </c>
      <c r="E1320" s="648" t="s">
        <v>1394</v>
      </c>
      <c r="F1320" s="655">
        <v>7926002</v>
      </c>
      <c r="G1320" s="655">
        <v>0</v>
      </c>
      <c r="H1320" s="655">
        <v>284372</v>
      </c>
      <c r="I1320" s="655">
        <v>720663</v>
      </c>
      <c r="J1320" s="655">
        <v>691355</v>
      </c>
      <c r="K1320" s="655">
        <v>71956</v>
      </c>
      <c r="L1320" s="655">
        <v>95491</v>
      </c>
      <c r="M1320" s="655">
        <v>0</v>
      </c>
      <c r="N1320" s="655">
        <v>381400</v>
      </c>
      <c r="O1320" s="655">
        <v>0</v>
      </c>
      <c r="P1320" s="655">
        <v>64952</v>
      </c>
      <c r="Q1320" s="655">
        <v>70860</v>
      </c>
      <c r="R1320" s="655">
        <v>0</v>
      </c>
      <c r="S1320" s="655">
        <v>34313</v>
      </c>
      <c r="T1320" s="655">
        <v>4024</v>
      </c>
      <c r="U1320" s="655">
        <v>203446</v>
      </c>
      <c r="V1320" s="655">
        <v>50057</v>
      </c>
      <c r="W1320" s="655">
        <v>331711</v>
      </c>
      <c r="X1320" s="655">
        <v>74613.39</v>
      </c>
      <c r="Y1320" s="655">
        <v>0</v>
      </c>
      <c r="Z1320" s="655">
        <v>0</v>
      </c>
      <c r="AA1320" s="655">
        <v>0</v>
      </c>
      <c r="AB1320" s="655">
        <v>0</v>
      </c>
      <c r="AC1320" s="655">
        <v>891</v>
      </c>
      <c r="AD1320" s="655">
        <v>51632</v>
      </c>
      <c r="AE1320" s="655">
        <v>10954474.390000001</v>
      </c>
      <c r="AF1320" s="655">
        <v>319077</v>
      </c>
      <c r="AG1320" s="655">
        <v>518360</v>
      </c>
      <c r="AH1320" s="655">
        <v>0</v>
      </c>
      <c r="AI1320" s="805">
        <v>1198752</v>
      </c>
      <c r="AJ1320" s="655">
        <v>2950243</v>
      </c>
      <c r="AK1320" s="655">
        <v>15940906.390000001</v>
      </c>
      <c r="AL1320" s="805">
        <v>13281536</v>
      </c>
      <c r="AM1320" s="655">
        <v>2659370.3900000006</v>
      </c>
    </row>
    <row r="1321" spans="1:39" x14ac:dyDescent="0.2">
      <c r="A1321" s="648">
        <v>2016</v>
      </c>
      <c r="B1321" s="648">
        <v>12</v>
      </c>
      <c r="C1321" s="657" t="s">
        <v>393</v>
      </c>
      <c r="D1321" s="648">
        <v>6983</v>
      </c>
      <c r="E1321" s="648" t="s">
        <v>1395</v>
      </c>
      <c r="F1321" s="655">
        <v>5711156</v>
      </c>
      <c r="G1321" s="655">
        <v>0</v>
      </c>
      <c r="H1321" s="655">
        <v>35550</v>
      </c>
      <c r="I1321" s="655">
        <v>483450</v>
      </c>
      <c r="J1321" s="655">
        <v>462173</v>
      </c>
      <c r="K1321" s="655">
        <v>51955</v>
      </c>
      <c r="L1321" s="655">
        <v>52806</v>
      </c>
      <c r="M1321" s="655">
        <v>0</v>
      </c>
      <c r="N1321" s="655">
        <v>278642</v>
      </c>
      <c r="O1321" s="655">
        <v>0</v>
      </c>
      <c r="P1321" s="655">
        <v>53391</v>
      </c>
      <c r="Q1321" s="655">
        <v>59947</v>
      </c>
      <c r="R1321" s="655">
        <v>0</v>
      </c>
      <c r="S1321" s="655">
        <v>27984</v>
      </c>
      <c r="T1321" s="655">
        <v>3344</v>
      </c>
      <c r="U1321" s="655">
        <v>160748</v>
      </c>
      <c r="V1321" s="655">
        <v>0</v>
      </c>
      <c r="W1321" s="655">
        <v>144648</v>
      </c>
      <c r="X1321" s="655">
        <v>183468.77</v>
      </c>
      <c r="Y1321" s="655">
        <v>0</v>
      </c>
      <c r="Z1321" s="655">
        <v>0</v>
      </c>
      <c r="AA1321" s="655">
        <v>0</v>
      </c>
      <c r="AB1321" s="655">
        <v>0</v>
      </c>
      <c r="AC1321" s="655">
        <v>0</v>
      </c>
      <c r="AD1321" s="655">
        <v>39031</v>
      </c>
      <c r="AE1321" s="655">
        <v>7670231.7699999996</v>
      </c>
      <c r="AF1321" s="655">
        <v>151481</v>
      </c>
      <c r="AG1321" s="655">
        <v>460834</v>
      </c>
      <c r="AH1321" s="655">
        <v>0</v>
      </c>
      <c r="AI1321" s="805">
        <v>662880</v>
      </c>
      <c r="AJ1321" s="655">
        <v>6611593</v>
      </c>
      <c r="AK1321" s="655">
        <v>15557019.77</v>
      </c>
      <c r="AL1321" s="805">
        <v>8702968</v>
      </c>
      <c r="AM1321" s="655">
        <v>6854051.7699999996</v>
      </c>
    </row>
    <row r="1322" spans="1:39" x14ac:dyDescent="0.2">
      <c r="A1322" s="648">
        <v>2016</v>
      </c>
      <c r="B1322" s="648">
        <v>7</v>
      </c>
      <c r="C1322" s="657" t="s">
        <v>394</v>
      </c>
      <c r="D1322" s="648">
        <v>6985</v>
      </c>
      <c r="E1322" s="648" t="s">
        <v>1396</v>
      </c>
      <c r="F1322" s="655">
        <v>5399225</v>
      </c>
      <c r="G1322" s="655">
        <v>158892</v>
      </c>
      <c r="H1322" s="655">
        <v>63085</v>
      </c>
      <c r="I1322" s="655">
        <v>539793</v>
      </c>
      <c r="J1322" s="655">
        <v>474346</v>
      </c>
      <c r="K1322" s="655">
        <v>45886</v>
      </c>
      <c r="L1322" s="655">
        <v>56982</v>
      </c>
      <c r="M1322" s="655">
        <v>0</v>
      </c>
      <c r="N1322" s="655">
        <v>263855</v>
      </c>
      <c r="O1322" s="655">
        <v>7388</v>
      </c>
      <c r="P1322" s="655">
        <v>44448</v>
      </c>
      <c r="Q1322" s="655">
        <v>49652</v>
      </c>
      <c r="R1322" s="655">
        <v>0</v>
      </c>
      <c r="S1322" s="655">
        <v>34624</v>
      </c>
      <c r="T1322" s="655">
        <v>3975</v>
      </c>
      <c r="U1322" s="655">
        <v>79006</v>
      </c>
      <c r="V1322" s="655">
        <v>0</v>
      </c>
      <c r="W1322" s="655">
        <v>211013</v>
      </c>
      <c r="X1322" s="655">
        <v>0</v>
      </c>
      <c r="Y1322" s="655">
        <v>0</v>
      </c>
      <c r="Z1322" s="655">
        <v>0</v>
      </c>
      <c r="AA1322" s="655">
        <v>0</v>
      </c>
      <c r="AB1322" s="655">
        <v>0</v>
      </c>
      <c r="AC1322" s="655">
        <v>0</v>
      </c>
      <c r="AD1322" s="655">
        <v>38932</v>
      </c>
      <c r="AE1322" s="655">
        <v>7393238</v>
      </c>
      <c r="AF1322" s="655">
        <v>148258</v>
      </c>
      <c r="AG1322" s="655">
        <v>408522</v>
      </c>
      <c r="AH1322" s="655">
        <v>0</v>
      </c>
      <c r="AI1322" s="805">
        <v>1312872</v>
      </c>
      <c r="AJ1322" s="655">
        <v>5016147</v>
      </c>
      <c r="AK1322" s="655">
        <v>14279037</v>
      </c>
      <c r="AL1322" s="805">
        <v>8475010</v>
      </c>
      <c r="AM1322" s="655">
        <v>5804027</v>
      </c>
    </row>
    <row r="1323" spans="1:39" x14ac:dyDescent="0.2">
      <c r="A1323" s="648">
        <v>2016</v>
      </c>
      <c r="B1323" s="648">
        <v>12</v>
      </c>
      <c r="C1323" s="657" t="s">
        <v>395</v>
      </c>
      <c r="D1323" s="648">
        <v>6987</v>
      </c>
      <c r="E1323" s="648" t="s">
        <v>1397</v>
      </c>
      <c r="F1323" s="655">
        <v>4415220</v>
      </c>
      <c r="G1323" s="655">
        <v>0</v>
      </c>
      <c r="H1323" s="655">
        <v>111446</v>
      </c>
      <c r="I1323" s="655">
        <v>759237</v>
      </c>
      <c r="J1323" s="655">
        <v>394942</v>
      </c>
      <c r="K1323" s="655">
        <v>41635</v>
      </c>
      <c r="L1323" s="655">
        <v>44528</v>
      </c>
      <c r="M1323" s="655">
        <v>0</v>
      </c>
      <c r="N1323" s="655">
        <v>232430</v>
      </c>
      <c r="O1323" s="655">
        <v>0</v>
      </c>
      <c r="P1323" s="655">
        <v>36266</v>
      </c>
      <c r="Q1323" s="655">
        <v>40719</v>
      </c>
      <c r="R1323" s="655">
        <v>0</v>
      </c>
      <c r="S1323" s="655">
        <v>23343</v>
      </c>
      <c r="T1323" s="655">
        <v>2790</v>
      </c>
      <c r="U1323" s="655">
        <v>104886</v>
      </c>
      <c r="V1323" s="655">
        <v>73807</v>
      </c>
      <c r="W1323" s="655">
        <v>66273</v>
      </c>
      <c r="X1323" s="655">
        <v>0</v>
      </c>
      <c r="Y1323" s="655">
        <v>0</v>
      </c>
      <c r="Z1323" s="655">
        <v>0</v>
      </c>
      <c r="AA1323" s="655">
        <v>0</v>
      </c>
      <c r="AB1323" s="655">
        <v>0</v>
      </c>
      <c r="AC1323" s="655">
        <v>8925</v>
      </c>
      <c r="AD1323" s="655">
        <v>33583</v>
      </c>
      <c r="AE1323" s="655">
        <v>6322864</v>
      </c>
      <c r="AF1323" s="655">
        <v>125697</v>
      </c>
      <c r="AG1323" s="655">
        <v>342268</v>
      </c>
      <c r="AH1323" s="655">
        <v>0</v>
      </c>
      <c r="AI1323" s="805">
        <v>913028</v>
      </c>
      <c r="AJ1323" s="655">
        <v>-73807</v>
      </c>
      <c r="AK1323" s="655">
        <v>7630050</v>
      </c>
      <c r="AL1323" s="805">
        <v>7123327</v>
      </c>
      <c r="AM1323" s="655">
        <v>506723</v>
      </c>
    </row>
    <row r="1324" spans="1:39" x14ac:dyDescent="0.2">
      <c r="A1324" s="648">
        <v>2016</v>
      </c>
      <c r="B1324" s="648">
        <v>12</v>
      </c>
      <c r="C1324" s="657" t="s">
        <v>396</v>
      </c>
      <c r="D1324" s="648">
        <v>6990</v>
      </c>
      <c r="E1324" s="648" t="s">
        <v>1398</v>
      </c>
      <c r="F1324" s="655">
        <v>5078812</v>
      </c>
      <c r="G1324" s="655">
        <v>0</v>
      </c>
      <c r="H1324" s="655">
        <v>312304</v>
      </c>
      <c r="I1324" s="655">
        <v>636808</v>
      </c>
      <c r="J1324" s="655">
        <v>461450</v>
      </c>
      <c r="K1324" s="655">
        <v>53049</v>
      </c>
      <c r="L1324" s="655">
        <v>54572</v>
      </c>
      <c r="M1324" s="655">
        <v>0</v>
      </c>
      <c r="N1324" s="655">
        <v>256182</v>
      </c>
      <c r="O1324" s="655">
        <v>0</v>
      </c>
      <c r="P1324" s="655">
        <v>46764</v>
      </c>
      <c r="Q1324" s="655">
        <v>52505</v>
      </c>
      <c r="R1324" s="655">
        <v>0</v>
      </c>
      <c r="S1324" s="655">
        <v>25729</v>
      </c>
      <c r="T1324" s="655">
        <v>3075</v>
      </c>
      <c r="U1324" s="655">
        <v>250800</v>
      </c>
      <c r="V1324" s="655">
        <v>5222</v>
      </c>
      <c r="W1324" s="655">
        <v>275450</v>
      </c>
      <c r="X1324" s="655">
        <v>259313.07</v>
      </c>
      <c r="Y1324" s="655">
        <v>0</v>
      </c>
      <c r="Z1324" s="655">
        <v>0</v>
      </c>
      <c r="AA1324" s="655">
        <v>0</v>
      </c>
      <c r="AB1324" s="655">
        <v>0</v>
      </c>
      <c r="AC1324" s="655">
        <v>-12778</v>
      </c>
      <c r="AD1324" s="655">
        <v>37148</v>
      </c>
      <c r="AE1324" s="655">
        <v>7722109.0700000003</v>
      </c>
      <c r="AF1324" s="655">
        <v>157927</v>
      </c>
      <c r="AG1324" s="655">
        <v>339671</v>
      </c>
      <c r="AH1324" s="655">
        <v>0</v>
      </c>
      <c r="AI1324" s="805">
        <v>960023</v>
      </c>
      <c r="AJ1324" s="655">
        <v>2517726</v>
      </c>
      <c r="AK1324" s="655">
        <v>11697456.07</v>
      </c>
      <c r="AL1324" s="805">
        <v>8881994</v>
      </c>
      <c r="AM1324" s="655">
        <v>2815462.0700000003</v>
      </c>
    </row>
    <row r="1325" spans="1:39" x14ac:dyDescent="0.2">
      <c r="A1325" s="648">
        <v>2016</v>
      </c>
      <c r="B1325" s="648">
        <v>12</v>
      </c>
      <c r="C1325" s="657" t="s">
        <v>397</v>
      </c>
      <c r="D1325" s="648">
        <v>6992</v>
      </c>
      <c r="E1325" s="648" t="s">
        <v>1399</v>
      </c>
      <c r="F1325" s="655">
        <v>3367000</v>
      </c>
      <c r="G1325" s="655">
        <v>0</v>
      </c>
      <c r="H1325" s="655">
        <v>42107</v>
      </c>
      <c r="I1325" s="655">
        <v>594146</v>
      </c>
      <c r="J1325" s="655">
        <v>307325</v>
      </c>
      <c r="K1325" s="655">
        <v>35480</v>
      </c>
      <c r="L1325" s="655">
        <v>34746</v>
      </c>
      <c r="M1325" s="655">
        <v>0</v>
      </c>
      <c r="N1325" s="655">
        <v>177380</v>
      </c>
      <c r="O1325" s="655">
        <v>611</v>
      </c>
      <c r="P1325" s="655">
        <v>27889</v>
      </c>
      <c r="Q1325" s="655">
        <v>31313</v>
      </c>
      <c r="R1325" s="655">
        <v>0</v>
      </c>
      <c r="S1325" s="655">
        <v>17814</v>
      </c>
      <c r="T1325" s="655">
        <v>2129</v>
      </c>
      <c r="U1325" s="655">
        <v>166270</v>
      </c>
      <c r="V1325" s="655">
        <v>0</v>
      </c>
      <c r="W1325" s="655">
        <v>55856</v>
      </c>
      <c r="X1325" s="655">
        <v>58750.95</v>
      </c>
      <c r="Y1325" s="655">
        <v>0</v>
      </c>
      <c r="Z1325" s="655">
        <v>0</v>
      </c>
      <c r="AA1325" s="655">
        <v>0</v>
      </c>
      <c r="AB1325" s="655">
        <v>0</v>
      </c>
      <c r="AC1325" s="655">
        <v>-5535</v>
      </c>
      <c r="AD1325" s="655">
        <v>31987</v>
      </c>
      <c r="AE1325" s="655">
        <v>4881294.95</v>
      </c>
      <c r="AF1325" s="655">
        <v>112805</v>
      </c>
      <c r="AG1325" s="655">
        <v>297508</v>
      </c>
      <c r="AH1325" s="655">
        <v>0</v>
      </c>
      <c r="AI1325" s="805">
        <v>798457</v>
      </c>
      <c r="AJ1325" s="655">
        <v>409679</v>
      </c>
      <c r="AK1325" s="655">
        <v>6499743.9500000002</v>
      </c>
      <c r="AL1325" s="805">
        <v>6241571</v>
      </c>
      <c r="AM1325" s="655">
        <v>258172.95000000019</v>
      </c>
    </row>
    <row r="1326" spans="1:39" x14ac:dyDescent="0.2">
      <c r="A1326" s="648">
        <v>2016</v>
      </c>
      <c r="B1326" s="648">
        <v>12</v>
      </c>
      <c r="C1326" s="657" t="s">
        <v>398</v>
      </c>
      <c r="D1326" s="648">
        <v>7002</v>
      </c>
      <c r="E1326" s="648" t="s">
        <v>1400</v>
      </c>
      <c r="F1326" s="655">
        <v>1146743</v>
      </c>
      <c r="G1326" s="655">
        <v>0</v>
      </c>
      <c r="H1326" s="655">
        <v>101047</v>
      </c>
      <c r="I1326" s="655">
        <v>177458</v>
      </c>
      <c r="J1326" s="655">
        <v>122997</v>
      </c>
      <c r="K1326" s="655">
        <v>13864</v>
      </c>
      <c r="L1326" s="655">
        <v>15271</v>
      </c>
      <c r="M1326" s="655">
        <v>0</v>
      </c>
      <c r="N1326" s="655">
        <v>59564</v>
      </c>
      <c r="O1326" s="655">
        <v>3579</v>
      </c>
      <c r="P1326" s="655">
        <v>9438</v>
      </c>
      <c r="Q1326" s="655">
        <v>10596</v>
      </c>
      <c r="R1326" s="655">
        <v>0</v>
      </c>
      <c r="S1326" s="655">
        <v>5982</v>
      </c>
      <c r="T1326" s="655">
        <v>715</v>
      </c>
      <c r="U1326" s="655">
        <v>56626</v>
      </c>
      <c r="V1326" s="655">
        <v>0</v>
      </c>
      <c r="W1326" s="655">
        <v>49634</v>
      </c>
      <c r="X1326" s="655">
        <v>0</v>
      </c>
      <c r="Y1326" s="655">
        <v>0</v>
      </c>
      <c r="Z1326" s="655">
        <v>0</v>
      </c>
      <c r="AA1326" s="655">
        <v>0</v>
      </c>
      <c r="AB1326" s="655">
        <v>0</v>
      </c>
      <c r="AC1326" s="655">
        <v>-509</v>
      </c>
      <c r="AD1326" s="655">
        <v>11015</v>
      </c>
      <c r="AE1326" s="655">
        <v>1761990</v>
      </c>
      <c r="AF1326" s="655">
        <v>32230</v>
      </c>
      <c r="AG1326" s="655">
        <v>99560</v>
      </c>
      <c r="AH1326" s="655">
        <v>0</v>
      </c>
      <c r="AI1326" s="805">
        <v>713377</v>
      </c>
      <c r="AJ1326" s="655">
        <v>402671</v>
      </c>
      <c r="AK1326" s="655">
        <v>3009828</v>
      </c>
      <c r="AL1326" s="805">
        <v>2744360</v>
      </c>
      <c r="AM1326" s="655">
        <v>265468</v>
      </c>
    </row>
    <row r="1327" spans="1:39" x14ac:dyDescent="0.2">
      <c r="A1327" s="648">
        <v>2016</v>
      </c>
      <c r="B1327" s="648">
        <v>10</v>
      </c>
      <c r="C1327" s="657" t="s">
        <v>399</v>
      </c>
      <c r="D1327" s="648">
        <v>7029</v>
      </c>
      <c r="E1327" s="648" t="s">
        <v>1401</v>
      </c>
      <c r="F1327" s="655">
        <v>7368619</v>
      </c>
      <c r="G1327" s="655">
        <v>2821</v>
      </c>
      <c r="H1327" s="655">
        <v>186642</v>
      </c>
      <c r="I1327" s="655">
        <v>674568</v>
      </c>
      <c r="J1327" s="655">
        <v>634839</v>
      </c>
      <c r="K1327" s="655">
        <v>69296</v>
      </c>
      <c r="L1327" s="655">
        <v>59444</v>
      </c>
      <c r="M1327" s="655">
        <v>0</v>
      </c>
      <c r="N1327" s="655">
        <v>351513</v>
      </c>
      <c r="O1327" s="655">
        <v>0</v>
      </c>
      <c r="P1327" s="655">
        <v>64489</v>
      </c>
      <c r="Q1327" s="655">
        <v>70848</v>
      </c>
      <c r="R1327" s="655">
        <v>0</v>
      </c>
      <c r="S1327" s="655">
        <v>32773</v>
      </c>
      <c r="T1327" s="655">
        <v>3809</v>
      </c>
      <c r="U1327" s="655">
        <v>308548</v>
      </c>
      <c r="V1327" s="655">
        <v>0</v>
      </c>
      <c r="W1327" s="655">
        <v>81023</v>
      </c>
      <c r="X1327" s="655">
        <v>392600.46</v>
      </c>
      <c r="Y1327" s="655">
        <v>0</v>
      </c>
      <c r="Z1327" s="655">
        <v>0</v>
      </c>
      <c r="AA1327" s="655">
        <v>0</v>
      </c>
      <c r="AB1327" s="655">
        <v>0</v>
      </c>
      <c r="AC1327" s="655">
        <v>0</v>
      </c>
      <c r="AD1327" s="655">
        <v>51123</v>
      </c>
      <c r="AE1327" s="655">
        <v>10250709.460000001</v>
      </c>
      <c r="AF1327" s="655">
        <v>235279</v>
      </c>
      <c r="AG1327" s="655">
        <v>551826</v>
      </c>
      <c r="AH1327" s="655">
        <v>0</v>
      </c>
      <c r="AI1327" s="805">
        <v>1823640</v>
      </c>
      <c r="AJ1327" s="655">
        <v>1544207</v>
      </c>
      <c r="AK1327" s="655">
        <v>14405661.460000001</v>
      </c>
      <c r="AL1327" s="805">
        <v>12497580</v>
      </c>
      <c r="AM1327" s="655">
        <v>1908081.4600000009</v>
      </c>
    </row>
    <row r="1328" spans="1:39" x14ac:dyDescent="0.2">
      <c r="A1328" s="648">
        <v>2016</v>
      </c>
      <c r="B1328" s="648">
        <v>9</v>
      </c>
      <c r="C1328" s="657" t="s">
        <v>400</v>
      </c>
      <c r="D1328" s="648">
        <v>7038</v>
      </c>
      <c r="E1328" s="648" t="s">
        <v>1402</v>
      </c>
      <c r="F1328" s="655">
        <v>5001451</v>
      </c>
      <c r="G1328" s="655">
        <v>0</v>
      </c>
      <c r="H1328" s="655">
        <v>143494</v>
      </c>
      <c r="I1328" s="655">
        <v>477391</v>
      </c>
      <c r="J1328" s="655">
        <v>442845</v>
      </c>
      <c r="K1328" s="655">
        <v>49409</v>
      </c>
      <c r="L1328" s="655">
        <v>49968</v>
      </c>
      <c r="M1328" s="655">
        <v>0</v>
      </c>
      <c r="N1328" s="655">
        <v>241669</v>
      </c>
      <c r="O1328" s="655">
        <v>3560</v>
      </c>
      <c r="P1328" s="655">
        <v>40989</v>
      </c>
      <c r="Q1328" s="655">
        <v>44717</v>
      </c>
      <c r="R1328" s="655">
        <v>0</v>
      </c>
      <c r="S1328" s="655">
        <v>21742</v>
      </c>
      <c r="T1328" s="655">
        <v>2550</v>
      </c>
      <c r="U1328" s="655">
        <v>246969</v>
      </c>
      <c r="V1328" s="655">
        <v>0</v>
      </c>
      <c r="W1328" s="655">
        <v>149547</v>
      </c>
      <c r="X1328" s="655">
        <v>55755.23</v>
      </c>
      <c r="Y1328" s="655">
        <v>0</v>
      </c>
      <c r="Z1328" s="655">
        <v>0</v>
      </c>
      <c r="AA1328" s="655">
        <v>0</v>
      </c>
      <c r="AB1328" s="655">
        <v>0</v>
      </c>
      <c r="AC1328" s="655">
        <v>6366</v>
      </c>
      <c r="AD1328" s="655">
        <v>40568</v>
      </c>
      <c r="AE1328" s="655">
        <v>6937854.2300000004</v>
      </c>
      <c r="AF1328" s="655">
        <v>125697</v>
      </c>
      <c r="AG1328" s="655">
        <v>369857</v>
      </c>
      <c r="AH1328" s="655">
        <v>0</v>
      </c>
      <c r="AI1328" s="805">
        <v>1244516</v>
      </c>
      <c r="AJ1328" s="655">
        <v>1463337</v>
      </c>
      <c r="AK1328" s="655">
        <v>10141261.23</v>
      </c>
      <c r="AL1328" s="805">
        <v>8092951</v>
      </c>
      <c r="AM1328" s="655">
        <v>2048310.2300000004</v>
      </c>
    </row>
    <row r="1329" spans="1:39" x14ac:dyDescent="0.2">
      <c r="A1329" s="648">
        <v>2016</v>
      </c>
      <c r="B1329" s="648">
        <v>15</v>
      </c>
      <c r="C1329" s="657" t="s">
        <v>401</v>
      </c>
      <c r="D1329" s="648">
        <v>7047</v>
      </c>
      <c r="E1329" s="648" t="s">
        <v>1403</v>
      </c>
      <c r="F1329" s="655">
        <v>2390939</v>
      </c>
      <c r="G1329" s="655">
        <v>48988</v>
      </c>
      <c r="H1329" s="655">
        <v>29822</v>
      </c>
      <c r="I1329" s="655">
        <v>269272</v>
      </c>
      <c r="J1329" s="655">
        <v>217838</v>
      </c>
      <c r="K1329" s="655">
        <v>23553</v>
      </c>
      <c r="L1329" s="655">
        <v>26809</v>
      </c>
      <c r="M1329" s="655">
        <v>0</v>
      </c>
      <c r="N1329" s="655">
        <v>115318</v>
      </c>
      <c r="O1329" s="655">
        <v>410</v>
      </c>
      <c r="P1329" s="655">
        <v>19450</v>
      </c>
      <c r="Q1329" s="655">
        <v>21365</v>
      </c>
      <c r="R1329" s="655">
        <v>309</v>
      </c>
      <c r="S1329" s="655">
        <v>11584</v>
      </c>
      <c r="T1329" s="655">
        <v>1252</v>
      </c>
      <c r="U1329" s="655">
        <v>65867</v>
      </c>
      <c r="V1329" s="655">
        <v>0</v>
      </c>
      <c r="W1329" s="655">
        <v>40258</v>
      </c>
      <c r="X1329" s="655">
        <v>0</v>
      </c>
      <c r="Y1329" s="655">
        <v>68079.66</v>
      </c>
      <c r="Z1329" s="655">
        <v>0</v>
      </c>
      <c r="AA1329" s="655">
        <v>0</v>
      </c>
      <c r="AB1329" s="655">
        <v>0</v>
      </c>
      <c r="AC1329" s="655">
        <v>0</v>
      </c>
      <c r="AD1329" s="655">
        <v>18261</v>
      </c>
      <c r="AE1329" s="655">
        <v>3196693.34</v>
      </c>
      <c r="AF1329" s="655">
        <v>87021</v>
      </c>
      <c r="AG1329" s="655">
        <v>183214</v>
      </c>
      <c r="AH1329" s="655">
        <v>0</v>
      </c>
      <c r="AI1329" s="805">
        <v>1035967</v>
      </c>
      <c r="AJ1329" s="655">
        <v>1950623</v>
      </c>
      <c r="AK1329" s="655">
        <v>6453518.3399999999</v>
      </c>
      <c r="AL1329" s="805">
        <v>4590810</v>
      </c>
      <c r="AM1329" s="655">
        <v>1862708.3399999999</v>
      </c>
    </row>
    <row r="1330" spans="1:39" x14ac:dyDescent="0.2">
      <c r="A1330" s="648">
        <v>2016</v>
      </c>
      <c r="B1330" s="648">
        <v>11</v>
      </c>
      <c r="C1330" s="657" t="s">
        <v>402</v>
      </c>
      <c r="D1330" s="648">
        <v>7056</v>
      </c>
      <c r="E1330" s="648" t="s">
        <v>1404</v>
      </c>
      <c r="F1330" s="655">
        <v>11122573</v>
      </c>
      <c r="G1330" s="655">
        <v>0</v>
      </c>
      <c r="H1330" s="655">
        <v>251471</v>
      </c>
      <c r="I1330" s="655">
        <v>1268122</v>
      </c>
      <c r="J1330" s="655">
        <v>927543</v>
      </c>
      <c r="K1330" s="655">
        <v>100079</v>
      </c>
      <c r="L1330" s="655">
        <v>120699</v>
      </c>
      <c r="M1330" s="655">
        <v>539529</v>
      </c>
      <c r="N1330" s="655">
        <v>529209</v>
      </c>
      <c r="O1330" s="655">
        <v>0</v>
      </c>
      <c r="P1330" s="655">
        <v>91489</v>
      </c>
      <c r="Q1330" s="655">
        <v>100427</v>
      </c>
      <c r="R1330" s="655">
        <v>0</v>
      </c>
      <c r="S1330" s="655">
        <v>43366</v>
      </c>
      <c r="T1330" s="655">
        <v>5517</v>
      </c>
      <c r="U1330" s="655">
        <v>425707</v>
      </c>
      <c r="V1330" s="655">
        <v>0</v>
      </c>
      <c r="W1330" s="655">
        <v>159150</v>
      </c>
      <c r="X1330" s="655">
        <v>296163.38</v>
      </c>
      <c r="Y1330" s="655">
        <v>0</v>
      </c>
      <c r="Z1330" s="655">
        <v>0</v>
      </c>
      <c r="AA1330" s="655">
        <v>0</v>
      </c>
      <c r="AB1330" s="655">
        <v>0</v>
      </c>
      <c r="AC1330" s="655">
        <v>31830</v>
      </c>
      <c r="AD1330" s="655">
        <v>70332</v>
      </c>
      <c r="AE1330" s="655">
        <v>15942542.380000001</v>
      </c>
      <c r="AF1330" s="655">
        <v>293293</v>
      </c>
      <c r="AG1330" s="655">
        <v>759672</v>
      </c>
      <c r="AH1330" s="655">
        <v>0</v>
      </c>
      <c r="AI1330" s="805">
        <v>1665024</v>
      </c>
      <c r="AJ1330" s="655">
        <v>2683288</v>
      </c>
      <c r="AK1330" s="655">
        <v>21343819.380000003</v>
      </c>
      <c r="AL1330" s="805">
        <v>18182029</v>
      </c>
      <c r="AM1330" s="655">
        <v>3161790.3800000027</v>
      </c>
    </row>
    <row r="1331" spans="1:39" x14ac:dyDescent="0.2">
      <c r="A1331" s="648">
        <v>2016</v>
      </c>
      <c r="B1331" s="648">
        <v>13</v>
      </c>
      <c r="C1331" s="657" t="s">
        <v>403</v>
      </c>
      <c r="D1331" s="648">
        <v>7092</v>
      </c>
      <c r="E1331" s="648" t="s">
        <v>1405</v>
      </c>
      <c r="F1331" s="655">
        <v>2920038</v>
      </c>
      <c r="G1331" s="655">
        <v>0</v>
      </c>
      <c r="H1331" s="655">
        <v>178503</v>
      </c>
      <c r="I1331" s="655">
        <v>335837</v>
      </c>
      <c r="J1331" s="655">
        <v>275161</v>
      </c>
      <c r="K1331" s="655">
        <v>30795</v>
      </c>
      <c r="L1331" s="655">
        <v>31927</v>
      </c>
      <c r="M1331" s="655">
        <v>0</v>
      </c>
      <c r="N1331" s="655">
        <v>143130</v>
      </c>
      <c r="O1331" s="655">
        <v>0</v>
      </c>
      <c r="P1331" s="655">
        <v>23891</v>
      </c>
      <c r="Q1331" s="655">
        <v>26423</v>
      </c>
      <c r="R1331" s="655">
        <v>0</v>
      </c>
      <c r="S1331" s="655">
        <v>14698</v>
      </c>
      <c r="T1331" s="655">
        <v>1561</v>
      </c>
      <c r="U1331" s="655">
        <v>72095</v>
      </c>
      <c r="V1331" s="655">
        <v>0</v>
      </c>
      <c r="W1331" s="655">
        <v>148903</v>
      </c>
      <c r="X1331" s="655">
        <v>172646.84</v>
      </c>
      <c r="Y1331" s="655">
        <v>0</v>
      </c>
      <c r="Z1331" s="655">
        <v>0</v>
      </c>
      <c r="AA1331" s="655">
        <v>0</v>
      </c>
      <c r="AB1331" s="655">
        <v>0</v>
      </c>
      <c r="AC1331" s="655">
        <v>0</v>
      </c>
      <c r="AD1331" s="655">
        <v>25428</v>
      </c>
      <c r="AE1331" s="655">
        <v>4350180.84</v>
      </c>
      <c r="AF1331" s="655">
        <v>96690</v>
      </c>
      <c r="AG1331" s="655">
        <v>224960</v>
      </c>
      <c r="AH1331" s="655">
        <v>0</v>
      </c>
      <c r="AI1331" s="805">
        <v>489529</v>
      </c>
      <c r="AJ1331" s="655">
        <v>307048</v>
      </c>
      <c r="AK1331" s="655">
        <v>5468407.8399999999</v>
      </c>
      <c r="AL1331" s="805">
        <v>5101648</v>
      </c>
      <c r="AM1331" s="655">
        <v>366759.83999999985</v>
      </c>
    </row>
    <row r="1332" spans="1:39" x14ac:dyDescent="0.2">
      <c r="A1332" s="648">
        <v>2016</v>
      </c>
      <c r="B1332" s="648">
        <v>12</v>
      </c>
      <c r="C1332" s="657" t="s">
        <v>404</v>
      </c>
      <c r="D1332" s="648">
        <v>7098</v>
      </c>
      <c r="E1332" s="648" t="s">
        <v>1406</v>
      </c>
      <c r="F1332" s="655">
        <v>3568506</v>
      </c>
      <c r="G1332" s="655">
        <v>67467</v>
      </c>
      <c r="H1332" s="655">
        <v>58040</v>
      </c>
      <c r="I1332" s="655">
        <v>428917</v>
      </c>
      <c r="J1332" s="655">
        <v>312094</v>
      </c>
      <c r="K1332" s="655">
        <v>33902</v>
      </c>
      <c r="L1332" s="655">
        <v>35315</v>
      </c>
      <c r="M1332" s="655">
        <v>0</v>
      </c>
      <c r="N1332" s="655">
        <v>179810</v>
      </c>
      <c r="O1332" s="655">
        <v>3333</v>
      </c>
      <c r="P1332" s="655">
        <v>29373</v>
      </c>
      <c r="Q1332" s="655">
        <v>32980</v>
      </c>
      <c r="R1332" s="655">
        <v>0</v>
      </c>
      <c r="S1332" s="655">
        <v>18349</v>
      </c>
      <c r="T1332" s="655">
        <v>2195</v>
      </c>
      <c r="U1332" s="655">
        <v>20548</v>
      </c>
      <c r="V1332" s="655">
        <v>0</v>
      </c>
      <c r="W1332" s="655">
        <v>33740</v>
      </c>
      <c r="X1332" s="655">
        <v>184479.31</v>
      </c>
      <c r="Y1332" s="655">
        <v>0</v>
      </c>
      <c r="Z1332" s="655">
        <v>0</v>
      </c>
      <c r="AA1332" s="655">
        <v>0</v>
      </c>
      <c r="AB1332" s="655">
        <v>0</v>
      </c>
      <c r="AC1332" s="655">
        <v>0</v>
      </c>
      <c r="AD1332" s="655">
        <v>27534</v>
      </c>
      <c r="AE1332" s="655">
        <v>4981514.3099999996</v>
      </c>
      <c r="AF1332" s="655">
        <v>119251</v>
      </c>
      <c r="AG1332" s="655">
        <v>268807</v>
      </c>
      <c r="AH1332" s="655">
        <v>0</v>
      </c>
      <c r="AI1332" s="805">
        <v>919208</v>
      </c>
      <c r="AJ1332" s="655">
        <v>736801</v>
      </c>
      <c r="AK1332" s="655">
        <v>7025581.3099999996</v>
      </c>
      <c r="AL1332" s="805">
        <v>6268489</v>
      </c>
      <c r="AM1332" s="655">
        <v>757092.30999999959</v>
      </c>
    </row>
    <row r="1333" spans="1:39" x14ac:dyDescent="0.2">
      <c r="A1333" s="648">
        <v>2016</v>
      </c>
      <c r="B1333" s="648">
        <v>11</v>
      </c>
      <c r="C1333" s="657" t="s">
        <v>405</v>
      </c>
      <c r="D1333" s="648">
        <v>7110</v>
      </c>
      <c r="E1333" s="648" t="s">
        <v>1407</v>
      </c>
      <c r="F1333" s="655">
        <v>6071841</v>
      </c>
      <c r="G1333" s="655">
        <v>0</v>
      </c>
      <c r="H1333" s="655">
        <v>53651</v>
      </c>
      <c r="I1333" s="655">
        <v>565406</v>
      </c>
      <c r="J1333" s="655">
        <v>512317</v>
      </c>
      <c r="K1333" s="655">
        <v>53437</v>
      </c>
      <c r="L1333" s="655">
        <v>56363</v>
      </c>
      <c r="M1333" s="655">
        <v>0</v>
      </c>
      <c r="N1333" s="655">
        <v>279489</v>
      </c>
      <c r="O1333" s="655">
        <v>0</v>
      </c>
      <c r="P1333" s="655">
        <v>52031</v>
      </c>
      <c r="Q1333" s="655">
        <v>57115</v>
      </c>
      <c r="R1333" s="655">
        <v>0</v>
      </c>
      <c r="S1333" s="655">
        <v>22902</v>
      </c>
      <c r="T1333" s="655">
        <v>2914</v>
      </c>
      <c r="U1333" s="655">
        <v>0</v>
      </c>
      <c r="V1333" s="655">
        <v>0</v>
      </c>
      <c r="W1333" s="655">
        <v>137034</v>
      </c>
      <c r="X1333" s="655">
        <v>550251.79</v>
      </c>
      <c r="Y1333" s="655">
        <v>0</v>
      </c>
      <c r="Z1333" s="655">
        <v>0</v>
      </c>
      <c r="AA1333" s="655">
        <v>0</v>
      </c>
      <c r="AB1333" s="655">
        <v>0</v>
      </c>
      <c r="AC1333" s="655">
        <v>0</v>
      </c>
      <c r="AD1333" s="655">
        <v>30067</v>
      </c>
      <c r="AE1333" s="655">
        <v>8384684.7899999991</v>
      </c>
      <c r="AF1333" s="655">
        <v>199826</v>
      </c>
      <c r="AG1333" s="655">
        <v>432679</v>
      </c>
      <c r="AH1333" s="655">
        <v>0</v>
      </c>
      <c r="AI1333" s="805">
        <v>2018014</v>
      </c>
      <c r="AJ1333" s="655">
        <v>1442241</v>
      </c>
      <c r="AK1333" s="655">
        <v>12477444.789999999</v>
      </c>
      <c r="AL1333" s="805">
        <v>10964545</v>
      </c>
      <c r="AM1333" s="655">
        <v>1512899.7899999991</v>
      </c>
    </row>
    <row r="1334" spans="1:39" x14ac:dyDescent="0.2">
      <c r="A1334" s="648">
        <v>2017</v>
      </c>
      <c r="B1334" s="648">
        <v>7</v>
      </c>
      <c r="C1334" s="657" t="s">
        <v>77</v>
      </c>
      <c r="D1334" s="648">
        <v>9</v>
      </c>
      <c r="E1334" s="648" t="s">
        <v>998</v>
      </c>
      <c r="F1334" s="655">
        <v>4191476</v>
      </c>
      <c r="G1334" s="655">
        <v>0</v>
      </c>
      <c r="H1334" s="655">
        <v>139106</v>
      </c>
      <c r="I1334" s="655">
        <v>496544</v>
      </c>
      <c r="J1334" s="655">
        <v>372635</v>
      </c>
      <c r="K1334" s="655">
        <v>40163</v>
      </c>
      <c r="L1334" s="655">
        <v>34965</v>
      </c>
      <c r="M1334" s="655">
        <v>0</v>
      </c>
      <c r="N1334" s="655">
        <v>205025</v>
      </c>
      <c r="O1334" s="655">
        <v>3558</v>
      </c>
      <c r="P1334" s="655">
        <v>34653</v>
      </c>
      <c r="Q1334" s="655">
        <v>38698</v>
      </c>
      <c r="R1334" s="655">
        <v>0</v>
      </c>
      <c r="S1334" s="655">
        <v>25997</v>
      </c>
      <c r="T1334" s="655">
        <v>2987</v>
      </c>
      <c r="U1334" s="655">
        <v>127692</v>
      </c>
      <c r="V1334" s="655">
        <v>0</v>
      </c>
      <c r="W1334" s="655">
        <v>81774</v>
      </c>
      <c r="X1334" s="655">
        <v>0</v>
      </c>
      <c r="Y1334" s="655">
        <v>0</v>
      </c>
      <c r="Z1334" s="655">
        <v>0</v>
      </c>
      <c r="AA1334" s="655">
        <v>0</v>
      </c>
      <c r="AB1334" s="655">
        <v>0</v>
      </c>
      <c r="AC1334" s="655">
        <v>-1049</v>
      </c>
      <c r="AD1334" s="655">
        <v>48129</v>
      </c>
      <c r="AE1334" s="655">
        <v>5746095</v>
      </c>
      <c r="AF1334" s="655">
        <v>141707</v>
      </c>
      <c r="AG1334" s="655">
        <v>356946</v>
      </c>
      <c r="AH1334" s="655">
        <v>0</v>
      </c>
      <c r="AI1334" s="655">
        <v>0</v>
      </c>
      <c r="AJ1334" s="655">
        <v>1402418.75</v>
      </c>
      <c r="AK1334" s="655">
        <v>7647166.75</v>
      </c>
      <c r="AL1334" s="655">
        <v>0</v>
      </c>
      <c r="AM1334" s="655">
        <v>7647166.75</v>
      </c>
    </row>
    <row r="1335" spans="1:39" x14ac:dyDescent="0.2">
      <c r="A1335" s="648">
        <v>2017</v>
      </c>
      <c r="B1335" s="648">
        <v>11</v>
      </c>
      <c r="C1335" s="657" t="s">
        <v>75</v>
      </c>
      <c r="D1335" s="648">
        <v>18</v>
      </c>
      <c r="E1335" s="648" t="s">
        <v>1007</v>
      </c>
      <c r="F1335" s="655">
        <v>2035960</v>
      </c>
      <c r="G1335" s="655">
        <v>94914</v>
      </c>
      <c r="H1335" s="655">
        <v>101370</v>
      </c>
      <c r="I1335" s="655">
        <v>269638</v>
      </c>
      <c r="J1335" s="655">
        <v>199025</v>
      </c>
      <c r="K1335" s="655">
        <v>19730</v>
      </c>
      <c r="L1335" s="655">
        <v>21808</v>
      </c>
      <c r="M1335" s="655">
        <v>0</v>
      </c>
      <c r="N1335" s="655">
        <v>98534</v>
      </c>
      <c r="O1335" s="655">
        <v>7789</v>
      </c>
      <c r="P1335" s="655">
        <v>16732</v>
      </c>
      <c r="Q1335" s="655">
        <v>18368</v>
      </c>
      <c r="R1335" s="655">
        <v>0</v>
      </c>
      <c r="S1335" s="655">
        <v>8377</v>
      </c>
      <c r="T1335" s="655">
        <v>1066</v>
      </c>
      <c r="U1335" s="655">
        <v>28040</v>
      </c>
      <c r="V1335" s="655">
        <v>0</v>
      </c>
      <c r="W1335" s="655">
        <v>78641</v>
      </c>
      <c r="X1335" s="655">
        <v>0</v>
      </c>
      <c r="Y1335" s="655">
        <v>0</v>
      </c>
      <c r="Z1335" s="655">
        <v>0</v>
      </c>
      <c r="AA1335" s="655">
        <v>0</v>
      </c>
      <c r="AB1335" s="655">
        <v>0</v>
      </c>
      <c r="AC1335" s="655">
        <v>0</v>
      </c>
      <c r="AD1335" s="655">
        <v>19730</v>
      </c>
      <c r="AE1335" s="655">
        <v>2980262</v>
      </c>
      <c r="AF1335" s="655">
        <v>56024</v>
      </c>
      <c r="AG1335" s="655">
        <v>180740</v>
      </c>
      <c r="AH1335" s="655">
        <v>0</v>
      </c>
      <c r="AI1335" s="655">
        <v>0</v>
      </c>
      <c r="AJ1335" s="655">
        <v>960817.6799999997</v>
      </c>
      <c r="AK1335" s="655">
        <v>4177843.6799999997</v>
      </c>
      <c r="AL1335" s="655">
        <v>0</v>
      </c>
      <c r="AM1335" s="655">
        <v>4177843.6799999997</v>
      </c>
    </row>
    <row r="1336" spans="1:39" x14ac:dyDescent="0.2">
      <c r="A1336" s="648">
        <v>2017</v>
      </c>
      <c r="B1336" s="648">
        <v>11</v>
      </c>
      <c r="C1336" s="657" t="s">
        <v>76</v>
      </c>
      <c r="D1336" s="648">
        <v>27</v>
      </c>
      <c r="E1336" s="648" t="s">
        <v>2005</v>
      </c>
      <c r="F1336" s="655">
        <v>10373320</v>
      </c>
      <c r="G1336" s="655">
        <v>0</v>
      </c>
      <c r="H1336" s="655">
        <v>89843</v>
      </c>
      <c r="I1336" s="655">
        <v>975651</v>
      </c>
      <c r="J1336" s="655">
        <v>908901</v>
      </c>
      <c r="K1336" s="655">
        <v>98257</v>
      </c>
      <c r="L1336" s="655">
        <v>102070</v>
      </c>
      <c r="M1336" s="655">
        <v>0</v>
      </c>
      <c r="N1336" s="655">
        <v>483554</v>
      </c>
      <c r="O1336" s="655">
        <v>0</v>
      </c>
      <c r="P1336" s="655">
        <v>85488</v>
      </c>
      <c r="Q1336" s="655">
        <v>93846</v>
      </c>
      <c r="R1336" s="655">
        <v>0</v>
      </c>
      <c r="S1336" s="655">
        <v>39844</v>
      </c>
      <c r="T1336" s="655">
        <v>5064</v>
      </c>
      <c r="U1336" s="655">
        <v>333047</v>
      </c>
      <c r="V1336" s="655">
        <v>0</v>
      </c>
      <c r="W1336" s="655">
        <v>570000</v>
      </c>
      <c r="X1336" s="655">
        <v>0</v>
      </c>
      <c r="Y1336" s="655">
        <v>0</v>
      </c>
      <c r="Z1336" s="655">
        <v>0</v>
      </c>
      <c r="AA1336" s="655">
        <v>0</v>
      </c>
      <c r="AB1336" s="655">
        <v>0</v>
      </c>
      <c r="AC1336" s="655">
        <v>0</v>
      </c>
      <c r="AD1336" s="655">
        <v>73313</v>
      </c>
      <c r="AE1336" s="655">
        <v>14085572</v>
      </c>
      <c r="AF1336" s="655">
        <v>0</v>
      </c>
      <c r="AG1336" s="655">
        <v>705386</v>
      </c>
      <c r="AH1336" s="655">
        <v>0</v>
      </c>
      <c r="AI1336" s="655">
        <v>0</v>
      </c>
      <c r="AJ1336" s="655">
        <v>8820213.5</v>
      </c>
      <c r="AK1336" s="655">
        <v>23611171.5</v>
      </c>
      <c r="AL1336" s="655">
        <v>0</v>
      </c>
      <c r="AM1336" s="655">
        <v>23611171.5</v>
      </c>
    </row>
    <row r="1337" spans="1:39" x14ac:dyDescent="0.2">
      <c r="A1337" s="648">
        <v>2017</v>
      </c>
      <c r="B1337" s="648">
        <v>12</v>
      </c>
      <c r="C1337" s="657" t="s">
        <v>79</v>
      </c>
      <c r="D1337" s="648">
        <v>63</v>
      </c>
      <c r="E1337" s="648" t="s">
        <v>1008</v>
      </c>
      <c r="F1337" s="655">
        <v>3427272</v>
      </c>
      <c r="G1337" s="655">
        <v>0</v>
      </c>
      <c r="H1337" s="655">
        <v>179573</v>
      </c>
      <c r="I1337" s="655">
        <v>399251</v>
      </c>
      <c r="J1337" s="655">
        <v>314605</v>
      </c>
      <c r="K1337" s="655">
        <v>36037</v>
      </c>
      <c r="L1337" s="655">
        <v>34675</v>
      </c>
      <c r="M1337" s="655">
        <v>0</v>
      </c>
      <c r="N1337" s="655">
        <v>170713</v>
      </c>
      <c r="O1337" s="655">
        <v>0</v>
      </c>
      <c r="P1337" s="655">
        <v>28731</v>
      </c>
      <c r="Q1337" s="655">
        <v>32245</v>
      </c>
      <c r="R1337" s="655">
        <v>0</v>
      </c>
      <c r="S1337" s="655">
        <v>17151</v>
      </c>
      <c r="T1337" s="655">
        <v>2051</v>
      </c>
      <c r="U1337" s="655">
        <v>147508</v>
      </c>
      <c r="V1337" s="655">
        <v>0</v>
      </c>
      <c r="W1337" s="655">
        <v>71767.600000000006</v>
      </c>
      <c r="X1337" s="655">
        <v>0</v>
      </c>
      <c r="Y1337" s="655">
        <v>0</v>
      </c>
      <c r="Z1337" s="655">
        <v>0</v>
      </c>
      <c r="AA1337" s="655">
        <v>0</v>
      </c>
      <c r="AB1337" s="655">
        <v>0</v>
      </c>
      <c r="AC1337" s="655">
        <v>0</v>
      </c>
      <c r="AD1337" s="655">
        <v>31367</v>
      </c>
      <c r="AE1337" s="655">
        <v>4830212.5999999996</v>
      </c>
      <c r="AF1337" s="655">
        <v>52728</v>
      </c>
      <c r="AG1337" s="655">
        <v>259616</v>
      </c>
      <c r="AH1337" s="655">
        <v>0</v>
      </c>
      <c r="AI1337" s="655">
        <v>0</v>
      </c>
      <c r="AJ1337" s="655">
        <v>1786256.0700000003</v>
      </c>
      <c r="AK1337" s="655">
        <v>6928812.6699999999</v>
      </c>
      <c r="AL1337" s="655">
        <v>0</v>
      </c>
      <c r="AM1337" s="655">
        <v>6928812.6699999999</v>
      </c>
    </row>
    <row r="1338" spans="1:39" x14ac:dyDescent="0.2">
      <c r="A1338" s="648">
        <v>2017</v>
      </c>
      <c r="B1338" s="648">
        <v>5</v>
      </c>
      <c r="C1338" s="657" t="s">
        <v>80</v>
      </c>
      <c r="D1338" s="648">
        <v>72</v>
      </c>
      <c r="E1338" s="648" t="s">
        <v>1009</v>
      </c>
      <c r="F1338" s="655">
        <v>1347744</v>
      </c>
      <c r="G1338" s="655">
        <v>0</v>
      </c>
      <c r="H1338" s="655">
        <v>159661</v>
      </c>
      <c r="I1338" s="655">
        <v>164598</v>
      </c>
      <c r="J1338" s="655">
        <v>98501</v>
      </c>
      <c r="K1338" s="655">
        <v>8282</v>
      </c>
      <c r="L1338" s="655">
        <v>8579</v>
      </c>
      <c r="M1338" s="655">
        <v>0</v>
      </c>
      <c r="N1338" s="655">
        <v>67931</v>
      </c>
      <c r="O1338" s="655">
        <v>6341</v>
      </c>
      <c r="P1338" s="655">
        <v>10965</v>
      </c>
      <c r="Q1338" s="655">
        <v>12310</v>
      </c>
      <c r="R1338" s="655">
        <v>198</v>
      </c>
      <c r="S1338" s="655">
        <v>7229</v>
      </c>
      <c r="T1338" s="655">
        <v>861</v>
      </c>
      <c r="U1338" s="655">
        <v>2028</v>
      </c>
      <c r="V1338" s="655">
        <v>0</v>
      </c>
      <c r="W1338" s="655">
        <v>58285</v>
      </c>
      <c r="X1338" s="655">
        <v>0</v>
      </c>
      <c r="Y1338" s="655">
        <v>0</v>
      </c>
      <c r="Z1338" s="655">
        <v>0</v>
      </c>
      <c r="AA1338" s="655">
        <v>0</v>
      </c>
      <c r="AB1338" s="655">
        <v>0</v>
      </c>
      <c r="AC1338" s="655">
        <v>0</v>
      </c>
      <c r="AD1338" s="655">
        <v>16468</v>
      </c>
      <c r="AE1338" s="655">
        <v>1937045</v>
      </c>
      <c r="AF1338" s="655">
        <v>26364</v>
      </c>
      <c r="AG1338" s="655">
        <v>119437</v>
      </c>
      <c r="AH1338" s="655">
        <v>0</v>
      </c>
      <c r="AI1338" s="655">
        <v>0</v>
      </c>
      <c r="AJ1338" s="655">
        <v>671698.87999999989</v>
      </c>
      <c r="AK1338" s="655">
        <v>2754544.88</v>
      </c>
      <c r="AL1338" s="655">
        <v>0</v>
      </c>
      <c r="AM1338" s="655">
        <v>2754544.88</v>
      </c>
    </row>
    <row r="1339" spans="1:39" x14ac:dyDescent="0.2">
      <c r="A1339" s="648">
        <v>2017</v>
      </c>
      <c r="B1339" s="648">
        <v>15</v>
      </c>
      <c r="C1339" s="657" t="s">
        <v>81</v>
      </c>
      <c r="D1339" s="648">
        <v>81</v>
      </c>
      <c r="E1339" s="648" t="s">
        <v>1010</v>
      </c>
      <c r="F1339" s="655">
        <v>7954678</v>
      </c>
      <c r="G1339" s="655">
        <v>0</v>
      </c>
      <c r="H1339" s="655">
        <v>147520</v>
      </c>
      <c r="I1339" s="655">
        <v>842923</v>
      </c>
      <c r="J1339" s="655">
        <v>668719</v>
      </c>
      <c r="K1339" s="655">
        <v>77471</v>
      </c>
      <c r="L1339" s="655">
        <v>74840</v>
      </c>
      <c r="M1339" s="655">
        <v>385870</v>
      </c>
      <c r="N1339" s="655">
        <v>383218</v>
      </c>
      <c r="O1339" s="655">
        <v>0</v>
      </c>
      <c r="P1339" s="655">
        <v>65057</v>
      </c>
      <c r="Q1339" s="655">
        <v>71466</v>
      </c>
      <c r="R1339" s="655">
        <v>0</v>
      </c>
      <c r="S1339" s="655">
        <v>38389</v>
      </c>
      <c r="T1339" s="655">
        <v>4165</v>
      </c>
      <c r="U1339" s="655">
        <v>377467</v>
      </c>
      <c r="V1339" s="655">
        <v>0</v>
      </c>
      <c r="W1339" s="655">
        <v>124085</v>
      </c>
      <c r="X1339" s="655">
        <v>0</v>
      </c>
      <c r="Y1339" s="655">
        <v>0</v>
      </c>
      <c r="Z1339" s="655">
        <v>0</v>
      </c>
      <c r="AA1339" s="655">
        <v>0</v>
      </c>
      <c r="AB1339" s="655">
        <v>0</v>
      </c>
      <c r="AC1339" s="655">
        <v>-6446</v>
      </c>
      <c r="AD1339" s="655">
        <v>67609</v>
      </c>
      <c r="AE1339" s="655">
        <v>11141813</v>
      </c>
      <c r="AF1339" s="655">
        <v>174662</v>
      </c>
      <c r="AG1339" s="655">
        <v>498599</v>
      </c>
      <c r="AH1339" s="655">
        <v>0</v>
      </c>
      <c r="AI1339" s="655">
        <v>0</v>
      </c>
      <c r="AJ1339" s="655">
        <v>693755</v>
      </c>
      <c r="AK1339" s="655">
        <v>12508829</v>
      </c>
      <c r="AL1339" s="655">
        <v>0</v>
      </c>
      <c r="AM1339" s="655">
        <v>12508829</v>
      </c>
    </row>
    <row r="1340" spans="1:39" x14ac:dyDescent="0.2">
      <c r="A1340" s="648">
        <v>2017</v>
      </c>
      <c r="B1340" s="648">
        <v>10</v>
      </c>
      <c r="C1340" s="657" t="s">
        <v>82</v>
      </c>
      <c r="D1340" s="648">
        <v>99</v>
      </c>
      <c r="E1340" s="648" t="s">
        <v>1011</v>
      </c>
      <c r="F1340" s="655">
        <v>3403592</v>
      </c>
      <c r="G1340" s="655">
        <v>5936</v>
      </c>
      <c r="H1340" s="655">
        <v>110604</v>
      </c>
      <c r="I1340" s="655">
        <v>314259</v>
      </c>
      <c r="J1340" s="655">
        <v>297085</v>
      </c>
      <c r="K1340" s="655">
        <v>34304</v>
      </c>
      <c r="L1340" s="655">
        <v>28438</v>
      </c>
      <c r="M1340" s="655">
        <v>0</v>
      </c>
      <c r="N1340" s="655">
        <v>162895</v>
      </c>
      <c r="O1340" s="655">
        <v>4479</v>
      </c>
      <c r="P1340" s="655">
        <v>29225</v>
      </c>
      <c r="Q1340" s="655">
        <v>32108</v>
      </c>
      <c r="R1340" s="655">
        <v>0</v>
      </c>
      <c r="S1340" s="655">
        <v>15219</v>
      </c>
      <c r="T1340" s="655">
        <v>1771</v>
      </c>
      <c r="U1340" s="655">
        <v>140235</v>
      </c>
      <c r="V1340" s="655">
        <v>0</v>
      </c>
      <c r="W1340" s="655">
        <v>94756</v>
      </c>
      <c r="X1340" s="655">
        <v>0</v>
      </c>
      <c r="Y1340" s="655">
        <v>0</v>
      </c>
      <c r="Z1340" s="655">
        <v>0</v>
      </c>
      <c r="AA1340" s="655">
        <v>0</v>
      </c>
      <c r="AB1340" s="655">
        <v>0</v>
      </c>
      <c r="AC1340" s="655">
        <v>0</v>
      </c>
      <c r="AD1340" s="655">
        <v>32955</v>
      </c>
      <c r="AE1340" s="655">
        <v>4641951</v>
      </c>
      <c r="AF1340" s="655">
        <v>105456</v>
      </c>
      <c r="AG1340" s="655">
        <v>267239</v>
      </c>
      <c r="AH1340" s="655">
        <v>0</v>
      </c>
      <c r="AI1340" s="655">
        <v>0</v>
      </c>
      <c r="AJ1340" s="655">
        <v>1614625.8899999997</v>
      </c>
      <c r="AK1340" s="655">
        <v>6629271.8899999997</v>
      </c>
      <c r="AL1340" s="655">
        <v>0</v>
      </c>
      <c r="AM1340" s="655">
        <v>6629271.8899999997</v>
      </c>
    </row>
    <row r="1341" spans="1:39" x14ac:dyDescent="0.2">
      <c r="A1341" s="648">
        <v>2017</v>
      </c>
      <c r="B1341" s="648">
        <v>7</v>
      </c>
      <c r="C1341" s="657" t="s">
        <v>83</v>
      </c>
      <c r="D1341" s="648">
        <v>108</v>
      </c>
      <c r="E1341" s="648" t="s">
        <v>1012</v>
      </c>
      <c r="F1341" s="655">
        <v>1697183</v>
      </c>
      <c r="G1341" s="655">
        <v>0</v>
      </c>
      <c r="H1341" s="655">
        <v>145701</v>
      </c>
      <c r="I1341" s="655">
        <v>115474</v>
      </c>
      <c r="J1341" s="655">
        <v>157533</v>
      </c>
      <c r="K1341" s="655">
        <v>14907</v>
      </c>
      <c r="L1341" s="655">
        <v>19539</v>
      </c>
      <c r="M1341" s="655">
        <v>82328</v>
      </c>
      <c r="N1341" s="655">
        <v>80597</v>
      </c>
      <c r="O1341" s="655">
        <v>1667</v>
      </c>
      <c r="P1341" s="655">
        <v>13991</v>
      </c>
      <c r="Q1341" s="655">
        <v>15624</v>
      </c>
      <c r="R1341" s="655">
        <v>0</v>
      </c>
      <c r="S1341" s="655">
        <v>10291</v>
      </c>
      <c r="T1341" s="655">
        <v>1181</v>
      </c>
      <c r="U1341" s="655">
        <v>82992</v>
      </c>
      <c r="V1341" s="655">
        <v>0</v>
      </c>
      <c r="W1341" s="655">
        <v>158184</v>
      </c>
      <c r="X1341" s="655">
        <v>0</v>
      </c>
      <c r="Y1341" s="655">
        <v>0</v>
      </c>
      <c r="Z1341" s="655">
        <v>0</v>
      </c>
      <c r="AA1341" s="655">
        <v>0</v>
      </c>
      <c r="AB1341" s="655">
        <v>0</v>
      </c>
      <c r="AC1341" s="655">
        <v>0</v>
      </c>
      <c r="AD1341" s="655">
        <v>17406</v>
      </c>
      <c r="AE1341" s="655">
        <v>2579786</v>
      </c>
      <c r="AF1341" s="655">
        <v>62615</v>
      </c>
      <c r="AG1341" s="655">
        <v>141239</v>
      </c>
      <c r="AH1341" s="655">
        <v>0</v>
      </c>
      <c r="AI1341" s="655">
        <v>0</v>
      </c>
      <c r="AJ1341" s="655">
        <v>1716463.37</v>
      </c>
      <c r="AK1341" s="655">
        <v>4500103.37</v>
      </c>
      <c r="AL1341" s="655">
        <v>0</v>
      </c>
      <c r="AM1341" s="655">
        <v>4500103.37</v>
      </c>
    </row>
    <row r="1342" spans="1:39" x14ac:dyDescent="0.2">
      <c r="A1342" s="648">
        <v>2017</v>
      </c>
      <c r="B1342" s="648">
        <v>5</v>
      </c>
      <c r="C1342" s="657" t="s">
        <v>84</v>
      </c>
      <c r="D1342" s="648">
        <v>126</v>
      </c>
      <c r="E1342" s="648" t="s">
        <v>1013</v>
      </c>
      <c r="F1342" s="655">
        <v>8766202</v>
      </c>
      <c r="G1342" s="655">
        <v>0</v>
      </c>
      <c r="H1342" s="655">
        <v>963534</v>
      </c>
      <c r="I1342" s="655">
        <v>1452312</v>
      </c>
      <c r="J1342" s="655">
        <v>762490</v>
      </c>
      <c r="K1342" s="655">
        <v>92347</v>
      </c>
      <c r="L1342" s="655">
        <v>80330</v>
      </c>
      <c r="M1342" s="655">
        <v>0</v>
      </c>
      <c r="N1342" s="655">
        <v>462317</v>
      </c>
      <c r="O1342" s="655">
        <v>0</v>
      </c>
      <c r="P1342" s="655">
        <v>99604</v>
      </c>
      <c r="Q1342" s="655">
        <v>111825</v>
      </c>
      <c r="R1342" s="655">
        <v>1349</v>
      </c>
      <c r="S1342" s="655">
        <v>49195</v>
      </c>
      <c r="T1342" s="655">
        <v>5862</v>
      </c>
      <c r="U1342" s="655">
        <v>348677</v>
      </c>
      <c r="V1342" s="655">
        <v>0</v>
      </c>
      <c r="W1342" s="655">
        <v>129721</v>
      </c>
      <c r="X1342" s="655">
        <v>0</v>
      </c>
      <c r="Y1342" s="655">
        <v>0</v>
      </c>
      <c r="Z1342" s="655">
        <v>0</v>
      </c>
      <c r="AA1342" s="655">
        <v>0</v>
      </c>
      <c r="AB1342" s="655">
        <v>0</v>
      </c>
      <c r="AC1342" s="655">
        <v>0</v>
      </c>
      <c r="AD1342" s="655">
        <v>97634</v>
      </c>
      <c r="AE1342" s="655">
        <v>13228131</v>
      </c>
      <c r="AF1342" s="655">
        <v>332846</v>
      </c>
      <c r="AG1342" s="655">
        <v>745215</v>
      </c>
      <c r="AH1342" s="655">
        <v>0</v>
      </c>
      <c r="AI1342" s="655">
        <v>0</v>
      </c>
      <c r="AJ1342" s="655">
        <v>3083750</v>
      </c>
      <c r="AK1342" s="655">
        <v>17389942</v>
      </c>
      <c r="AL1342" s="655">
        <v>0</v>
      </c>
      <c r="AM1342" s="655">
        <v>17389942</v>
      </c>
    </row>
    <row r="1343" spans="1:39" x14ac:dyDescent="0.2">
      <c r="A1343" s="648">
        <v>2017</v>
      </c>
      <c r="B1343" s="648">
        <v>1</v>
      </c>
      <c r="C1343" s="657" t="s">
        <v>85</v>
      </c>
      <c r="D1343" s="648">
        <v>135</v>
      </c>
      <c r="E1343" s="648" t="s">
        <v>1014</v>
      </c>
      <c r="F1343" s="655">
        <v>7574522</v>
      </c>
      <c r="G1343" s="655">
        <v>0</v>
      </c>
      <c r="H1343" s="655">
        <v>286385</v>
      </c>
      <c r="I1343" s="655">
        <v>899721</v>
      </c>
      <c r="J1343" s="655">
        <v>634623</v>
      </c>
      <c r="K1343" s="655">
        <v>67050</v>
      </c>
      <c r="L1343" s="655">
        <v>73691</v>
      </c>
      <c r="M1343" s="655">
        <v>0</v>
      </c>
      <c r="N1343" s="655">
        <v>385983</v>
      </c>
      <c r="O1343" s="655">
        <v>6371</v>
      </c>
      <c r="P1343" s="655">
        <v>69051</v>
      </c>
      <c r="Q1343" s="655">
        <v>77039</v>
      </c>
      <c r="R1343" s="655">
        <v>0</v>
      </c>
      <c r="S1343" s="655">
        <v>38009</v>
      </c>
      <c r="T1343" s="655">
        <v>4076</v>
      </c>
      <c r="U1343" s="655">
        <v>111411</v>
      </c>
      <c r="V1343" s="655">
        <v>0</v>
      </c>
      <c r="W1343" s="655">
        <v>53502</v>
      </c>
      <c r="X1343" s="655">
        <v>0</v>
      </c>
      <c r="Y1343" s="655">
        <v>0</v>
      </c>
      <c r="Z1343" s="655">
        <v>0</v>
      </c>
      <c r="AA1343" s="655">
        <v>0</v>
      </c>
      <c r="AB1343" s="655">
        <v>0</v>
      </c>
      <c r="AC1343" s="655">
        <v>0</v>
      </c>
      <c r="AD1343" s="655">
        <v>85797</v>
      </c>
      <c r="AE1343" s="655">
        <v>10195637</v>
      </c>
      <c r="AF1343" s="655">
        <v>174662</v>
      </c>
      <c r="AG1343" s="655">
        <v>0</v>
      </c>
      <c r="AH1343" s="655">
        <v>0</v>
      </c>
      <c r="AI1343" s="655">
        <v>0</v>
      </c>
      <c r="AJ1343" s="655">
        <v>6139785</v>
      </c>
      <c r="AK1343" s="655">
        <v>16510084</v>
      </c>
      <c r="AL1343" s="655">
        <v>0</v>
      </c>
      <c r="AM1343" s="655">
        <v>16510084</v>
      </c>
    </row>
    <row r="1344" spans="1:39" x14ac:dyDescent="0.2">
      <c r="A1344" s="648">
        <v>2017</v>
      </c>
      <c r="B1344" s="648">
        <v>7</v>
      </c>
      <c r="C1344" s="657" t="s">
        <v>86</v>
      </c>
      <c r="D1344" s="648">
        <v>153</v>
      </c>
      <c r="E1344" s="648" t="s">
        <v>1482</v>
      </c>
      <c r="F1344" s="655">
        <v>4020156</v>
      </c>
      <c r="G1344" s="655">
        <v>210033</v>
      </c>
      <c r="H1344" s="655">
        <v>107456</v>
      </c>
      <c r="I1344" s="655">
        <v>460381</v>
      </c>
      <c r="J1344" s="655">
        <v>408400</v>
      </c>
      <c r="K1344" s="655">
        <v>45685</v>
      </c>
      <c r="L1344" s="655">
        <v>37960</v>
      </c>
      <c r="M1344" s="655">
        <v>0</v>
      </c>
      <c r="N1344" s="655">
        <v>196626</v>
      </c>
      <c r="O1344" s="655">
        <v>11250</v>
      </c>
      <c r="P1344" s="655">
        <v>32646</v>
      </c>
      <c r="Q1344" s="655">
        <v>36457</v>
      </c>
      <c r="R1344" s="655">
        <v>0</v>
      </c>
      <c r="S1344" s="655">
        <v>26473</v>
      </c>
      <c r="T1344" s="655">
        <v>3038</v>
      </c>
      <c r="U1344" s="655">
        <v>72838</v>
      </c>
      <c r="V1344" s="655">
        <v>0</v>
      </c>
      <c r="W1344" s="655">
        <v>32230</v>
      </c>
      <c r="X1344" s="655">
        <v>0</v>
      </c>
      <c r="Y1344" s="655">
        <v>0</v>
      </c>
      <c r="Z1344" s="655">
        <v>0</v>
      </c>
      <c r="AA1344" s="655">
        <v>0</v>
      </c>
      <c r="AB1344" s="655">
        <v>0</v>
      </c>
      <c r="AC1344" s="655">
        <v>0</v>
      </c>
      <c r="AD1344" s="655">
        <v>38187</v>
      </c>
      <c r="AE1344" s="655">
        <v>5663442</v>
      </c>
      <c r="AF1344" s="655">
        <v>102161</v>
      </c>
      <c r="AG1344" s="655">
        <v>340784</v>
      </c>
      <c r="AH1344" s="655">
        <v>0</v>
      </c>
      <c r="AI1344" s="655">
        <v>0</v>
      </c>
      <c r="AJ1344" s="655">
        <v>670199.88999999966</v>
      </c>
      <c r="AK1344" s="655">
        <v>6776586.8899999997</v>
      </c>
      <c r="AL1344" s="655">
        <v>0</v>
      </c>
      <c r="AM1344" s="655">
        <v>6776586.8899999997</v>
      </c>
    </row>
    <row r="1345" spans="1:39" x14ac:dyDescent="0.2">
      <c r="A1345" s="648">
        <v>2017</v>
      </c>
      <c r="B1345" s="648">
        <v>5</v>
      </c>
      <c r="C1345" s="657" t="s">
        <v>87</v>
      </c>
      <c r="D1345" s="648">
        <v>171</v>
      </c>
      <c r="E1345" s="648" t="s">
        <v>1015</v>
      </c>
      <c r="F1345" s="655">
        <v>3518935</v>
      </c>
      <c r="G1345" s="655">
        <v>0</v>
      </c>
      <c r="H1345" s="655">
        <v>230474</v>
      </c>
      <c r="I1345" s="655">
        <v>262915</v>
      </c>
      <c r="J1345" s="655">
        <v>338866</v>
      </c>
      <c r="K1345" s="655">
        <v>38019</v>
      </c>
      <c r="L1345" s="655">
        <v>43273</v>
      </c>
      <c r="M1345" s="655">
        <v>0</v>
      </c>
      <c r="N1345" s="655">
        <v>171959</v>
      </c>
      <c r="O1345" s="655">
        <v>0</v>
      </c>
      <c r="P1345" s="655">
        <v>29474</v>
      </c>
      <c r="Q1345" s="655">
        <v>33090</v>
      </c>
      <c r="R1345" s="655">
        <v>503</v>
      </c>
      <c r="S1345" s="655">
        <v>18298</v>
      </c>
      <c r="T1345" s="655">
        <v>2180</v>
      </c>
      <c r="U1345" s="655">
        <v>172076</v>
      </c>
      <c r="V1345" s="655">
        <v>0</v>
      </c>
      <c r="W1345" s="655">
        <v>121828</v>
      </c>
      <c r="X1345" s="655">
        <v>0</v>
      </c>
      <c r="Y1345" s="655">
        <v>0</v>
      </c>
      <c r="Z1345" s="655">
        <v>0</v>
      </c>
      <c r="AA1345" s="655">
        <v>0</v>
      </c>
      <c r="AB1345" s="655">
        <v>0</v>
      </c>
      <c r="AC1345" s="655">
        <v>-9024</v>
      </c>
      <c r="AD1345" s="655">
        <v>32840</v>
      </c>
      <c r="AE1345" s="655">
        <v>4940026</v>
      </c>
      <c r="AF1345" s="655">
        <v>115343</v>
      </c>
      <c r="AG1345" s="655">
        <v>283662</v>
      </c>
      <c r="AH1345" s="655">
        <v>0</v>
      </c>
      <c r="AI1345" s="655">
        <v>0</v>
      </c>
      <c r="AJ1345" s="655">
        <v>2136686.6100000003</v>
      </c>
      <c r="AK1345" s="655">
        <v>7475717.6100000003</v>
      </c>
      <c r="AL1345" s="655">
        <v>0</v>
      </c>
      <c r="AM1345" s="655">
        <v>7475717.6100000003</v>
      </c>
    </row>
    <row r="1346" spans="1:39" x14ac:dyDescent="0.2">
      <c r="A1346" s="648">
        <v>2017</v>
      </c>
      <c r="B1346" s="648">
        <v>11</v>
      </c>
      <c r="C1346" s="657" t="s">
        <v>88</v>
      </c>
      <c r="D1346" s="648">
        <v>225</v>
      </c>
      <c r="E1346" s="648" t="s">
        <v>1016</v>
      </c>
      <c r="F1346" s="655">
        <v>27934597</v>
      </c>
      <c r="G1346" s="655">
        <v>0</v>
      </c>
      <c r="H1346" s="655">
        <v>360868</v>
      </c>
      <c r="I1346" s="655">
        <v>2425938</v>
      </c>
      <c r="J1346" s="655">
        <v>2374503</v>
      </c>
      <c r="K1346" s="655">
        <v>291890</v>
      </c>
      <c r="L1346" s="655">
        <v>263374</v>
      </c>
      <c r="M1346" s="655">
        <v>1336813</v>
      </c>
      <c r="N1346" s="655">
        <v>1280041</v>
      </c>
      <c r="O1346" s="655">
        <v>0</v>
      </c>
      <c r="P1346" s="655">
        <v>231125</v>
      </c>
      <c r="Q1346" s="655">
        <v>253722</v>
      </c>
      <c r="R1346" s="655">
        <v>0</v>
      </c>
      <c r="S1346" s="655">
        <v>105473</v>
      </c>
      <c r="T1346" s="655">
        <v>13406</v>
      </c>
      <c r="U1346" s="655">
        <v>1366416</v>
      </c>
      <c r="V1346" s="655">
        <v>0</v>
      </c>
      <c r="W1346" s="655">
        <v>236982</v>
      </c>
      <c r="X1346" s="655">
        <v>0</v>
      </c>
      <c r="Y1346" s="655">
        <v>0</v>
      </c>
      <c r="Z1346" s="655">
        <v>0</v>
      </c>
      <c r="AA1346" s="655">
        <v>0</v>
      </c>
      <c r="AB1346" s="655">
        <v>0</v>
      </c>
      <c r="AC1346" s="655">
        <v>-17220</v>
      </c>
      <c r="AD1346" s="655">
        <v>236838</v>
      </c>
      <c r="AE1346" s="655">
        <v>38221090</v>
      </c>
      <c r="AF1346" s="655">
        <v>757965</v>
      </c>
      <c r="AG1346" s="655">
        <v>2408521</v>
      </c>
      <c r="AH1346" s="655">
        <v>0</v>
      </c>
      <c r="AI1346" s="655">
        <v>0</v>
      </c>
      <c r="AJ1346" s="655">
        <v>4564791.4600000009</v>
      </c>
      <c r="AK1346" s="655">
        <v>45952367.460000001</v>
      </c>
      <c r="AL1346" s="655">
        <v>0</v>
      </c>
      <c r="AM1346" s="655">
        <v>45952367.460000001</v>
      </c>
    </row>
    <row r="1347" spans="1:39" x14ac:dyDescent="0.2">
      <c r="A1347" s="648">
        <v>2017</v>
      </c>
      <c r="B1347" s="648">
        <v>10</v>
      </c>
      <c r="C1347" s="657" t="s">
        <v>89</v>
      </c>
      <c r="D1347" s="648">
        <v>234</v>
      </c>
      <c r="E1347" s="648" t="s">
        <v>1017</v>
      </c>
      <c r="F1347" s="655">
        <v>8148986</v>
      </c>
      <c r="G1347" s="655">
        <v>0</v>
      </c>
      <c r="H1347" s="655">
        <v>132061</v>
      </c>
      <c r="I1347" s="655">
        <v>863996</v>
      </c>
      <c r="J1347" s="655">
        <v>735111</v>
      </c>
      <c r="K1347" s="655">
        <v>87508</v>
      </c>
      <c r="L1347" s="655">
        <v>76717</v>
      </c>
      <c r="M1347" s="655">
        <v>0</v>
      </c>
      <c r="N1347" s="655">
        <v>393881</v>
      </c>
      <c r="O1347" s="655">
        <v>0</v>
      </c>
      <c r="P1347" s="655">
        <v>71174</v>
      </c>
      <c r="Q1347" s="655">
        <v>78197</v>
      </c>
      <c r="R1347" s="655">
        <v>0</v>
      </c>
      <c r="S1347" s="655">
        <v>36799</v>
      </c>
      <c r="T1347" s="655">
        <v>4283</v>
      </c>
      <c r="U1347" s="655">
        <v>130700</v>
      </c>
      <c r="V1347" s="655">
        <v>0</v>
      </c>
      <c r="W1347" s="655">
        <v>235160</v>
      </c>
      <c r="X1347" s="655">
        <v>0</v>
      </c>
      <c r="Y1347" s="655">
        <v>0</v>
      </c>
      <c r="Z1347" s="655">
        <v>0</v>
      </c>
      <c r="AA1347" s="655">
        <v>0</v>
      </c>
      <c r="AB1347" s="655">
        <v>0</v>
      </c>
      <c r="AC1347" s="655">
        <v>0</v>
      </c>
      <c r="AD1347" s="655">
        <v>70198</v>
      </c>
      <c r="AE1347" s="655">
        <v>10924375</v>
      </c>
      <c r="AF1347" s="655">
        <v>214208</v>
      </c>
      <c r="AG1347" s="655">
        <v>597728</v>
      </c>
      <c r="AH1347" s="655">
        <v>0</v>
      </c>
      <c r="AI1347" s="655">
        <v>0</v>
      </c>
      <c r="AJ1347" s="655">
        <v>6150757.0600000024</v>
      </c>
      <c r="AK1347" s="655">
        <v>17887068.060000002</v>
      </c>
      <c r="AL1347" s="655">
        <v>0</v>
      </c>
      <c r="AM1347" s="655">
        <v>17887068.060000002</v>
      </c>
    </row>
    <row r="1348" spans="1:39" x14ac:dyDescent="0.2">
      <c r="A1348" s="648">
        <v>2017</v>
      </c>
      <c r="B1348" s="648">
        <v>9</v>
      </c>
      <c r="C1348" s="657" t="s">
        <v>90</v>
      </c>
      <c r="D1348" s="648">
        <v>243</v>
      </c>
      <c r="E1348" s="648" t="s">
        <v>1018</v>
      </c>
      <c r="F1348" s="655">
        <v>1672653</v>
      </c>
      <c r="G1348" s="655">
        <v>12804</v>
      </c>
      <c r="H1348" s="655">
        <v>167292</v>
      </c>
      <c r="I1348" s="655">
        <v>275026</v>
      </c>
      <c r="J1348" s="655">
        <v>153891</v>
      </c>
      <c r="K1348" s="655">
        <v>16945</v>
      </c>
      <c r="L1348" s="655">
        <v>19433</v>
      </c>
      <c r="M1348" s="655">
        <v>80346</v>
      </c>
      <c r="N1348" s="655">
        <v>85065</v>
      </c>
      <c r="O1348" s="655">
        <v>8266</v>
      </c>
      <c r="P1348" s="655">
        <v>14779</v>
      </c>
      <c r="Q1348" s="655">
        <v>16126</v>
      </c>
      <c r="R1348" s="655">
        <v>0</v>
      </c>
      <c r="S1348" s="655">
        <v>7675</v>
      </c>
      <c r="T1348" s="655">
        <v>901</v>
      </c>
      <c r="U1348" s="655">
        <v>44269</v>
      </c>
      <c r="V1348" s="655">
        <v>0</v>
      </c>
      <c r="W1348" s="655">
        <v>45122</v>
      </c>
      <c r="X1348" s="655">
        <v>0</v>
      </c>
      <c r="Y1348" s="655">
        <v>0</v>
      </c>
      <c r="Z1348" s="655">
        <v>0</v>
      </c>
      <c r="AA1348" s="655">
        <v>0</v>
      </c>
      <c r="AB1348" s="655">
        <v>0</v>
      </c>
      <c r="AC1348" s="655">
        <v>0</v>
      </c>
      <c r="AD1348" s="655">
        <v>19111</v>
      </c>
      <c r="AE1348" s="655">
        <v>2601482</v>
      </c>
      <c r="AF1348" s="655">
        <v>46137</v>
      </c>
      <c r="AG1348" s="655">
        <v>136489</v>
      </c>
      <c r="AH1348" s="655">
        <v>0</v>
      </c>
      <c r="AI1348" s="655">
        <v>0</v>
      </c>
      <c r="AJ1348" s="655">
        <v>1332834.71</v>
      </c>
      <c r="AK1348" s="655">
        <v>4116942.71</v>
      </c>
      <c r="AL1348" s="655">
        <v>0</v>
      </c>
      <c r="AM1348" s="655">
        <v>4116942.71</v>
      </c>
    </row>
    <row r="1349" spans="1:39" x14ac:dyDescent="0.2">
      <c r="A1349" s="648">
        <v>2017</v>
      </c>
      <c r="B1349" s="648">
        <v>11</v>
      </c>
      <c r="C1349" s="657" t="s">
        <v>91</v>
      </c>
      <c r="D1349" s="648">
        <v>261</v>
      </c>
      <c r="E1349" s="648" t="s">
        <v>1019</v>
      </c>
      <c r="F1349" s="655">
        <v>71137322</v>
      </c>
      <c r="G1349" s="655">
        <v>0</v>
      </c>
      <c r="H1349" s="655">
        <v>1100928</v>
      </c>
      <c r="I1349" s="655">
        <v>5435795</v>
      </c>
      <c r="J1349" s="655">
        <v>5576039</v>
      </c>
      <c r="K1349" s="655">
        <v>613804</v>
      </c>
      <c r="L1349" s="655">
        <v>642945</v>
      </c>
      <c r="M1349" s="655">
        <v>3450770</v>
      </c>
      <c r="N1349" s="655">
        <v>3272510</v>
      </c>
      <c r="O1349" s="655">
        <v>0</v>
      </c>
      <c r="P1349" s="655">
        <v>599171</v>
      </c>
      <c r="Q1349" s="655">
        <v>657751</v>
      </c>
      <c r="R1349" s="655">
        <v>0</v>
      </c>
      <c r="S1349" s="655">
        <v>269650</v>
      </c>
      <c r="T1349" s="655">
        <v>34273</v>
      </c>
      <c r="U1349" s="655">
        <v>1982811</v>
      </c>
      <c r="V1349" s="655">
        <v>0</v>
      </c>
      <c r="W1349" s="655">
        <v>2668168</v>
      </c>
      <c r="X1349" s="655">
        <v>0</v>
      </c>
      <c r="Y1349" s="655">
        <v>0</v>
      </c>
      <c r="Z1349" s="655">
        <v>0</v>
      </c>
      <c r="AA1349" s="655">
        <v>0</v>
      </c>
      <c r="AB1349" s="655">
        <v>0</v>
      </c>
      <c r="AC1349" s="655">
        <v>0</v>
      </c>
      <c r="AD1349" s="655">
        <v>296281</v>
      </c>
      <c r="AE1349" s="655">
        <v>97145656</v>
      </c>
      <c r="AF1349" s="655">
        <v>1044674</v>
      </c>
      <c r="AG1349" s="655">
        <v>5024429</v>
      </c>
      <c r="AH1349" s="655">
        <v>0</v>
      </c>
      <c r="AI1349" s="655">
        <v>0</v>
      </c>
      <c r="AJ1349" s="655">
        <v>28278276.760000005</v>
      </c>
      <c r="AK1349" s="655">
        <v>131493035.76000001</v>
      </c>
      <c r="AL1349" s="655">
        <v>0</v>
      </c>
      <c r="AM1349" s="655">
        <v>131493035.76000001</v>
      </c>
    </row>
    <row r="1350" spans="1:39" x14ac:dyDescent="0.2">
      <c r="A1350" s="648">
        <v>2017</v>
      </c>
      <c r="B1350" s="648">
        <v>7</v>
      </c>
      <c r="C1350" s="657" t="s">
        <v>92</v>
      </c>
      <c r="D1350" s="648">
        <v>279</v>
      </c>
      <c r="E1350" s="648" t="s">
        <v>1455</v>
      </c>
      <c r="F1350" s="655">
        <v>5550940</v>
      </c>
      <c r="G1350" s="655">
        <v>0</v>
      </c>
      <c r="H1350" s="655">
        <v>142847</v>
      </c>
      <c r="I1350" s="655">
        <v>721780</v>
      </c>
      <c r="J1350" s="655">
        <v>500688</v>
      </c>
      <c r="K1350" s="655">
        <v>55829</v>
      </c>
      <c r="L1350" s="655">
        <v>65692</v>
      </c>
      <c r="M1350" s="655">
        <v>0</v>
      </c>
      <c r="N1350" s="655">
        <v>278908</v>
      </c>
      <c r="O1350" s="655">
        <v>0</v>
      </c>
      <c r="P1350" s="655">
        <v>46529</v>
      </c>
      <c r="Q1350" s="655">
        <v>51960</v>
      </c>
      <c r="R1350" s="655">
        <v>0</v>
      </c>
      <c r="S1350" s="655">
        <v>35366</v>
      </c>
      <c r="T1350" s="655">
        <v>4064</v>
      </c>
      <c r="U1350" s="655">
        <v>258158</v>
      </c>
      <c r="V1350" s="655">
        <v>0</v>
      </c>
      <c r="W1350" s="655">
        <v>45847</v>
      </c>
      <c r="X1350" s="655">
        <v>0</v>
      </c>
      <c r="Y1350" s="655">
        <v>0</v>
      </c>
      <c r="Z1350" s="655">
        <v>0</v>
      </c>
      <c r="AA1350" s="655">
        <v>0</v>
      </c>
      <c r="AB1350" s="655">
        <v>0</v>
      </c>
      <c r="AC1350" s="655">
        <v>6446</v>
      </c>
      <c r="AD1350" s="655">
        <v>45594</v>
      </c>
      <c r="AE1350" s="655">
        <v>7719460</v>
      </c>
      <c r="AF1350" s="655">
        <v>154889</v>
      </c>
      <c r="AG1350" s="655">
        <v>407272</v>
      </c>
      <c r="AH1350" s="655">
        <v>0</v>
      </c>
      <c r="AI1350" s="655">
        <v>0</v>
      </c>
      <c r="AJ1350" s="655">
        <v>762976</v>
      </c>
      <c r="AK1350" s="655">
        <v>9044597</v>
      </c>
      <c r="AL1350" s="655">
        <v>0</v>
      </c>
      <c r="AM1350" s="655">
        <v>9044597</v>
      </c>
    </row>
    <row r="1351" spans="1:39" x14ac:dyDescent="0.2">
      <c r="A1351" s="648">
        <v>2017</v>
      </c>
      <c r="B1351" s="648">
        <v>5</v>
      </c>
      <c r="C1351" s="657" t="s">
        <v>93</v>
      </c>
      <c r="D1351" s="648">
        <v>333</v>
      </c>
      <c r="E1351" s="648" t="s">
        <v>1635</v>
      </c>
      <c r="F1351" s="655">
        <v>2797620</v>
      </c>
      <c r="G1351" s="655">
        <v>0</v>
      </c>
      <c r="H1351" s="655">
        <v>359181</v>
      </c>
      <c r="I1351" s="655">
        <v>397862</v>
      </c>
      <c r="J1351" s="655">
        <v>279560</v>
      </c>
      <c r="K1351" s="655">
        <v>31450</v>
      </c>
      <c r="L1351" s="655">
        <v>33877</v>
      </c>
      <c r="M1351" s="655">
        <v>0</v>
      </c>
      <c r="N1351" s="655">
        <v>143770</v>
      </c>
      <c r="O1351" s="655">
        <v>26465</v>
      </c>
      <c r="P1351" s="655">
        <v>22798</v>
      </c>
      <c r="Q1351" s="655">
        <v>25595</v>
      </c>
      <c r="R1351" s="655">
        <v>420</v>
      </c>
      <c r="S1351" s="655">
        <v>15299</v>
      </c>
      <c r="T1351" s="655">
        <v>1823</v>
      </c>
      <c r="U1351" s="655">
        <v>123229</v>
      </c>
      <c r="V1351" s="655">
        <v>0</v>
      </c>
      <c r="W1351" s="655">
        <v>99036</v>
      </c>
      <c r="X1351" s="655">
        <v>0</v>
      </c>
      <c r="Y1351" s="655">
        <v>0</v>
      </c>
      <c r="Z1351" s="655">
        <v>0</v>
      </c>
      <c r="AA1351" s="655">
        <v>0</v>
      </c>
      <c r="AB1351" s="655">
        <v>0</v>
      </c>
      <c r="AC1351" s="655">
        <v>-10360</v>
      </c>
      <c r="AD1351" s="655">
        <v>36548</v>
      </c>
      <c r="AE1351" s="655">
        <v>4311077</v>
      </c>
      <c r="AF1351" s="655">
        <v>52728</v>
      </c>
      <c r="AG1351" s="655">
        <v>250891</v>
      </c>
      <c r="AH1351" s="655">
        <v>0</v>
      </c>
      <c r="AI1351" s="655">
        <v>0</v>
      </c>
      <c r="AJ1351" s="655">
        <v>1514806.83</v>
      </c>
      <c r="AK1351" s="655">
        <v>6129502.8300000001</v>
      </c>
      <c r="AL1351" s="655">
        <v>0</v>
      </c>
      <c r="AM1351" s="655">
        <v>6129502.8300000001</v>
      </c>
    </row>
    <row r="1352" spans="1:39" x14ac:dyDescent="0.2">
      <c r="A1352" s="648">
        <v>2017</v>
      </c>
      <c r="B1352" s="648">
        <v>12</v>
      </c>
      <c r="C1352" s="657" t="s">
        <v>94</v>
      </c>
      <c r="D1352" s="648">
        <v>355</v>
      </c>
      <c r="E1352" s="648" t="s">
        <v>1020</v>
      </c>
      <c r="F1352" s="655">
        <v>1873162</v>
      </c>
      <c r="G1352" s="655">
        <v>29194</v>
      </c>
      <c r="H1352" s="655">
        <v>151053</v>
      </c>
      <c r="I1352" s="655">
        <v>314457</v>
      </c>
      <c r="J1352" s="655">
        <v>170662</v>
      </c>
      <c r="K1352" s="655">
        <v>16632</v>
      </c>
      <c r="L1352" s="655">
        <v>16965</v>
      </c>
      <c r="M1352" s="655">
        <v>0</v>
      </c>
      <c r="N1352" s="655">
        <v>98352</v>
      </c>
      <c r="O1352" s="655">
        <v>6975</v>
      </c>
      <c r="P1352" s="655">
        <v>18702</v>
      </c>
      <c r="Q1352" s="655">
        <v>20990</v>
      </c>
      <c r="R1352" s="655">
        <v>0</v>
      </c>
      <c r="S1352" s="655">
        <v>9881</v>
      </c>
      <c r="T1352" s="655">
        <v>1182</v>
      </c>
      <c r="U1352" s="655">
        <v>91598</v>
      </c>
      <c r="V1352" s="655">
        <v>0</v>
      </c>
      <c r="W1352" s="655">
        <v>71970</v>
      </c>
      <c r="X1352" s="655">
        <v>0</v>
      </c>
      <c r="Y1352" s="655">
        <v>0</v>
      </c>
      <c r="Z1352" s="655">
        <v>0</v>
      </c>
      <c r="AA1352" s="655">
        <v>0</v>
      </c>
      <c r="AB1352" s="655">
        <v>0</v>
      </c>
      <c r="AC1352" s="655">
        <v>0</v>
      </c>
      <c r="AD1352" s="655">
        <v>24097</v>
      </c>
      <c r="AE1352" s="655">
        <v>2867678</v>
      </c>
      <c r="AF1352" s="655">
        <v>32955</v>
      </c>
      <c r="AG1352" s="655">
        <v>171498</v>
      </c>
      <c r="AH1352" s="655">
        <v>0</v>
      </c>
      <c r="AI1352" s="655">
        <v>0</v>
      </c>
      <c r="AJ1352" s="655">
        <v>808521.31999999983</v>
      </c>
      <c r="AK1352" s="655">
        <v>3880652.32</v>
      </c>
      <c r="AL1352" s="655">
        <v>0</v>
      </c>
      <c r="AM1352" s="655">
        <v>3880652.32</v>
      </c>
    </row>
    <row r="1353" spans="1:39" x14ac:dyDescent="0.2">
      <c r="A1353" s="648">
        <v>2017</v>
      </c>
      <c r="B1353" s="648">
        <v>13</v>
      </c>
      <c r="C1353" s="657" t="s">
        <v>95</v>
      </c>
      <c r="D1353" s="648">
        <v>387</v>
      </c>
      <c r="E1353" s="648" t="s">
        <v>1021</v>
      </c>
      <c r="F1353" s="655">
        <v>9249488</v>
      </c>
      <c r="G1353" s="655">
        <v>231064</v>
      </c>
      <c r="H1353" s="655">
        <v>154620</v>
      </c>
      <c r="I1353" s="655">
        <v>1202598</v>
      </c>
      <c r="J1353" s="655">
        <v>831355</v>
      </c>
      <c r="K1353" s="655">
        <v>97592</v>
      </c>
      <c r="L1353" s="655">
        <v>109453</v>
      </c>
      <c r="M1353" s="655">
        <v>455043</v>
      </c>
      <c r="N1353" s="655">
        <v>459194</v>
      </c>
      <c r="O1353" s="655">
        <v>6791</v>
      </c>
      <c r="P1353" s="655">
        <v>75664</v>
      </c>
      <c r="Q1353" s="655">
        <v>83675</v>
      </c>
      <c r="R1353" s="655">
        <v>0</v>
      </c>
      <c r="S1353" s="655">
        <v>47853</v>
      </c>
      <c r="T1353" s="655">
        <v>5081</v>
      </c>
      <c r="U1353" s="655">
        <v>452306</v>
      </c>
      <c r="V1353" s="655">
        <v>0</v>
      </c>
      <c r="W1353" s="655">
        <v>53986</v>
      </c>
      <c r="X1353" s="655">
        <v>0</v>
      </c>
      <c r="Y1353" s="655">
        <v>0</v>
      </c>
      <c r="Z1353" s="655">
        <v>0</v>
      </c>
      <c r="AA1353" s="655">
        <v>0</v>
      </c>
      <c r="AB1353" s="655">
        <v>0</v>
      </c>
      <c r="AC1353" s="655">
        <v>6450</v>
      </c>
      <c r="AD1353" s="655">
        <v>80187</v>
      </c>
      <c r="AE1353" s="655">
        <v>13442026</v>
      </c>
      <c r="AF1353" s="655">
        <v>299891</v>
      </c>
      <c r="AG1353" s="655">
        <v>708671</v>
      </c>
      <c r="AH1353" s="655">
        <v>0</v>
      </c>
      <c r="AI1353" s="655">
        <v>0</v>
      </c>
      <c r="AJ1353" s="655">
        <v>2475792.9900000021</v>
      </c>
      <c r="AK1353" s="655">
        <v>16926380.990000002</v>
      </c>
      <c r="AL1353" s="655">
        <v>0</v>
      </c>
      <c r="AM1353" s="655">
        <v>16926380.990000002</v>
      </c>
    </row>
    <row r="1354" spans="1:39" x14ac:dyDescent="0.2">
      <c r="A1354" s="648">
        <v>2017</v>
      </c>
      <c r="B1354" s="648">
        <v>11</v>
      </c>
      <c r="C1354" s="657" t="s">
        <v>96</v>
      </c>
      <c r="D1354" s="648">
        <v>414</v>
      </c>
      <c r="E1354" s="648" t="s">
        <v>1022</v>
      </c>
      <c r="F1354" s="655">
        <v>3496414</v>
      </c>
      <c r="G1354" s="655">
        <v>26075</v>
      </c>
      <c r="H1354" s="655">
        <v>131072</v>
      </c>
      <c r="I1354" s="655">
        <v>369785</v>
      </c>
      <c r="J1354" s="655">
        <v>311668</v>
      </c>
      <c r="K1354" s="655">
        <v>35551</v>
      </c>
      <c r="L1354" s="655">
        <v>31709</v>
      </c>
      <c r="M1354" s="655">
        <v>167597</v>
      </c>
      <c r="N1354" s="655">
        <v>163273</v>
      </c>
      <c r="O1354" s="655">
        <v>4154</v>
      </c>
      <c r="P1354" s="655">
        <v>28353</v>
      </c>
      <c r="Q1354" s="655">
        <v>31125</v>
      </c>
      <c r="R1354" s="655">
        <v>0</v>
      </c>
      <c r="S1354" s="655">
        <v>13453</v>
      </c>
      <c r="T1354" s="655">
        <v>1710</v>
      </c>
      <c r="U1354" s="655">
        <v>87143</v>
      </c>
      <c r="V1354" s="655">
        <v>0</v>
      </c>
      <c r="W1354" s="655">
        <v>19338</v>
      </c>
      <c r="X1354" s="655">
        <v>0</v>
      </c>
      <c r="Y1354" s="655">
        <v>0</v>
      </c>
      <c r="Z1354" s="655">
        <v>0</v>
      </c>
      <c r="AA1354" s="655">
        <v>0</v>
      </c>
      <c r="AB1354" s="655">
        <v>0</v>
      </c>
      <c r="AC1354" s="655">
        <v>0</v>
      </c>
      <c r="AD1354" s="655">
        <v>36864</v>
      </c>
      <c r="AE1354" s="655">
        <v>4881556</v>
      </c>
      <c r="AF1354" s="655">
        <v>108752</v>
      </c>
      <c r="AG1354" s="655">
        <v>283948</v>
      </c>
      <c r="AH1354" s="655">
        <v>0</v>
      </c>
      <c r="AI1354" s="655">
        <v>0</v>
      </c>
      <c r="AJ1354" s="655">
        <v>508255.28000000026</v>
      </c>
      <c r="AK1354" s="655">
        <v>5782511.2800000003</v>
      </c>
      <c r="AL1354" s="655">
        <v>0</v>
      </c>
      <c r="AM1354" s="655">
        <v>5782511.2800000003</v>
      </c>
    </row>
    <row r="1355" spans="1:39" x14ac:dyDescent="0.2">
      <c r="A1355" s="648">
        <v>2017</v>
      </c>
      <c r="B1355" s="648">
        <v>12</v>
      </c>
      <c r="C1355" s="657" t="s">
        <v>97</v>
      </c>
      <c r="D1355" s="648">
        <v>423</v>
      </c>
      <c r="E1355" s="648" t="s">
        <v>1023</v>
      </c>
      <c r="F1355" s="655">
        <v>1629213</v>
      </c>
      <c r="G1355" s="655">
        <v>0</v>
      </c>
      <c r="H1355" s="655">
        <v>223462</v>
      </c>
      <c r="I1355" s="655">
        <v>111854</v>
      </c>
      <c r="J1355" s="655">
        <v>148817</v>
      </c>
      <c r="K1355" s="655">
        <v>17714</v>
      </c>
      <c r="L1355" s="655">
        <v>16028</v>
      </c>
      <c r="M1355" s="655">
        <v>0</v>
      </c>
      <c r="N1355" s="655">
        <v>77488</v>
      </c>
      <c r="O1355" s="655">
        <v>7641</v>
      </c>
      <c r="P1355" s="655">
        <v>13281</v>
      </c>
      <c r="Q1355" s="655">
        <v>14906</v>
      </c>
      <c r="R1355" s="655">
        <v>0</v>
      </c>
      <c r="S1355" s="655">
        <v>7785</v>
      </c>
      <c r="T1355" s="655">
        <v>931</v>
      </c>
      <c r="U1355" s="655">
        <v>79687</v>
      </c>
      <c r="V1355" s="655">
        <v>0</v>
      </c>
      <c r="W1355" s="655">
        <v>25784</v>
      </c>
      <c r="X1355" s="655">
        <v>0</v>
      </c>
      <c r="Y1355" s="655">
        <v>0</v>
      </c>
      <c r="Z1355" s="655">
        <v>0</v>
      </c>
      <c r="AA1355" s="655">
        <v>0</v>
      </c>
      <c r="AB1355" s="655">
        <v>0</v>
      </c>
      <c r="AC1355" s="655">
        <v>0</v>
      </c>
      <c r="AD1355" s="655">
        <v>19233</v>
      </c>
      <c r="AE1355" s="655">
        <v>2355358</v>
      </c>
      <c r="AF1355" s="655">
        <v>49433</v>
      </c>
      <c r="AG1355" s="655">
        <v>144429</v>
      </c>
      <c r="AH1355" s="655">
        <v>0</v>
      </c>
      <c r="AI1355" s="655">
        <v>0</v>
      </c>
      <c r="AJ1355" s="655">
        <v>1366710.96</v>
      </c>
      <c r="AK1355" s="655">
        <v>3915930.96</v>
      </c>
      <c r="AL1355" s="655">
        <v>0</v>
      </c>
      <c r="AM1355" s="655">
        <v>3915930.96</v>
      </c>
    </row>
    <row r="1356" spans="1:39" x14ac:dyDescent="0.2">
      <c r="A1356" s="648">
        <v>2017</v>
      </c>
      <c r="B1356" s="648">
        <v>13</v>
      </c>
      <c r="C1356" s="657" t="s">
        <v>78</v>
      </c>
      <c r="D1356" s="648">
        <v>441</v>
      </c>
      <c r="E1356" s="648" t="s">
        <v>1785</v>
      </c>
      <c r="F1356" s="655">
        <v>5209260</v>
      </c>
      <c r="G1356" s="655">
        <v>0</v>
      </c>
      <c r="H1356" s="655">
        <v>758501</v>
      </c>
      <c r="I1356" s="655">
        <v>561737</v>
      </c>
      <c r="J1356" s="655">
        <v>417738</v>
      </c>
      <c r="K1356" s="655">
        <v>41786</v>
      </c>
      <c r="L1356" s="655">
        <v>46543</v>
      </c>
      <c r="M1356" s="655">
        <v>0</v>
      </c>
      <c r="N1356" s="655">
        <v>251972</v>
      </c>
      <c r="O1356" s="655">
        <v>0</v>
      </c>
      <c r="P1356" s="655">
        <v>42497</v>
      </c>
      <c r="Q1356" s="655">
        <v>46996</v>
      </c>
      <c r="R1356" s="655">
        <v>0</v>
      </c>
      <c r="S1356" s="655">
        <v>25872</v>
      </c>
      <c r="T1356" s="655">
        <v>2757</v>
      </c>
      <c r="U1356" s="655">
        <v>181628</v>
      </c>
      <c r="V1356" s="655">
        <v>0</v>
      </c>
      <c r="W1356" s="655">
        <v>85731</v>
      </c>
      <c r="X1356" s="655">
        <v>0</v>
      </c>
      <c r="Y1356" s="655">
        <v>0</v>
      </c>
      <c r="Z1356" s="655">
        <v>0</v>
      </c>
      <c r="AA1356" s="655">
        <v>0</v>
      </c>
      <c r="AB1356" s="655">
        <v>0</v>
      </c>
      <c r="AC1356" s="655">
        <v>0</v>
      </c>
      <c r="AD1356" s="655">
        <v>49262</v>
      </c>
      <c r="AE1356" s="655">
        <v>7623756</v>
      </c>
      <c r="AF1356" s="655">
        <v>191139</v>
      </c>
      <c r="AG1356" s="655">
        <v>453570</v>
      </c>
      <c r="AH1356" s="655">
        <v>0</v>
      </c>
      <c r="AI1356" s="655">
        <v>0</v>
      </c>
      <c r="AJ1356" s="655">
        <v>1810306.7800000012</v>
      </c>
      <c r="AK1356" s="655">
        <v>10078771.780000001</v>
      </c>
      <c r="AL1356" s="655">
        <v>0</v>
      </c>
      <c r="AM1356" s="655">
        <v>10078771.780000001</v>
      </c>
    </row>
    <row r="1357" spans="1:39" x14ac:dyDescent="0.2">
      <c r="A1357" s="648">
        <v>2017</v>
      </c>
      <c r="B1357" s="648">
        <v>11</v>
      </c>
      <c r="C1357" s="657" t="s">
        <v>98</v>
      </c>
      <c r="D1357" s="648">
        <v>472</v>
      </c>
      <c r="E1357" s="648" t="s">
        <v>1024</v>
      </c>
      <c r="F1357" s="655">
        <v>10563396</v>
      </c>
      <c r="G1357" s="655">
        <v>117014</v>
      </c>
      <c r="H1357" s="655">
        <v>111427</v>
      </c>
      <c r="I1357" s="655">
        <v>860257</v>
      </c>
      <c r="J1357" s="655">
        <v>839029</v>
      </c>
      <c r="K1357" s="655">
        <v>89367</v>
      </c>
      <c r="L1357" s="655">
        <v>105650</v>
      </c>
      <c r="M1357" s="655">
        <v>0</v>
      </c>
      <c r="N1357" s="655">
        <v>488213</v>
      </c>
      <c r="O1357" s="655">
        <v>0</v>
      </c>
      <c r="P1357" s="655">
        <v>86403</v>
      </c>
      <c r="Q1357" s="655">
        <v>94850</v>
      </c>
      <c r="R1357" s="655">
        <v>0</v>
      </c>
      <c r="S1357" s="655">
        <v>40228</v>
      </c>
      <c r="T1357" s="655">
        <v>5113</v>
      </c>
      <c r="U1357" s="655">
        <v>352719</v>
      </c>
      <c r="V1357" s="655">
        <v>0</v>
      </c>
      <c r="W1357" s="655">
        <v>126366</v>
      </c>
      <c r="X1357" s="655">
        <v>0</v>
      </c>
      <c r="Y1357" s="655">
        <v>0</v>
      </c>
      <c r="Z1357" s="655">
        <v>0</v>
      </c>
      <c r="AA1357" s="655">
        <v>0</v>
      </c>
      <c r="AB1357" s="655">
        <v>0</v>
      </c>
      <c r="AC1357" s="655">
        <v>-6446</v>
      </c>
      <c r="AD1357" s="655">
        <v>62740</v>
      </c>
      <c r="AE1357" s="655">
        <v>13810846</v>
      </c>
      <c r="AF1357" s="655">
        <v>385574</v>
      </c>
      <c r="AG1357" s="655">
        <v>591481</v>
      </c>
      <c r="AH1357" s="655">
        <v>0</v>
      </c>
      <c r="AI1357" s="655">
        <v>0</v>
      </c>
      <c r="AJ1357" s="655">
        <v>2639842.7699999996</v>
      </c>
      <c r="AK1357" s="655">
        <v>17427743.77</v>
      </c>
      <c r="AL1357" s="655">
        <v>0</v>
      </c>
      <c r="AM1357" s="655">
        <v>17427743.77</v>
      </c>
    </row>
    <row r="1358" spans="1:39" x14ac:dyDescent="0.2">
      <c r="A1358" s="648">
        <v>2017</v>
      </c>
      <c r="B1358" s="648">
        <v>12</v>
      </c>
      <c r="C1358" s="657" t="s">
        <v>99</v>
      </c>
      <c r="D1358" s="648">
        <v>504</v>
      </c>
      <c r="E1358" s="648" t="s">
        <v>1025</v>
      </c>
      <c r="F1358" s="655">
        <v>4208354</v>
      </c>
      <c r="G1358" s="655">
        <v>22143</v>
      </c>
      <c r="H1358" s="655">
        <v>184212</v>
      </c>
      <c r="I1358" s="655">
        <v>483252</v>
      </c>
      <c r="J1358" s="655">
        <v>390321</v>
      </c>
      <c r="K1358" s="655">
        <v>44101</v>
      </c>
      <c r="L1358" s="655">
        <v>44389</v>
      </c>
      <c r="M1358" s="655">
        <v>0</v>
      </c>
      <c r="N1358" s="655">
        <v>210927</v>
      </c>
      <c r="O1358" s="655">
        <v>3665</v>
      </c>
      <c r="P1358" s="655">
        <v>35345</v>
      </c>
      <c r="Q1358" s="655">
        <v>39668</v>
      </c>
      <c r="R1358" s="655">
        <v>0</v>
      </c>
      <c r="S1358" s="655">
        <v>21552</v>
      </c>
      <c r="T1358" s="655">
        <v>2576</v>
      </c>
      <c r="U1358" s="655">
        <v>130195</v>
      </c>
      <c r="V1358" s="655">
        <v>0</v>
      </c>
      <c r="W1358" s="655">
        <v>40647</v>
      </c>
      <c r="X1358" s="655">
        <v>0</v>
      </c>
      <c r="Y1358" s="655">
        <v>0</v>
      </c>
      <c r="Z1358" s="655">
        <v>0</v>
      </c>
      <c r="AA1358" s="655">
        <v>0</v>
      </c>
      <c r="AB1358" s="655">
        <v>0</v>
      </c>
      <c r="AC1358" s="655">
        <v>0</v>
      </c>
      <c r="AD1358" s="655">
        <v>44179</v>
      </c>
      <c r="AE1358" s="655">
        <v>5817168</v>
      </c>
      <c r="AF1358" s="655">
        <v>135116</v>
      </c>
      <c r="AG1358" s="655">
        <v>341063</v>
      </c>
      <c r="AH1358" s="655">
        <v>0</v>
      </c>
      <c r="AI1358" s="655">
        <v>0</v>
      </c>
      <c r="AJ1358" s="655">
        <v>1065540</v>
      </c>
      <c r="AK1358" s="655">
        <v>7358887</v>
      </c>
      <c r="AL1358" s="655">
        <v>0</v>
      </c>
      <c r="AM1358" s="655">
        <v>7358887</v>
      </c>
    </row>
    <row r="1359" spans="1:39" x14ac:dyDescent="0.2">
      <c r="A1359" s="648">
        <v>2017</v>
      </c>
      <c r="B1359" s="648">
        <v>11</v>
      </c>
      <c r="C1359" s="657" t="s">
        <v>100</v>
      </c>
      <c r="D1359" s="648">
        <v>513</v>
      </c>
      <c r="E1359" s="648" t="s">
        <v>1026</v>
      </c>
      <c r="F1359" s="655">
        <v>2279827</v>
      </c>
      <c r="G1359" s="655">
        <v>0</v>
      </c>
      <c r="H1359" s="655">
        <v>27623</v>
      </c>
      <c r="I1359" s="655">
        <v>222776</v>
      </c>
      <c r="J1359" s="655">
        <v>209909</v>
      </c>
      <c r="K1359" s="655">
        <v>20975</v>
      </c>
      <c r="L1359" s="655">
        <v>22480</v>
      </c>
      <c r="M1359" s="655">
        <v>110591</v>
      </c>
      <c r="N1359" s="655">
        <v>106954</v>
      </c>
      <c r="O1359" s="655">
        <v>3594</v>
      </c>
      <c r="P1359" s="655">
        <v>18669</v>
      </c>
      <c r="Q1359" s="655">
        <v>20494</v>
      </c>
      <c r="R1359" s="655">
        <v>0</v>
      </c>
      <c r="S1359" s="655">
        <v>8813</v>
      </c>
      <c r="T1359" s="655">
        <v>1120</v>
      </c>
      <c r="U1359" s="655">
        <v>78986</v>
      </c>
      <c r="V1359" s="655">
        <v>0</v>
      </c>
      <c r="W1359" s="655">
        <v>19338</v>
      </c>
      <c r="X1359" s="655">
        <v>0</v>
      </c>
      <c r="Y1359" s="655">
        <v>0</v>
      </c>
      <c r="Z1359" s="655">
        <v>0</v>
      </c>
      <c r="AA1359" s="655">
        <v>0</v>
      </c>
      <c r="AB1359" s="655">
        <v>0</v>
      </c>
      <c r="AC1359" s="655">
        <v>0</v>
      </c>
      <c r="AD1359" s="655">
        <v>17191</v>
      </c>
      <c r="AE1359" s="655">
        <v>3134958</v>
      </c>
      <c r="AF1359" s="655">
        <v>75797</v>
      </c>
      <c r="AG1359" s="655">
        <v>155188</v>
      </c>
      <c r="AH1359" s="655">
        <v>0</v>
      </c>
      <c r="AI1359" s="655">
        <v>0</v>
      </c>
      <c r="AJ1359" s="655">
        <v>1425893</v>
      </c>
      <c r="AK1359" s="655">
        <v>4791836</v>
      </c>
      <c r="AL1359" s="655">
        <v>0</v>
      </c>
      <c r="AM1359" s="655">
        <v>4791836</v>
      </c>
    </row>
    <row r="1360" spans="1:39" x14ac:dyDescent="0.2">
      <c r="A1360" s="648">
        <v>2017</v>
      </c>
      <c r="B1360" s="648">
        <v>7</v>
      </c>
      <c r="C1360" s="657" t="s">
        <v>101</v>
      </c>
      <c r="D1360" s="648">
        <v>540</v>
      </c>
      <c r="E1360" s="648" t="s">
        <v>1027</v>
      </c>
      <c r="F1360" s="655">
        <v>3813048</v>
      </c>
      <c r="G1360" s="655">
        <v>12446</v>
      </c>
      <c r="H1360" s="655">
        <v>202048</v>
      </c>
      <c r="I1360" s="655">
        <v>433213</v>
      </c>
      <c r="J1360" s="655">
        <v>329727</v>
      </c>
      <c r="K1360" s="655">
        <v>36587</v>
      </c>
      <c r="L1360" s="655">
        <v>34770</v>
      </c>
      <c r="M1360" s="655">
        <v>0</v>
      </c>
      <c r="N1360" s="655">
        <v>186512</v>
      </c>
      <c r="O1360" s="655">
        <v>0</v>
      </c>
      <c r="P1360" s="655">
        <v>31020</v>
      </c>
      <c r="Q1360" s="655">
        <v>34640</v>
      </c>
      <c r="R1360" s="655">
        <v>0</v>
      </c>
      <c r="S1360" s="655">
        <v>23650</v>
      </c>
      <c r="T1360" s="655">
        <v>2718</v>
      </c>
      <c r="U1360" s="655">
        <v>186509</v>
      </c>
      <c r="V1360" s="655">
        <v>0</v>
      </c>
      <c r="W1360" s="655">
        <v>83223</v>
      </c>
      <c r="X1360" s="655">
        <v>0</v>
      </c>
      <c r="Y1360" s="655">
        <v>0</v>
      </c>
      <c r="Z1360" s="655">
        <v>0</v>
      </c>
      <c r="AA1360" s="655">
        <v>0</v>
      </c>
      <c r="AB1360" s="655">
        <v>0</v>
      </c>
      <c r="AC1360" s="655">
        <v>0</v>
      </c>
      <c r="AD1360" s="655">
        <v>34726</v>
      </c>
      <c r="AE1360" s="655">
        <v>5375385</v>
      </c>
      <c r="AF1360" s="655">
        <v>69206</v>
      </c>
      <c r="AG1360" s="655">
        <v>310439</v>
      </c>
      <c r="AH1360" s="655">
        <v>0</v>
      </c>
      <c r="AI1360" s="655">
        <v>0</v>
      </c>
      <c r="AJ1360" s="655">
        <v>2487537.7800000012</v>
      </c>
      <c r="AK1360" s="655">
        <v>8242567.7800000012</v>
      </c>
      <c r="AL1360" s="655">
        <v>0</v>
      </c>
      <c r="AM1360" s="655">
        <v>8242567.7800000012</v>
      </c>
    </row>
    <row r="1361" spans="1:39" x14ac:dyDescent="0.2">
      <c r="A1361" s="648">
        <v>2017</v>
      </c>
      <c r="B1361" s="648">
        <v>13</v>
      </c>
      <c r="C1361" s="657" t="s">
        <v>102</v>
      </c>
      <c r="D1361" s="648">
        <v>549</v>
      </c>
      <c r="E1361" s="648" t="s">
        <v>1028</v>
      </c>
      <c r="F1361" s="655">
        <v>3163021</v>
      </c>
      <c r="G1361" s="655">
        <v>0</v>
      </c>
      <c r="H1361" s="655">
        <v>117742</v>
      </c>
      <c r="I1361" s="655">
        <v>296727</v>
      </c>
      <c r="J1361" s="655">
        <v>292643</v>
      </c>
      <c r="K1361" s="655">
        <v>30958</v>
      </c>
      <c r="L1361" s="655">
        <v>34035</v>
      </c>
      <c r="M1361" s="655">
        <v>0</v>
      </c>
      <c r="N1361" s="655">
        <v>152090</v>
      </c>
      <c r="O1361" s="655">
        <v>7294</v>
      </c>
      <c r="P1361" s="655">
        <v>25994</v>
      </c>
      <c r="Q1361" s="655">
        <v>28746</v>
      </c>
      <c r="R1361" s="655">
        <v>0</v>
      </c>
      <c r="S1361" s="655">
        <v>15616</v>
      </c>
      <c r="T1361" s="655">
        <v>1664</v>
      </c>
      <c r="U1361" s="655">
        <v>124801</v>
      </c>
      <c r="V1361" s="655">
        <v>0</v>
      </c>
      <c r="W1361" s="655">
        <v>51568</v>
      </c>
      <c r="X1361" s="655">
        <v>0</v>
      </c>
      <c r="Y1361" s="655">
        <v>0</v>
      </c>
      <c r="Z1361" s="655">
        <v>0</v>
      </c>
      <c r="AA1361" s="655">
        <v>0</v>
      </c>
      <c r="AB1361" s="655">
        <v>0</v>
      </c>
      <c r="AC1361" s="655">
        <v>0</v>
      </c>
      <c r="AD1361" s="655">
        <v>34775</v>
      </c>
      <c r="AE1361" s="655">
        <v>4308124</v>
      </c>
      <c r="AF1361" s="655">
        <v>98865</v>
      </c>
      <c r="AG1361" s="655">
        <v>251302</v>
      </c>
      <c r="AH1361" s="655">
        <v>0</v>
      </c>
      <c r="AI1361" s="655">
        <v>0</v>
      </c>
      <c r="AJ1361" s="655">
        <v>1386728.6100000003</v>
      </c>
      <c r="AK1361" s="655">
        <v>6045019.6100000003</v>
      </c>
      <c r="AL1361" s="655">
        <v>0</v>
      </c>
      <c r="AM1361" s="655">
        <v>6045019.6100000003</v>
      </c>
    </row>
    <row r="1362" spans="1:39" x14ac:dyDescent="0.2">
      <c r="A1362" s="648">
        <v>2017</v>
      </c>
      <c r="B1362" s="648">
        <v>10</v>
      </c>
      <c r="C1362" s="657" t="s">
        <v>103</v>
      </c>
      <c r="D1362" s="648">
        <v>576</v>
      </c>
      <c r="E1362" s="648" t="s">
        <v>1029</v>
      </c>
      <c r="F1362" s="655">
        <v>3602849</v>
      </c>
      <c r="G1362" s="655">
        <v>0</v>
      </c>
      <c r="H1362" s="655">
        <v>158524</v>
      </c>
      <c r="I1362" s="655">
        <v>268812</v>
      </c>
      <c r="J1362" s="655">
        <v>305387</v>
      </c>
      <c r="K1362" s="655">
        <v>30238</v>
      </c>
      <c r="L1362" s="655">
        <v>30593</v>
      </c>
      <c r="M1362" s="655">
        <v>0</v>
      </c>
      <c r="N1362" s="655">
        <v>169531</v>
      </c>
      <c r="O1362" s="655">
        <v>4797</v>
      </c>
      <c r="P1362" s="655">
        <v>29548</v>
      </c>
      <c r="Q1362" s="655">
        <v>32464</v>
      </c>
      <c r="R1362" s="655">
        <v>0</v>
      </c>
      <c r="S1362" s="655">
        <v>15839</v>
      </c>
      <c r="T1362" s="655">
        <v>1843</v>
      </c>
      <c r="U1362" s="655">
        <v>0</v>
      </c>
      <c r="V1362" s="655">
        <v>0</v>
      </c>
      <c r="W1362" s="655">
        <v>27073</v>
      </c>
      <c r="X1362" s="655">
        <v>0</v>
      </c>
      <c r="Y1362" s="655">
        <v>0</v>
      </c>
      <c r="Z1362" s="655">
        <v>0</v>
      </c>
      <c r="AA1362" s="655">
        <v>0</v>
      </c>
      <c r="AB1362" s="655">
        <v>0</v>
      </c>
      <c r="AC1362" s="655">
        <v>0</v>
      </c>
      <c r="AD1362" s="655">
        <v>39768</v>
      </c>
      <c r="AE1362" s="655">
        <v>4637730</v>
      </c>
      <c r="AF1362" s="655">
        <v>85683</v>
      </c>
      <c r="AG1362" s="655">
        <v>252956</v>
      </c>
      <c r="AH1362" s="655">
        <v>0</v>
      </c>
      <c r="AI1362" s="655">
        <v>0</v>
      </c>
      <c r="AJ1362" s="655">
        <v>1807727.9800000004</v>
      </c>
      <c r="AK1362" s="655">
        <v>6784096.9800000004</v>
      </c>
      <c r="AL1362" s="655">
        <v>0</v>
      </c>
      <c r="AM1362" s="655">
        <v>6784096.9800000004</v>
      </c>
    </row>
    <row r="1363" spans="1:39" x14ac:dyDescent="0.2">
      <c r="A1363" s="648">
        <v>2017</v>
      </c>
      <c r="B1363" s="648">
        <v>9</v>
      </c>
      <c r="C1363" s="657" t="s">
        <v>104</v>
      </c>
      <c r="D1363" s="648">
        <v>585</v>
      </c>
      <c r="E1363" s="648" t="s">
        <v>1030</v>
      </c>
      <c r="F1363" s="655">
        <v>3730193</v>
      </c>
      <c r="G1363" s="655">
        <v>15555</v>
      </c>
      <c r="H1363" s="655">
        <v>38545</v>
      </c>
      <c r="I1363" s="655">
        <v>376011</v>
      </c>
      <c r="J1363" s="655">
        <v>330802</v>
      </c>
      <c r="K1363" s="655">
        <v>36432</v>
      </c>
      <c r="L1363" s="655">
        <v>33425</v>
      </c>
      <c r="M1363" s="655">
        <v>0</v>
      </c>
      <c r="N1363" s="655">
        <v>179554</v>
      </c>
      <c r="O1363" s="655">
        <v>569</v>
      </c>
      <c r="P1363" s="655">
        <v>38854</v>
      </c>
      <c r="Q1363" s="655">
        <v>42397</v>
      </c>
      <c r="R1363" s="655">
        <v>0</v>
      </c>
      <c r="S1363" s="655">
        <v>16201</v>
      </c>
      <c r="T1363" s="655">
        <v>1902</v>
      </c>
      <c r="U1363" s="655">
        <v>135007</v>
      </c>
      <c r="V1363" s="655">
        <v>0</v>
      </c>
      <c r="W1363" s="655">
        <v>87089</v>
      </c>
      <c r="X1363" s="655">
        <v>0</v>
      </c>
      <c r="Y1363" s="655">
        <v>0</v>
      </c>
      <c r="Z1363" s="655">
        <v>0</v>
      </c>
      <c r="AA1363" s="655">
        <v>0</v>
      </c>
      <c r="AB1363" s="655">
        <v>0</v>
      </c>
      <c r="AC1363" s="655">
        <v>0</v>
      </c>
      <c r="AD1363" s="655">
        <v>38712</v>
      </c>
      <c r="AE1363" s="655">
        <v>5023824</v>
      </c>
      <c r="AF1363" s="655">
        <v>151593</v>
      </c>
      <c r="AG1363" s="655">
        <v>302657</v>
      </c>
      <c r="AH1363" s="655">
        <v>0</v>
      </c>
      <c r="AI1363" s="655">
        <v>0</v>
      </c>
      <c r="AJ1363" s="655">
        <v>1849348.3499999996</v>
      </c>
      <c r="AK1363" s="655">
        <v>7327422.3499999996</v>
      </c>
      <c r="AL1363" s="655">
        <v>0</v>
      </c>
      <c r="AM1363" s="655">
        <v>7327422.3499999996</v>
      </c>
    </row>
    <row r="1364" spans="1:39" x14ac:dyDescent="0.2">
      <c r="A1364" s="648">
        <v>2017</v>
      </c>
      <c r="B1364" s="648">
        <v>7</v>
      </c>
      <c r="C1364" s="657" t="s">
        <v>105</v>
      </c>
      <c r="D1364" s="648">
        <v>594</v>
      </c>
      <c r="E1364" s="648" t="s">
        <v>1031</v>
      </c>
      <c r="F1364" s="655">
        <v>5285375</v>
      </c>
      <c r="G1364" s="655">
        <v>0</v>
      </c>
      <c r="H1364" s="655">
        <v>129143</v>
      </c>
      <c r="I1364" s="655">
        <v>667779</v>
      </c>
      <c r="J1364" s="655">
        <v>449762</v>
      </c>
      <c r="K1364" s="655">
        <v>47862</v>
      </c>
      <c r="L1364" s="655">
        <v>56059</v>
      </c>
      <c r="M1364" s="655">
        <v>0</v>
      </c>
      <c r="N1364" s="655">
        <v>264498</v>
      </c>
      <c r="O1364" s="655">
        <v>0</v>
      </c>
      <c r="P1364" s="655">
        <v>43438</v>
      </c>
      <c r="Q1364" s="655">
        <v>48509</v>
      </c>
      <c r="R1364" s="655">
        <v>0</v>
      </c>
      <c r="S1364" s="655">
        <v>33538</v>
      </c>
      <c r="T1364" s="655">
        <v>3854</v>
      </c>
      <c r="U1364" s="655">
        <v>206767</v>
      </c>
      <c r="V1364" s="655">
        <v>0</v>
      </c>
      <c r="W1364" s="655">
        <v>184077</v>
      </c>
      <c r="X1364" s="655">
        <v>0</v>
      </c>
      <c r="Y1364" s="655">
        <v>0</v>
      </c>
      <c r="Z1364" s="655">
        <v>0</v>
      </c>
      <c r="AA1364" s="655">
        <v>0</v>
      </c>
      <c r="AB1364" s="655">
        <v>0</v>
      </c>
      <c r="AC1364" s="655">
        <v>-1419</v>
      </c>
      <c r="AD1364" s="655">
        <v>46009</v>
      </c>
      <c r="AE1364" s="655">
        <v>7373233</v>
      </c>
      <c r="AF1364" s="655">
        <v>88979</v>
      </c>
      <c r="AG1364" s="655">
        <v>405019</v>
      </c>
      <c r="AH1364" s="655">
        <v>0</v>
      </c>
      <c r="AI1364" s="655">
        <v>0</v>
      </c>
      <c r="AJ1364" s="655">
        <v>746474.58000000007</v>
      </c>
      <c r="AK1364" s="655">
        <v>8613705.5800000001</v>
      </c>
      <c r="AL1364" s="655">
        <v>0</v>
      </c>
      <c r="AM1364" s="655">
        <v>8613705.5800000001</v>
      </c>
    </row>
    <row r="1365" spans="1:39" x14ac:dyDescent="0.2">
      <c r="A1365" s="648">
        <v>2017</v>
      </c>
      <c r="B1365" s="648">
        <v>9</v>
      </c>
      <c r="C1365" s="657" t="s">
        <v>106</v>
      </c>
      <c r="D1365" s="648">
        <v>603</v>
      </c>
      <c r="E1365" s="648" t="s">
        <v>1032</v>
      </c>
      <c r="F1365" s="655">
        <v>1259031</v>
      </c>
      <c r="G1365" s="655">
        <v>5088</v>
      </c>
      <c r="H1365" s="655">
        <v>12382</v>
      </c>
      <c r="I1365" s="655">
        <v>95452</v>
      </c>
      <c r="J1365" s="655">
        <v>99571</v>
      </c>
      <c r="K1365" s="655">
        <v>7170</v>
      </c>
      <c r="L1365" s="655">
        <v>12098</v>
      </c>
      <c r="M1365" s="655">
        <v>0</v>
      </c>
      <c r="N1365" s="655">
        <v>58576</v>
      </c>
      <c r="O1365" s="655">
        <v>2083</v>
      </c>
      <c r="P1365" s="655">
        <v>10157</v>
      </c>
      <c r="Q1365" s="655">
        <v>11083</v>
      </c>
      <c r="R1365" s="655">
        <v>0</v>
      </c>
      <c r="S1365" s="655">
        <v>5331</v>
      </c>
      <c r="T1365" s="655">
        <v>625</v>
      </c>
      <c r="U1365" s="655">
        <v>0</v>
      </c>
      <c r="V1365" s="655">
        <v>0</v>
      </c>
      <c r="W1365" s="655">
        <v>64460</v>
      </c>
      <c r="X1365" s="655">
        <v>0</v>
      </c>
      <c r="Y1365" s="655">
        <v>0</v>
      </c>
      <c r="Z1365" s="655">
        <v>0</v>
      </c>
      <c r="AA1365" s="655">
        <v>0</v>
      </c>
      <c r="AB1365" s="655">
        <v>0</v>
      </c>
      <c r="AC1365" s="655">
        <v>0</v>
      </c>
      <c r="AD1365" s="655">
        <v>13472</v>
      </c>
      <c r="AE1365" s="655">
        <v>1629635</v>
      </c>
      <c r="AF1365" s="655">
        <v>29660</v>
      </c>
      <c r="AG1365" s="655">
        <v>107829</v>
      </c>
      <c r="AH1365" s="655">
        <v>0</v>
      </c>
      <c r="AI1365" s="655">
        <v>0</v>
      </c>
      <c r="AJ1365" s="655">
        <v>53263.080000000075</v>
      </c>
      <c r="AK1365" s="655">
        <v>1820387.08</v>
      </c>
      <c r="AL1365" s="655">
        <v>0</v>
      </c>
      <c r="AM1365" s="655">
        <v>1820387.08</v>
      </c>
    </row>
    <row r="1366" spans="1:39" x14ac:dyDescent="0.2">
      <c r="A1366" s="648">
        <v>2017</v>
      </c>
      <c r="B1366" s="648">
        <v>10</v>
      </c>
      <c r="C1366" s="657" t="s">
        <v>107</v>
      </c>
      <c r="D1366" s="648">
        <v>609</v>
      </c>
      <c r="E1366" s="648" t="s">
        <v>1033</v>
      </c>
      <c r="F1366" s="655">
        <v>9870848</v>
      </c>
      <c r="G1366" s="655">
        <v>0</v>
      </c>
      <c r="H1366" s="655">
        <v>159245</v>
      </c>
      <c r="I1366" s="655">
        <v>1002527</v>
      </c>
      <c r="J1366" s="655">
        <v>830643</v>
      </c>
      <c r="K1366" s="655">
        <v>91308</v>
      </c>
      <c r="L1366" s="655">
        <v>85109</v>
      </c>
      <c r="M1366" s="655">
        <v>474145</v>
      </c>
      <c r="N1366" s="655">
        <v>471757</v>
      </c>
      <c r="O1366" s="655">
        <v>0</v>
      </c>
      <c r="P1366" s="655">
        <v>88213</v>
      </c>
      <c r="Q1366" s="655">
        <v>96917</v>
      </c>
      <c r="R1366" s="655">
        <v>0</v>
      </c>
      <c r="S1366" s="655">
        <v>44075</v>
      </c>
      <c r="T1366" s="655">
        <v>5130</v>
      </c>
      <c r="U1366" s="655">
        <v>153674</v>
      </c>
      <c r="V1366" s="655">
        <v>0</v>
      </c>
      <c r="W1366" s="655">
        <v>217517</v>
      </c>
      <c r="X1366" s="655">
        <v>0</v>
      </c>
      <c r="Y1366" s="655">
        <v>0</v>
      </c>
      <c r="Z1366" s="655">
        <v>0</v>
      </c>
      <c r="AA1366" s="655">
        <v>0</v>
      </c>
      <c r="AB1366" s="655">
        <v>0</v>
      </c>
      <c r="AC1366" s="655">
        <v>0</v>
      </c>
      <c r="AD1366" s="655">
        <v>92775</v>
      </c>
      <c r="AE1366" s="655">
        <v>13498333</v>
      </c>
      <c r="AF1366" s="655">
        <v>283413</v>
      </c>
      <c r="AG1366" s="655">
        <v>787200</v>
      </c>
      <c r="AH1366" s="655">
        <v>0</v>
      </c>
      <c r="AI1366" s="655">
        <v>0</v>
      </c>
      <c r="AJ1366" s="655">
        <v>3029122.6199999973</v>
      </c>
      <c r="AK1366" s="655">
        <v>17598068.619999997</v>
      </c>
      <c r="AL1366" s="655">
        <v>0</v>
      </c>
      <c r="AM1366" s="655">
        <v>17598068.619999997</v>
      </c>
    </row>
    <row r="1367" spans="1:39" x14ac:dyDescent="0.2">
      <c r="A1367" s="648">
        <v>2017</v>
      </c>
      <c r="B1367" s="648">
        <v>9</v>
      </c>
      <c r="C1367" s="657" t="s">
        <v>108</v>
      </c>
      <c r="D1367" s="648">
        <v>621</v>
      </c>
      <c r="E1367" s="648" t="s">
        <v>1034</v>
      </c>
      <c r="F1367" s="655">
        <v>27039239</v>
      </c>
      <c r="G1367" s="655">
        <v>0</v>
      </c>
      <c r="H1367" s="655">
        <v>316861</v>
      </c>
      <c r="I1367" s="655">
        <v>2647338</v>
      </c>
      <c r="J1367" s="655">
        <v>2240423</v>
      </c>
      <c r="K1367" s="655">
        <v>256518</v>
      </c>
      <c r="L1367" s="655">
        <v>257086</v>
      </c>
      <c r="M1367" s="655">
        <v>1297072</v>
      </c>
      <c r="N1367" s="655">
        <v>1294807</v>
      </c>
      <c r="O1367" s="655">
        <v>0</v>
      </c>
      <c r="P1367" s="655">
        <v>228502</v>
      </c>
      <c r="Q1367" s="655">
        <v>249337</v>
      </c>
      <c r="R1367" s="655">
        <v>0</v>
      </c>
      <c r="S1367" s="655">
        <v>116831</v>
      </c>
      <c r="T1367" s="655">
        <v>13719</v>
      </c>
      <c r="U1367" s="655">
        <v>1212994</v>
      </c>
      <c r="V1367" s="655">
        <v>228864</v>
      </c>
      <c r="W1367" s="655">
        <v>520403</v>
      </c>
      <c r="X1367" s="655">
        <v>0</v>
      </c>
      <c r="Y1367" s="655">
        <v>0</v>
      </c>
      <c r="Z1367" s="655">
        <v>0</v>
      </c>
      <c r="AA1367" s="655">
        <v>0</v>
      </c>
      <c r="AB1367" s="655">
        <v>0</v>
      </c>
      <c r="AC1367" s="655">
        <v>0</v>
      </c>
      <c r="AD1367" s="655">
        <v>216811</v>
      </c>
      <c r="AE1367" s="655">
        <v>37703183</v>
      </c>
      <c r="AF1367" s="655">
        <v>945809</v>
      </c>
      <c r="AG1367" s="655">
        <v>2066339</v>
      </c>
      <c r="AH1367" s="655">
        <v>0</v>
      </c>
      <c r="AI1367" s="655">
        <v>0</v>
      </c>
      <c r="AJ1367" s="655">
        <v>13429728.909999996</v>
      </c>
      <c r="AK1367" s="655">
        <v>54145059.909999996</v>
      </c>
      <c r="AL1367" s="655">
        <v>0</v>
      </c>
      <c r="AM1367" s="655">
        <v>54145059.909999996</v>
      </c>
    </row>
    <row r="1368" spans="1:39" x14ac:dyDescent="0.2">
      <c r="A1368" s="648">
        <v>2017</v>
      </c>
      <c r="B1368" s="648">
        <v>15</v>
      </c>
      <c r="C1368" s="657" t="s">
        <v>112</v>
      </c>
      <c r="D1368" s="648">
        <v>657</v>
      </c>
      <c r="E1368" s="648" t="s">
        <v>1495</v>
      </c>
      <c r="F1368" s="655">
        <v>5795466</v>
      </c>
      <c r="G1368" s="655">
        <v>0</v>
      </c>
      <c r="H1368" s="655">
        <v>163674</v>
      </c>
      <c r="I1368" s="655">
        <v>769367</v>
      </c>
      <c r="J1368" s="655">
        <v>511902</v>
      </c>
      <c r="K1368" s="655">
        <v>54077</v>
      </c>
      <c r="L1368" s="655">
        <v>66079</v>
      </c>
      <c r="M1368" s="655">
        <v>0</v>
      </c>
      <c r="N1368" s="655">
        <v>285960</v>
      </c>
      <c r="O1368" s="655">
        <v>0</v>
      </c>
      <c r="P1368" s="655">
        <v>48187</v>
      </c>
      <c r="Q1368" s="655">
        <v>52934</v>
      </c>
      <c r="R1368" s="655">
        <v>0</v>
      </c>
      <c r="S1368" s="655">
        <v>28646</v>
      </c>
      <c r="T1368" s="655">
        <v>3108</v>
      </c>
      <c r="U1368" s="655">
        <v>275648</v>
      </c>
      <c r="V1368" s="655">
        <v>0</v>
      </c>
      <c r="W1368" s="655">
        <v>153872</v>
      </c>
      <c r="X1368" s="655">
        <v>0</v>
      </c>
      <c r="Y1368" s="655">
        <v>0</v>
      </c>
      <c r="Z1368" s="655">
        <v>0</v>
      </c>
      <c r="AA1368" s="655">
        <v>0</v>
      </c>
      <c r="AB1368" s="655">
        <v>0</v>
      </c>
      <c r="AC1368" s="655">
        <v>0</v>
      </c>
      <c r="AD1368" s="655">
        <v>52346</v>
      </c>
      <c r="AE1368" s="655">
        <v>8156574</v>
      </c>
      <c r="AF1368" s="655">
        <v>214208</v>
      </c>
      <c r="AG1368" s="655">
        <v>488326</v>
      </c>
      <c r="AH1368" s="655">
        <v>0</v>
      </c>
      <c r="AI1368" s="655">
        <v>0</v>
      </c>
      <c r="AJ1368" s="655">
        <v>1325351.879999999</v>
      </c>
      <c r="AK1368" s="655">
        <v>10184459.879999999</v>
      </c>
      <c r="AL1368" s="655">
        <v>0</v>
      </c>
      <c r="AM1368" s="655">
        <v>10184459.879999999</v>
      </c>
    </row>
    <row r="1369" spans="1:39" x14ac:dyDescent="0.2">
      <c r="A1369" s="648">
        <v>2017</v>
      </c>
      <c r="B1369" s="648">
        <v>11</v>
      </c>
      <c r="C1369" s="657" t="s">
        <v>109</v>
      </c>
      <c r="D1369" s="648">
        <v>720</v>
      </c>
      <c r="E1369" s="648" t="s">
        <v>1035</v>
      </c>
      <c r="F1369" s="655">
        <v>11953438</v>
      </c>
      <c r="G1369" s="655">
        <v>0</v>
      </c>
      <c r="H1369" s="655">
        <v>58508</v>
      </c>
      <c r="I1369" s="655">
        <v>1241151</v>
      </c>
      <c r="J1369" s="655">
        <v>978473</v>
      </c>
      <c r="K1369" s="655">
        <v>101090</v>
      </c>
      <c r="L1369" s="655">
        <v>118628</v>
      </c>
      <c r="M1369" s="655">
        <v>0</v>
      </c>
      <c r="N1369" s="655">
        <v>563898</v>
      </c>
      <c r="O1369" s="655">
        <v>0</v>
      </c>
      <c r="P1369" s="655">
        <v>98723</v>
      </c>
      <c r="Q1369" s="655">
        <v>108375</v>
      </c>
      <c r="R1369" s="655">
        <v>0</v>
      </c>
      <c r="S1369" s="655">
        <v>46464</v>
      </c>
      <c r="T1369" s="655">
        <v>5906</v>
      </c>
      <c r="U1369" s="655">
        <v>208933</v>
      </c>
      <c r="V1369" s="655">
        <v>0</v>
      </c>
      <c r="W1369" s="655">
        <v>683487</v>
      </c>
      <c r="X1369" s="655">
        <v>0</v>
      </c>
      <c r="Y1369" s="655">
        <v>0</v>
      </c>
      <c r="Z1369" s="655">
        <v>0</v>
      </c>
      <c r="AA1369" s="655">
        <v>0</v>
      </c>
      <c r="AB1369" s="655">
        <v>0</v>
      </c>
      <c r="AC1369" s="655">
        <v>0</v>
      </c>
      <c r="AD1369" s="655">
        <v>46051</v>
      </c>
      <c r="AE1369" s="655">
        <v>16121023</v>
      </c>
      <c r="AF1369" s="655">
        <v>230685</v>
      </c>
      <c r="AG1369" s="655">
        <v>633413</v>
      </c>
      <c r="AH1369" s="655">
        <v>0</v>
      </c>
      <c r="AI1369" s="655">
        <v>0</v>
      </c>
      <c r="AJ1369" s="655">
        <v>6525156.1999999993</v>
      </c>
      <c r="AK1369" s="655">
        <v>23510277.199999999</v>
      </c>
      <c r="AL1369" s="655">
        <v>0</v>
      </c>
      <c r="AM1369" s="655">
        <v>23510277.199999999</v>
      </c>
    </row>
    <row r="1370" spans="1:39" x14ac:dyDescent="0.2">
      <c r="A1370" s="648">
        <v>2017</v>
      </c>
      <c r="B1370" s="648">
        <v>11</v>
      </c>
      <c r="C1370" s="657" t="s">
        <v>110</v>
      </c>
      <c r="D1370" s="648">
        <v>729</v>
      </c>
      <c r="E1370" s="648" t="s">
        <v>1036</v>
      </c>
      <c r="F1370" s="655">
        <v>13619642</v>
      </c>
      <c r="G1370" s="655">
        <v>15215</v>
      </c>
      <c r="H1370" s="655">
        <v>158810</v>
      </c>
      <c r="I1370" s="655">
        <v>2256165</v>
      </c>
      <c r="J1370" s="655">
        <v>1192561</v>
      </c>
      <c r="K1370" s="655">
        <v>148946</v>
      </c>
      <c r="L1370" s="655">
        <v>136176</v>
      </c>
      <c r="M1370" s="655">
        <v>660669</v>
      </c>
      <c r="N1370" s="655">
        <v>678485</v>
      </c>
      <c r="O1370" s="655">
        <v>0</v>
      </c>
      <c r="P1370" s="655">
        <v>122503</v>
      </c>
      <c r="Q1370" s="655">
        <v>134480</v>
      </c>
      <c r="R1370" s="655">
        <v>0</v>
      </c>
      <c r="S1370" s="655">
        <v>55906</v>
      </c>
      <c r="T1370" s="655">
        <v>7106</v>
      </c>
      <c r="U1370" s="655">
        <v>666001</v>
      </c>
      <c r="V1370" s="655">
        <v>0</v>
      </c>
      <c r="W1370" s="655">
        <v>363715</v>
      </c>
      <c r="X1370" s="655">
        <v>0</v>
      </c>
      <c r="Y1370" s="655">
        <v>0</v>
      </c>
      <c r="Z1370" s="655">
        <v>0</v>
      </c>
      <c r="AA1370" s="655">
        <v>0</v>
      </c>
      <c r="AB1370" s="655">
        <v>0</v>
      </c>
      <c r="AC1370" s="655">
        <v>-902</v>
      </c>
      <c r="AD1370" s="655">
        <v>123248</v>
      </c>
      <c r="AE1370" s="655">
        <v>20092230</v>
      </c>
      <c r="AF1370" s="655">
        <v>411938</v>
      </c>
      <c r="AG1370" s="655">
        <v>892674</v>
      </c>
      <c r="AH1370" s="655">
        <v>0</v>
      </c>
      <c r="AI1370" s="655">
        <v>0</v>
      </c>
      <c r="AJ1370" s="655">
        <v>4215811.3099999987</v>
      </c>
      <c r="AK1370" s="655">
        <v>25612653.309999999</v>
      </c>
      <c r="AL1370" s="655">
        <v>0</v>
      </c>
      <c r="AM1370" s="655">
        <v>25612653.309999999</v>
      </c>
    </row>
    <row r="1371" spans="1:39" x14ac:dyDescent="0.2">
      <c r="A1371" s="648">
        <v>2017</v>
      </c>
      <c r="B1371" s="648">
        <v>12</v>
      </c>
      <c r="C1371" s="657" t="s">
        <v>111</v>
      </c>
      <c r="D1371" s="648">
        <v>747</v>
      </c>
      <c r="E1371" s="648" t="s">
        <v>1037</v>
      </c>
      <c r="F1371" s="655">
        <v>4031056</v>
      </c>
      <c r="G1371" s="655">
        <v>0</v>
      </c>
      <c r="H1371" s="655">
        <v>124306</v>
      </c>
      <c r="I1371" s="655">
        <v>475343</v>
      </c>
      <c r="J1371" s="655">
        <v>343860</v>
      </c>
      <c r="K1371" s="655">
        <v>37687</v>
      </c>
      <c r="L1371" s="655">
        <v>46041</v>
      </c>
      <c r="M1371" s="655">
        <v>0</v>
      </c>
      <c r="N1371" s="655">
        <v>202600</v>
      </c>
      <c r="O1371" s="655">
        <v>0</v>
      </c>
      <c r="P1371" s="655">
        <v>53614</v>
      </c>
      <c r="Q1371" s="655">
        <v>60171</v>
      </c>
      <c r="R1371" s="655">
        <v>0</v>
      </c>
      <c r="S1371" s="655">
        <v>20354</v>
      </c>
      <c r="T1371" s="655">
        <v>2434</v>
      </c>
      <c r="U1371" s="655">
        <v>126156</v>
      </c>
      <c r="V1371" s="655">
        <v>0</v>
      </c>
      <c r="W1371" s="655">
        <v>47534</v>
      </c>
      <c r="X1371" s="655">
        <v>0</v>
      </c>
      <c r="Y1371" s="655">
        <v>0</v>
      </c>
      <c r="Z1371" s="655">
        <v>0</v>
      </c>
      <c r="AA1371" s="655">
        <v>0</v>
      </c>
      <c r="AB1371" s="655">
        <v>0</v>
      </c>
      <c r="AC1371" s="655">
        <v>-14310</v>
      </c>
      <c r="AD1371" s="655">
        <v>36256</v>
      </c>
      <c r="AE1371" s="655">
        <v>5520590</v>
      </c>
      <c r="AF1371" s="655">
        <v>161480</v>
      </c>
      <c r="AG1371" s="655">
        <v>311601</v>
      </c>
      <c r="AH1371" s="655">
        <v>0</v>
      </c>
      <c r="AI1371" s="655">
        <v>0</v>
      </c>
      <c r="AJ1371" s="655">
        <v>2257642.5599999987</v>
      </c>
      <c r="AK1371" s="655">
        <v>8251313.5599999987</v>
      </c>
      <c r="AL1371" s="655">
        <v>0</v>
      </c>
      <c r="AM1371" s="655">
        <v>8251313.5599999987</v>
      </c>
    </row>
    <row r="1372" spans="1:39" x14ac:dyDescent="0.2">
      <c r="A1372" s="648">
        <v>2017</v>
      </c>
      <c r="B1372" s="648">
        <v>7</v>
      </c>
      <c r="C1372" s="657" t="s">
        <v>113</v>
      </c>
      <c r="D1372" s="648">
        <v>819</v>
      </c>
      <c r="E1372" s="648" t="s">
        <v>1038</v>
      </c>
      <c r="F1372" s="655">
        <v>3978618</v>
      </c>
      <c r="G1372" s="655">
        <v>58693</v>
      </c>
      <c r="H1372" s="655">
        <v>125987</v>
      </c>
      <c r="I1372" s="655">
        <v>312870</v>
      </c>
      <c r="J1372" s="655">
        <v>346718</v>
      </c>
      <c r="K1372" s="655">
        <v>35422</v>
      </c>
      <c r="L1372" s="655">
        <v>39775</v>
      </c>
      <c r="M1372" s="655">
        <v>0</v>
      </c>
      <c r="N1372" s="655">
        <v>190296</v>
      </c>
      <c r="O1372" s="655">
        <v>1912</v>
      </c>
      <c r="P1372" s="655">
        <v>33351</v>
      </c>
      <c r="Q1372" s="655">
        <v>37244</v>
      </c>
      <c r="R1372" s="655">
        <v>0</v>
      </c>
      <c r="S1372" s="655">
        <v>24478</v>
      </c>
      <c r="T1372" s="655">
        <v>2809</v>
      </c>
      <c r="U1372" s="655">
        <v>155272</v>
      </c>
      <c r="V1372" s="655">
        <v>0</v>
      </c>
      <c r="W1372" s="655">
        <v>54669</v>
      </c>
      <c r="X1372" s="655">
        <v>0</v>
      </c>
      <c r="Y1372" s="655">
        <v>0</v>
      </c>
      <c r="Z1372" s="655">
        <v>0</v>
      </c>
      <c r="AA1372" s="655">
        <v>0</v>
      </c>
      <c r="AB1372" s="655">
        <v>0</v>
      </c>
      <c r="AC1372" s="655">
        <v>0</v>
      </c>
      <c r="AD1372" s="655">
        <v>37357</v>
      </c>
      <c r="AE1372" s="655">
        <v>5360757</v>
      </c>
      <c r="AF1372" s="655">
        <v>92274</v>
      </c>
      <c r="AG1372" s="655">
        <v>335137</v>
      </c>
      <c r="AH1372" s="655">
        <v>0</v>
      </c>
      <c r="AI1372" s="655">
        <v>0</v>
      </c>
      <c r="AJ1372" s="655">
        <v>3161344.49</v>
      </c>
      <c r="AK1372" s="655">
        <v>8949512.4900000002</v>
      </c>
      <c r="AL1372" s="655">
        <v>0</v>
      </c>
      <c r="AM1372" s="655">
        <v>8949512.4900000002</v>
      </c>
    </row>
    <row r="1373" spans="1:39" x14ac:dyDescent="0.2">
      <c r="A1373" s="648">
        <v>2017</v>
      </c>
      <c r="B1373" s="648">
        <v>7</v>
      </c>
      <c r="C1373" s="657" t="s">
        <v>114</v>
      </c>
      <c r="D1373" s="648">
        <v>846</v>
      </c>
      <c r="E1373" s="648" t="s">
        <v>1039</v>
      </c>
      <c r="F1373" s="655">
        <v>3526943</v>
      </c>
      <c r="G1373" s="655">
        <v>9938</v>
      </c>
      <c r="H1373" s="655">
        <v>188443</v>
      </c>
      <c r="I1373" s="655">
        <v>404618</v>
      </c>
      <c r="J1373" s="655">
        <v>318893</v>
      </c>
      <c r="K1373" s="655">
        <v>32050</v>
      </c>
      <c r="L1373" s="655">
        <v>34175</v>
      </c>
      <c r="M1373" s="655">
        <v>0</v>
      </c>
      <c r="N1373" s="655">
        <v>174415</v>
      </c>
      <c r="O1373" s="655">
        <v>0</v>
      </c>
      <c r="P1373" s="655">
        <v>28959</v>
      </c>
      <c r="Q1373" s="655">
        <v>32339</v>
      </c>
      <c r="R1373" s="655">
        <v>0</v>
      </c>
      <c r="S1373" s="655">
        <v>22184</v>
      </c>
      <c r="T1373" s="655">
        <v>2546</v>
      </c>
      <c r="U1373" s="655">
        <v>97263</v>
      </c>
      <c r="V1373" s="655">
        <v>0</v>
      </c>
      <c r="W1373" s="655">
        <v>63840</v>
      </c>
      <c r="X1373" s="655">
        <v>0</v>
      </c>
      <c r="Y1373" s="655">
        <v>0</v>
      </c>
      <c r="Z1373" s="655">
        <v>0</v>
      </c>
      <c r="AA1373" s="655">
        <v>0</v>
      </c>
      <c r="AB1373" s="655">
        <v>0</v>
      </c>
      <c r="AC1373" s="655">
        <v>-1874</v>
      </c>
      <c r="AD1373" s="655">
        <v>34281</v>
      </c>
      <c r="AE1373" s="655">
        <v>4900451</v>
      </c>
      <c r="AF1373" s="655">
        <v>108752</v>
      </c>
      <c r="AG1373" s="655">
        <v>282632</v>
      </c>
      <c r="AH1373" s="655">
        <v>0</v>
      </c>
      <c r="AI1373" s="655">
        <v>0</v>
      </c>
      <c r="AJ1373" s="655">
        <v>2855035.8499999996</v>
      </c>
      <c r="AK1373" s="655">
        <v>8146870.8499999996</v>
      </c>
      <c r="AL1373" s="655">
        <v>0</v>
      </c>
      <c r="AM1373" s="655">
        <v>8146870.8499999996</v>
      </c>
    </row>
    <row r="1374" spans="1:39" x14ac:dyDescent="0.2">
      <c r="A1374" s="648">
        <v>2017</v>
      </c>
      <c r="B1374" s="648">
        <v>7</v>
      </c>
      <c r="C1374" s="657" t="s">
        <v>115</v>
      </c>
      <c r="D1374" s="648">
        <v>873</v>
      </c>
      <c r="E1374" s="648" t="s">
        <v>1040</v>
      </c>
      <c r="F1374" s="655">
        <v>3222030</v>
      </c>
      <c r="G1374" s="655">
        <v>0</v>
      </c>
      <c r="H1374" s="655">
        <v>105565</v>
      </c>
      <c r="I1374" s="655">
        <v>390610</v>
      </c>
      <c r="J1374" s="655">
        <v>291137</v>
      </c>
      <c r="K1374" s="655">
        <v>31701</v>
      </c>
      <c r="L1374" s="655">
        <v>29931</v>
      </c>
      <c r="M1374" s="655">
        <v>0</v>
      </c>
      <c r="N1374" s="655">
        <v>158018</v>
      </c>
      <c r="O1374" s="655">
        <v>0</v>
      </c>
      <c r="P1374" s="655">
        <v>26085</v>
      </c>
      <c r="Q1374" s="655">
        <v>29129</v>
      </c>
      <c r="R1374" s="655">
        <v>0</v>
      </c>
      <c r="S1374" s="655">
        <v>20037</v>
      </c>
      <c r="T1374" s="655">
        <v>2302</v>
      </c>
      <c r="U1374" s="655">
        <v>126092</v>
      </c>
      <c r="V1374" s="655">
        <v>0</v>
      </c>
      <c r="W1374" s="655">
        <v>45767</v>
      </c>
      <c r="X1374" s="655">
        <v>0</v>
      </c>
      <c r="Y1374" s="655">
        <v>0</v>
      </c>
      <c r="Z1374" s="655">
        <v>0</v>
      </c>
      <c r="AA1374" s="655">
        <v>0</v>
      </c>
      <c r="AB1374" s="655">
        <v>0</v>
      </c>
      <c r="AC1374" s="655">
        <v>0</v>
      </c>
      <c r="AD1374" s="655">
        <v>34533</v>
      </c>
      <c r="AE1374" s="655">
        <v>4443871</v>
      </c>
      <c r="AF1374" s="655">
        <v>125229</v>
      </c>
      <c r="AG1374" s="655">
        <v>282765</v>
      </c>
      <c r="AH1374" s="655">
        <v>0</v>
      </c>
      <c r="AI1374" s="655">
        <v>0</v>
      </c>
      <c r="AJ1374" s="655">
        <v>1087845.8200000003</v>
      </c>
      <c r="AK1374" s="655">
        <v>5939710.8200000003</v>
      </c>
      <c r="AL1374" s="655">
        <v>0</v>
      </c>
      <c r="AM1374" s="655">
        <v>5939710.8200000003</v>
      </c>
    </row>
    <row r="1375" spans="1:39" x14ac:dyDescent="0.2">
      <c r="A1375" s="648">
        <v>2017</v>
      </c>
      <c r="B1375" s="648">
        <v>15</v>
      </c>
      <c r="C1375" s="657" t="s">
        <v>116</v>
      </c>
      <c r="D1375" s="648">
        <v>882</v>
      </c>
      <c r="E1375" s="648" t="s">
        <v>1041</v>
      </c>
      <c r="F1375" s="655">
        <v>29379383</v>
      </c>
      <c r="G1375" s="655">
        <v>529019</v>
      </c>
      <c r="H1375" s="655">
        <v>323862</v>
      </c>
      <c r="I1375" s="655">
        <v>4873649</v>
      </c>
      <c r="J1375" s="655">
        <v>2506662</v>
      </c>
      <c r="K1375" s="655">
        <v>275175</v>
      </c>
      <c r="L1375" s="655">
        <v>345048</v>
      </c>
      <c r="M1375" s="655">
        <v>1436421</v>
      </c>
      <c r="N1375" s="655">
        <v>1492041</v>
      </c>
      <c r="O1375" s="655">
        <v>30425</v>
      </c>
      <c r="P1375" s="655">
        <v>259529</v>
      </c>
      <c r="Q1375" s="655">
        <v>285096</v>
      </c>
      <c r="R1375" s="655">
        <v>0</v>
      </c>
      <c r="S1375" s="655">
        <v>150843</v>
      </c>
      <c r="T1375" s="655">
        <v>16313</v>
      </c>
      <c r="U1375" s="655">
        <v>813880</v>
      </c>
      <c r="V1375" s="655">
        <v>0</v>
      </c>
      <c r="W1375" s="655">
        <v>820090</v>
      </c>
      <c r="X1375" s="655">
        <v>0</v>
      </c>
      <c r="Y1375" s="655">
        <v>0</v>
      </c>
      <c r="Z1375" s="655">
        <v>0</v>
      </c>
      <c r="AA1375" s="655">
        <v>0</v>
      </c>
      <c r="AB1375" s="655">
        <v>0</v>
      </c>
      <c r="AC1375" s="655">
        <v>0</v>
      </c>
      <c r="AD1375" s="655">
        <v>269247</v>
      </c>
      <c r="AE1375" s="655">
        <v>43268189</v>
      </c>
      <c r="AF1375" s="655">
        <v>718419</v>
      </c>
      <c r="AG1375" s="655">
        <v>1798691</v>
      </c>
      <c r="AH1375" s="655">
        <v>0</v>
      </c>
      <c r="AI1375" s="655">
        <v>0</v>
      </c>
      <c r="AJ1375" s="655">
        <v>18661134</v>
      </c>
      <c r="AK1375" s="655">
        <v>64446433</v>
      </c>
      <c r="AL1375" s="655">
        <v>0</v>
      </c>
      <c r="AM1375" s="655">
        <v>64446433</v>
      </c>
    </row>
    <row r="1376" spans="1:39" x14ac:dyDescent="0.2">
      <c r="A1376" s="648">
        <v>2017</v>
      </c>
      <c r="B1376" s="648">
        <v>13</v>
      </c>
      <c r="C1376" s="657" t="s">
        <v>117</v>
      </c>
      <c r="D1376" s="648">
        <v>914</v>
      </c>
      <c r="E1376" s="648" t="s">
        <v>1478</v>
      </c>
      <c r="F1376" s="655">
        <v>3114629</v>
      </c>
      <c r="G1376" s="655">
        <v>0</v>
      </c>
      <c r="H1376" s="655">
        <v>168070</v>
      </c>
      <c r="I1376" s="655">
        <v>303693</v>
      </c>
      <c r="J1376" s="655">
        <v>289453</v>
      </c>
      <c r="K1376" s="655">
        <v>29097</v>
      </c>
      <c r="L1376" s="655">
        <v>29725</v>
      </c>
      <c r="M1376" s="655">
        <v>0</v>
      </c>
      <c r="N1376" s="655">
        <v>149138</v>
      </c>
      <c r="O1376" s="655">
        <v>0</v>
      </c>
      <c r="P1376" s="655">
        <v>25293</v>
      </c>
      <c r="Q1376" s="655">
        <v>27971</v>
      </c>
      <c r="R1376" s="655">
        <v>0</v>
      </c>
      <c r="S1376" s="655">
        <v>15313</v>
      </c>
      <c r="T1376" s="655">
        <v>1632</v>
      </c>
      <c r="U1376" s="655">
        <v>64540</v>
      </c>
      <c r="V1376" s="655">
        <v>0</v>
      </c>
      <c r="W1376" s="655">
        <v>141082</v>
      </c>
      <c r="X1376" s="655">
        <v>0</v>
      </c>
      <c r="Y1376" s="655">
        <v>0</v>
      </c>
      <c r="Z1376" s="655">
        <v>0</v>
      </c>
      <c r="AA1376" s="655">
        <v>0</v>
      </c>
      <c r="AB1376" s="655">
        <v>0</v>
      </c>
      <c r="AC1376" s="655">
        <v>0</v>
      </c>
      <c r="AD1376" s="655">
        <v>30141</v>
      </c>
      <c r="AE1376" s="655">
        <v>4329495</v>
      </c>
      <c r="AF1376" s="655">
        <v>85683</v>
      </c>
      <c r="AG1376" s="655">
        <v>276486</v>
      </c>
      <c r="AH1376" s="655">
        <v>0</v>
      </c>
      <c r="AI1376" s="655">
        <v>0</v>
      </c>
      <c r="AJ1376" s="655">
        <v>963333.58999999985</v>
      </c>
      <c r="AK1376" s="655">
        <v>5654997.5899999999</v>
      </c>
      <c r="AL1376" s="655">
        <v>0</v>
      </c>
      <c r="AM1376" s="655">
        <v>5654997.5899999999</v>
      </c>
    </row>
    <row r="1377" spans="1:39" x14ac:dyDescent="0.2">
      <c r="A1377" s="648">
        <v>2017</v>
      </c>
      <c r="B1377" s="648">
        <v>7</v>
      </c>
      <c r="C1377" s="657" t="s">
        <v>118</v>
      </c>
      <c r="D1377" s="648">
        <v>916</v>
      </c>
      <c r="E1377" s="648" t="s">
        <v>1042</v>
      </c>
      <c r="F1377" s="655">
        <v>1765297</v>
      </c>
      <c r="G1377" s="655">
        <v>0</v>
      </c>
      <c r="H1377" s="655">
        <v>187408</v>
      </c>
      <c r="I1377" s="655">
        <v>331627</v>
      </c>
      <c r="J1377" s="655">
        <v>168128</v>
      </c>
      <c r="K1377" s="655">
        <v>18512</v>
      </c>
      <c r="L1377" s="655">
        <v>18940</v>
      </c>
      <c r="M1377" s="655">
        <v>83479</v>
      </c>
      <c r="N1377" s="655">
        <v>90893</v>
      </c>
      <c r="O1377" s="655">
        <v>1215</v>
      </c>
      <c r="P1377" s="655">
        <v>15022</v>
      </c>
      <c r="Q1377" s="655">
        <v>16775</v>
      </c>
      <c r="R1377" s="655">
        <v>0</v>
      </c>
      <c r="S1377" s="655">
        <v>11525</v>
      </c>
      <c r="T1377" s="655">
        <v>1324</v>
      </c>
      <c r="U1377" s="655">
        <v>60036</v>
      </c>
      <c r="V1377" s="655">
        <v>0</v>
      </c>
      <c r="W1377" s="655">
        <v>93248</v>
      </c>
      <c r="X1377" s="655">
        <v>0</v>
      </c>
      <c r="Y1377" s="655">
        <v>0</v>
      </c>
      <c r="Z1377" s="655">
        <v>0</v>
      </c>
      <c r="AA1377" s="655">
        <v>0</v>
      </c>
      <c r="AB1377" s="655">
        <v>0</v>
      </c>
      <c r="AC1377" s="655">
        <v>0</v>
      </c>
      <c r="AD1377" s="655">
        <v>16481</v>
      </c>
      <c r="AE1377" s="655">
        <v>2846948</v>
      </c>
      <c r="AF1377" s="655">
        <v>52728</v>
      </c>
      <c r="AG1377" s="655">
        <v>148744</v>
      </c>
      <c r="AH1377" s="655">
        <v>0</v>
      </c>
      <c r="AI1377" s="655">
        <v>0</v>
      </c>
      <c r="AJ1377" s="655">
        <v>1062126</v>
      </c>
      <c r="AK1377" s="655">
        <v>4110546</v>
      </c>
      <c r="AL1377" s="655">
        <v>0</v>
      </c>
      <c r="AM1377" s="655">
        <v>4110546</v>
      </c>
    </row>
    <row r="1378" spans="1:39" x14ac:dyDescent="0.2">
      <c r="A1378" s="648">
        <v>2017</v>
      </c>
      <c r="B1378" s="648">
        <v>9</v>
      </c>
      <c r="C1378" s="657" t="s">
        <v>119</v>
      </c>
      <c r="D1378" s="648">
        <v>918</v>
      </c>
      <c r="E1378" s="648" t="s">
        <v>1043</v>
      </c>
      <c r="F1378" s="655">
        <v>3186015</v>
      </c>
      <c r="G1378" s="655">
        <v>0</v>
      </c>
      <c r="H1378" s="655">
        <v>64219</v>
      </c>
      <c r="I1378" s="655">
        <v>376191</v>
      </c>
      <c r="J1378" s="655">
        <v>301383</v>
      </c>
      <c r="K1378" s="655">
        <v>32933</v>
      </c>
      <c r="L1378" s="655">
        <v>34581</v>
      </c>
      <c r="M1378" s="655">
        <v>0</v>
      </c>
      <c r="N1378" s="655">
        <v>155719</v>
      </c>
      <c r="O1378" s="655">
        <v>0</v>
      </c>
      <c r="P1378" s="655">
        <v>25795</v>
      </c>
      <c r="Q1378" s="655">
        <v>28147</v>
      </c>
      <c r="R1378" s="655">
        <v>0</v>
      </c>
      <c r="S1378" s="655">
        <v>14051</v>
      </c>
      <c r="T1378" s="655">
        <v>1650</v>
      </c>
      <c r="U1378" s="655">
        <v>0</v>
      </c>
      <c r="V1378" s="655">
        <v>0</v>
      </c>
      <c r="W1378" s="655">
        <v>77352</v>
      </c>
      <c r="X1378" s="655">
        <v>0</v>
      </c>
      <c r="Y1378" s="655">
        <v>0</v>
      </c>
      <c r="Z1378" s="655">
        <v>0</v>
      </c>
      <c r="AA1378" s="655">
        <v>0</v>
      </c>
      <c r="AB1378" s="655">
        <v>0</v>
      </c>
      <c r="AC1378" s="655">
        <v>0</v>
      </c>
      <c r="AD1378" s="655">
        <v>28372</v>
      </c>
      <c r="AE1378" s="655">
        <v>4269664</v>
      </c>
      <c r="AF1378" s="655">
        <v>72501</v>
      </c>
      <c r="AG1378" s="655">
        <v>247681</v>
      </c>
      <c r="AH1378" s="655">
        <v>0</v>
      </c>
      <c r="AI1378" s="655">
        <v>0</v>
      </c>
      <c r="AJ1378" s="655">
        <v>3125880.4800000004</v>
      </c>
      <c r="AK1378" s="655">
        <v>7715726.4800000004</v>
      </c>
      <c r="AL1378" s="655">
        <v>0</v>
      </c>
      <c r="AM1378" s="655">
        <v>7715726.4800000004</v>
      </c>
    </row>
    <row r="1379" spans="1:39" x14ac:dyDescent="0.2">
      <c r="A1379" s="648">
        <v>2017</v>
      </c>
      <c r="B1379" s="648">
        <v>9</v>
      </c>
      <c r="C1379" s="657" t="s">
        <v>120</v>
      </c>
      <c r="D1379" s="648">
        <v>936</v>
      </c>
      <c r="E1379" s="648" t="s">
        <v>1044</v>
      </c>
      <c r="F1379" s="655">
        <v>5781625</v>
      </c>
      <c r="G1379" s="655">
        <v>0</v>
      </c>
      <c r="H1379" s="655">
        <v>51911</v>
      </c>
      <c r="I1379" s="655">
        <v>603999</v>
      </c>
      <c r="J1379" s="655">
        <v>509136</v>
      </c>
      <c r="K1379" s="655">
        <v>53290</v>
      </c>
      <c r="L1379" s="655">
        <v>63457</v>
      </c>
      <c r="M1379" s="655">
        <v>0</v>
      </c>
      <c r="N1379" s="655">
        <v>281642</v>
      </c>
      <c r="O1379" s="655">
        <v>12</v>
      </c>
      <c r="P1379" s="655">
        <v>47882</v>
      </c>
      <c r="Q1379" s="655">
        <v>52248</v>
      </c>
      <c r="R1379" s="655">
        <v>0</v>
      </c>
      <c r="S1379" s="655">
        <v>25413</v>
      </c>
      <c r="T1379" s="655">
        <v>2984</v>
      </c>
      <c r="U1379" s="655">
        <v>141144</v>
      </c>
      <c r="V1379" s="655">
        <v>0</v>
      </c>
      <c r="W1379" s="655">
        <v>128920</v>
      </c>
      <c r="X1379" s="655">
        <v>0</v>
      </c>
      <c r="Y1379" s="655">
        <v>0</v>
      </c>
      <c r="Z1379" s="655">
        <v>0</v>
      </c>
      <c r="AA1379" s="655">
        <v>0</v>
      </c>
      <c r="AB1379" s="655">
        <v>0</v>
      </c>
      <c r="AC1379" s="655">
        <v>0</v>
      </c>
      <c r="AD1379" s="655">
        <v>48103</v>
      </c>
      <c r="AE1379" s="655">
        <v>7695560</v>
      </c>
      <c r="AF1379" s="655">
        <v>197730</v>
      </c>
      <c r="AG1379" s="655">
        <v>440618</v>
      </c>
      <c r="AH1379" s="655">
        <v>0</v>
      </c>
      <c r="AI1379" s="655">
        <v>0</v>
      </c>
      <c r="AJ1379" s="655">
        <v>-234499.23000000045</v>
      </c>
      <c r="AK1379" s="655">
        <v>8099408.7699999996</v>
      </c>
      <c r="AL1379" s="655">
        <v>0</v>
      </c>
      <c r="AM1379" s="655">
        <v>8099408.7699999996</v>
      </c>
    </row>
    <row r="1380" spans="1:39" x14ac:dyDescent="0.2">
      <c r="A1380" s="648">
        <v>2017</v>
      </c>
      <c r="B1380" s="648">
        <v>15</v>
      </c>
      <c r="C1380" s="657" t="s">
        <v>121</v>
      </c>
      <c r="D1380" s="648">
        <v>977</v>
      </c>
      <c r="E1380" s="648" t="s">
        <v>1045</v>
      </c>
      <c r="F1380" s="655">
        <v>3707438</v>
      </c>
      <c r="G1380" s="655">
        <v>0</v>
      </c>
      <c r="H1380" s="655">
        <v>128709</v>
      </c>
      <c r="I1380" s="655">
        <v>383464</v>
      </c>
      <c r="J1380" s="655">
        <v>335835</v>
      </c>
      <c r="K1380" s="655">
        <v>31163</v>
      </c>
      <c r="L1380" s="655">
        <v>41754</v>
      </c>
      <c r="M1380" s="655">
        <v>179843</v>
      </c>
      <c r="N1380" s="655">
        <v>178197</v>
      </c>
      <c r="O1380" s="655">
        <v>8205</v>
      </c>
      <c r="P1380" s="655">
        <v>30346</v>
      </c>
      <c r="Q1380" s="655">
        <v>33335</v>
      </c>
      <c r="R1380" s="655">
        <v>0</v>
      </c>
      <c r="S1380" s="655">
        <v>17851</v>
      </c>
      <c r="T1380" s="655">
        <v>1937</v>
      </c>
      <c r="U1380" s="655">
        <v>137783</v>
      </c>
      <c r="V1380" s="655">
        <v>0</v>
      </c>
      <c r="W1380" s="655">
        <v>96183</v>
      </c>
      <c r="X1380" s="655">
        <v>0</v>
      </c>
      <c r="Y1380" s="655">
        <v>0</v>
      </c>
      <c r="Z1380" s="655">
        <v>0</v>
      </c>
      <c r="AA1380" s="655">
        <v>0</v>
      </c>
      <c r="AB1380" s="655">
        <v>0</v>
      </c>
      <c r="AC1380" s="655">
        <v>0</v>
      </c>
      <c r="AD1380" s="655">
        <v>34784</v>
      </c>
      <c r="AE1380" s="655">
        <v>5277259</v>
      </c>
      <c r="AF1380" s="655">
        <v>237276</v>
      </c>
      <c r="AG1380" s="655">
        <v>254405</v>
      </c>
      <c r="AH1380" s="655">
        <v>0</v>
      </c>
      <c r="AI1380" s="655">
        <v>0</v>
      </c>
      <c r="AJ1380" s="655">
        <v>2118106.33</v>
      </c>
      <c r="AK1380" s="655">
        <v>7887046.3300000001</v>
      </c>
      <c r="AL1380" s="655">
        <v>0</v>
      </c>
      <c r="AM1380" s="655">
        <v>7887046.3300000001</v>
      </c>
    </row>
    <row r="1381" spans="1:39" x14ac:dyDescent="0.2">
      <c r="A1381" s="648">
        <v>2017</v>
      </c>
      <c r="B1381" s="648">
        <v>11</v>
      </c>
      <c r="C1381" s="657" t="s">
        <v>122</v>
      </c>
      <c r="D1381" s="648">
        <v>981</v>
      </c>
      <c r="E1381" s="648" t="s">
        <v>1046</v>
      </c>
      <c r="F1381" s="655">
        <v>12559151</v>
      </c>
      <c r="G1381" s="655">
        <v>0</v>
      </c>
      <c r="H1381" s="655">
        <v>243834</v>
      </c>
      <c r="I1381" s="655">
        <v>1294472</v>
      </c>
      <c r="J1381" s="655">
        <v>1049092</v>
      </c>
      <c r="K1381" s="655">
        <v>106899</v>
      </c>
      <c r="L1381" s="655">
        <v>127859</v>
      </c>
      <c r="M1381" s="655">
        <v>609226</v>
      </c>
      <c r="N1381" s="655">
        <v>592063</v>
      </c>
      <c r="O1381" s="655">
        <v>0</v>
      </c>
      <c r="P1381" s="655">
        <v>103942</v>
      </c>
      <c r="Q1381" s="655">
        <v>114104</v>
      </c>
      <c r="R1381" s="655">
        <v>0</v>
      </c>
      <c r="S1381" s="655">
        <v>48785</v>
      </c>
      <c r="T1381" s="655">
        <v>6201</v>
      </c>
      <c r="U1381" s="655">
        <v>256755</v>
      </c>
      <c r="V1381" s="655">
        <v>0</v>
      </c>
      <c r="W1381" s="655">
        <v>134077</v>
      </c>
      <c r="X1381" s="655">
        <v>0</v>
      </c>
      <c r="Y1381" s="655">
        <v>0</v>
      </c>
      <c r="Z1381" s="655">
        <v>0</v>
      </c>
      <c r="AA1381" s="655">
        <v>0</v>
      </c>
      <c r="AB1381" s="655">
        <v>0</v>
      </c>
      <c r="AC1381" s="655">
        <v>-18049</v>
      </c>
      <c r="AD1381" s="655">
        <v>68793</v>
      </c>
      <c r="AE1381" s="655">
        <v>17159618</v>
      </c>
      <c r="AF1381" s="655">
        <v>362505</v>
      </c>
      <c r="AG1381" s="655">
        <v>0</v>
      </c>
      <c r="AH1381" s="655">
        <v>0</v>
      </c>
      <c r="AI1381" s="655">
        <v>0</v>
      </c>
      <c r="AJ1381" s="655">
        <v>7632180.5300000012</v>
      </c>
      <c r="AK1381" s="655">
        <v>25154303.530000001</v>
      </c>
      <c r="AL1381" s="655">
        <v>0</v>
      </c>
      <c r="AM1381" s="655">
        <v>25154303.530000001</v>
      </c>
    </row>
    <row r="1382" spans="1:39" x14ac:dyDescent="0.2">
      <c r="A1382" s="648">
        <v>2017</v>
      </c>
      <c r="B1382" s="648">
        <v>11</v>
      </c>
      <c r="C1382" s="657" t="s">
        <v>123</v>
      </c>
      <c r="D1382" s="648">
        <v>999</v>
      </c>
      <c r="E1382" s="648" t="s">
        <v>1047</v>
      </c>
      <c r="F1382" s="655">
        <v>11324656</v>
      </c>
      <c r="G1382" s="655">
        <v>0</v>
      </c>
      <c r="H1382" s="655">
        <v>241791</v>
      </c>
      <c r="I1382" s="655">
        <v>1467816</v>
      </c>
      <c r="J1382" s="655">
        <v>945096</v>
      </c>
      <c r="K1382" s="655">
        <v>108779</v>
      </c>
      <c r="L1382" s="655">
        <v>109363</v>
      </c>
      <c r="M1382" s="655">
        <v>549343</v>
      </c>
      <c r="N1382" s="655">
        <v>546713</v>
      </c>
      <c r="O1382" s="655">
        <v>0</v>
      </c>
      <c r="P1382" s="655">
        <v>138535</v>
      </c>
      <c r="Q1382" s="655">
        <v>152080</v>
      </c>
      <c r="R1382" s="655">
        <v>0</v>
      </c>
      <c r="S1382" s="655">
        <v>45048</v>
      </c>
      <c r="T1382" s="655">
        <v>5726</v>
      </c>
      <c r="U1382" s="655">
        <v>14458</v>
      </c>
      <c r="V1382" s="655">
        <v>0</v>
      </c>
      <c r="W1382" s="655">
        <v>106036</v>
      </c>
      <c r="X1382" s="655">
        <v>0</v>
      </c>
      <c r="Y1382" s="655">
        <v>0</v>
      </c>
      <c r="Z1382" s="655">
        <v>0</v>
      </c>
      <c r="AA1382" s="655">
        <v>0</v>
      </c>
      <c r="AB1382" s="655">
        <v>0</v>
      </c>
      <c r="AC1382" s="655">
        <v>-4383</v>
      </c>
      <c r="AD1382" s="655">
        <v>108223</v>
      </c>
      <c r="AE1382" s="655">
        <v>15642834</v>
      </c>
      <c r="AF1382" s="655">
        <v>599781</v>
      </c>
      <c r="AG1382" s="655">
        <v>960784</v>
      </c>
      <c r="AH1382" s="655">
        <v>0</v>
      </c>
      <c r="AI1382" s="655">
        <v>0</v>
      </c>
      <c r="AJ1382" s="655">
        <v>4181250.2699999996</v>
      </c>
      <c r="AK1382" s="655">
        <v>21384649.27</v>
      </c>
      <c r="AL1382" s="655">
        <v>0</v>
      </c>
      <c r="AM1382" s="655">
        <v>21384649.27</v>
      </c>
    </row>
    <row r="1383" spans="1:39" x14ac:dyDescent="0.2">
      <c r="A1383" s="648">
        <v>2017</v>
      </c>
      <c r="B1383" s="648">
        <v>7</v>
      </c>
      <c r="C1383" s="657" t="s">
        <v>124</v>
      </c>
      <c r="D1383" s="648">
        <v>1044</v>
      </c>
      <c r="E1383" s="648" t="s">
        <v>1048</v>
      </c>
      <c r="F1383" s="655">
        <v>33333756</v>
      </c>
      <c r="G1383" s="655">
        <v>0</v>
      </c>
      <c r="H1383" s="655">
        <v>506291</v>
      </c>
      <c r="I1383" s="655">
        <v>4043914</v>
      </c>
      <c r="J1383" s="655">
        <v>2812555</v>
      </c>
      <c r="K1383" s="655">
        <v>334297</v>
      </c>
      <c r="L1383" s="655">
        <v>332984</v>
      </c>
      <c r="M1383" s="655">
        <v>0</v>
      </c>
      <c r="N1383" s="655">
        <v>1660185</v>
      </c>
      <c r="O1383" s="655">
        <v>0</v>
      </c>
      <c r="P1383" s="655">
        <v>291378</v>
      </c>
      <c r="Q1383" s="655">
        <v>325389</v>
      </c>
      <c r="R1383" s="655">
        <v>0</v>
      </c>
      <c r="S1383" s="655">
        <v>210511</v>
      </c>
      <c r="T1383" s="655">
        <v>24190</v>
      </c>
      <c r="U1383" s="655">
        <v>773047</v>
      </c>
      <c r="V1383" s="655">
        <v>0</v>
      </c>
      <c r="W1383" s="655">
        <v>634990</v>
      </c>
      <c r="X1383" s="655">
        <v>0</v>
      </c>
      <c r="Y1383" s="655">
        <v>0</v>
      </c>
      <c r="Z1383" s="655">
        <v>0</v>
      </c>
      <c r="AA1383" s="655">
        <v>0</v>
      </c>
      <c r="AB1383" s="655">
        <v>0</v>
      </c>
      <c r="AC1383" s="655">
        <v>-17810</v>
      </c>
      <c r="AD1383" s="655">
        <v>231049</v>
      </c>
      <c r="AE1383" s="655">
        <v>45034628</v>
      </c>
      <c r="AF1383" s="655">
        <v>425120</v>
      </c>
      <c r="AG1383" s="655">
        <v>2549366</v>
      </c>
      <c r="AH1383" s="655">
        <v>0</v>
      </c>
      <c r="AI1383" s="655">
        <v>0</v>
      </c>
      <c r="AJ1383" s="655">
        <v>8609169.9399999976</v>
      </c>
      <c r="AK1383" s="655">
        <v>56618283.939999998</v>
      </c>
      <c r="AL1383" s="655">
        <v>0</v>
      </c>
      <c r="AM1383" s="655">
        <v>56618283.939999998</v>
      </c>
    </row>
    <row r="1384" spans="1:39" x14ac:dyDescent="0.2">
      <c r="A1384" s="648">
        <v>2017</v>
      </c>
      <c r="B1384" s="648">
        <v>10</v>
      </c>
      <c r="C1384" s="657" t="s">
        <v>125</v>
      </c>
      <c r="D1384" s="648">
        <v>1053</v>
      </c>
      <c r="E1384" s="648" t="s">
        <v>1049</v>
      </c>
      <c r="F1384" s="655">
        <v>111646926</v>
      </c>
      <c r="G1384" s="655">
        <v>0</v>
      </c>
      <c r="H1384" s="655">
        <v>1732833</v>
      </c>
      <c r="I1384" s="655">
        <v>17083477</v>
      </c>
      <c r="J1384" s="655">
        <v>9433835</v>
      </c>
      <c r="K1384" s="655">
        <v>1113928</v>
      </c>
      <c r="L1384" s="655">
        <v>1215564</v>
      </c>
      <c r="M1384" s="655">
        <v>5415833</v>
      </c>
      <c r="N1384" s="655">
        <v>5640231</v>
      </c>
      <c r="O1384" s="655">
        <v>0</v>
      </c>
      <c r="P1384" s="655">
        <v>1026906</v>
      </c>
      <c r="Q1384" s="655">
        <v>1128226</v>
      </c>
      <c r="R1384" s="655">
        <v>0</v>
      </c>
      <c r="S1384" s="655">
        <v>526953</v>
      </c>
      <c r="T1384" s="655">
        <v>61328</v>
      </c>
      <c r="U1384" s="655">
        <v>5459536</v>
      </c>
      <c r="V1384" s="655">
        <v>0</v>
      </c>
      <c r="W1384" s="655">
        <v>2178729</v>
      </c>
      <c r="X1384" s="655">
        <v>0</v>
      </c>
      <c r="Y1384" s="655">
        <v>0</v>
      </c>
      <c r="Z1384" s="655">
        <v>0</v>
      </c>
      <c r="AA1384" s="655">
        <v>0</v>
      </c>
      <c r="AB1384" s="655">
        <v>0</v>
      </c>
      <c r="AC1384" s="655">
        <v>-36355</v>
      </c>
      <c r="AD1384" s="655">
        <v>987398</v>
      </c>
      <c r="AE1384" s="655">
        <v>162640552</v>
      </c>
      <c r="AF1384" s="655">
        <v>1730065</v>
      </c>
      <c r="AG1384" s="655">
        <v>8163624</v>
      </c>
      <c r="AH1384" s="655">
        <v>0</v>
      </c>
      <c r="AI1384" s="655">
        <v>0</v>
      </c>
      <c r="AJ1384" s="655">
        <v>7102510.0300000012</v>
      </c>
      <c r="AK1384" s="655">
        <v>179636751.03</v>
      </c>
      <c r="AL1384" s="655">
        <v>0</v>
      </c>
      <c r="AM1384" s="655">
        <v>179636751.03</v>
      </c>
    </row>
    <row r="1385" spans="1:39" x14ac:dyDescent="0.2">
      <c r="A1385" s="648">
        <v>2017</v>
      </c>
      <c r="B1385" s="648">
        <v>10</v>
      </c>
      <c r="C1385" s="657" t="s">
        <v>126</v>
      </c>
      <c r="D1385" s="648">
        <v>1062</v>
      </c>
      <c r="E1385" s="648" t="s">
        <v>637</v>
      </c>
      <c r="F1385" s="655">
        <v>8963760</v>
      </c>
      <c r="G1385" s="655">
        <v>0</v>
      </c>
      <c r="H1385" s="655">
        <v>113161</v>
      </c>
      <c r="I1385" s="655">
        <v>801597</v>
      </c>
      <c r="J1385" s="655">
        <v>765095</v>
      </c>
      <c r="K1385" s="655">
        <v>84850</v>
      </c>
      <c r="L1385" s="655">
        <v>87380</v>
      </c>
      <c r="M1385" s="655">
        <v>434819</v>
      </c>
      <c r="N1385" s="655">
        <v>427862</v>
      </c>
      <c r="O1385" s="655">
        <v>0</v>
      </c>
      <c r="P1385" s="655">
        <v>73763</v>
      </c>
      <c r="Q1385" s="655">
        <v>81040</v>
      </c>
      <c r="R1385" s="655">
        <v>0</v>
      </c>
      <c r="S1385" s="655">
        <v>39974</v>
      </c>
      <c r="T1385" s="655">
        <v>4652</v>
      </c>
      <c r="U1385" s="655">
        <v>89781</v>
      </c>
      <c r="V1385" s="655">
        <v>0</v>
      </c>
      <c r="W1385" s="655">
        <v>28312</v>
      </c>
      <c r="X1385" s="655">
        <v>0</v>
      </c>
      <c r="Y1385" s="655">
        <v>0</v>
      </c>
      <c r="Z1385" s="655">
        <v>0</v>
      </c>
      <c r="AA1385" s="655">
        <v>0</v>
      </c>
      <c r="AB1385" s="655">
        <v>0</v>
      </c>
      <c r="AC1385" s="655">
        <v>0</v>
      </c>
      <c r="AD1385" s="655">
        <v>54455</v>
      </c>
      <c r="AE1385" s="655">
        <v>11941591</v>
      </c>
      <c r="AF1385" s="655">
        <v>197730</v>
      </c>
      <c r="AG1385" s="655">
        <v>527159</v>
      </c>
      <c r="AH1385" s="655">
        <v>0</v>
      </c>
      <c r="AI1385" s="655">
        <v>0</v>
      </c>
      <c r="AJ1385" s="655">
        <v>745715.0700000003</v>
      </c>
      <c r="AK1385" s="655">
        <v>13412195.07</v>
      </c>
      <c r="AL1385" s="655">
        <v>0</v>
      </c>
      <c r="AM1385" s="655">
        <v>13412195.07</v>
      </c>
    </row>
    <row r="1386" spans="1:39" x14ac:dyDescent="0.2">
      <c r="A1386" s="648">
        <v>2017</v>
      </c>
      <c r="B1386" s="648">
        <v>15</v>
      </c>
      <c r="C1386" s="657" t="s">
        <v>127</v>
      </c>
      <c r="D1386" s="648">
        <v>1071</v>
      </c>
      <c r="E1386" s="648" t="s">
        <v>1051</v>
      </c>
      <c r="F1386" s="655">
        <v>8879080</v>
      </c>
      <c r="G1386" s="655">
        <v>74584</v>
      </c>
      <c r="H1386" s="655">
        <v>110995</v>
      </c>
      <c r="I1386" s="655">
        <v>1025630</v>
      </c>
      <c r="J1386" s="655">
        <v>758901</v>
      </c>
      <c r="K1386" s="655">
        <v>87042</v>
      </c>
      <c r="L1386" s="655">
        <v>91942</v>
      </c>
      <c r="M1386" s="655">
        <v>0</v>
      </c>
      <c r="N1386" s="655">
        <v>427615</v>
      </c>
      <c r="O1386" s="655">
        <v>10461</v>
      </c>
      <c r="P1386" s="655">
        <v>71957</v>
      </c>
      <c r="Q1386" s="655">
        <v>79045</v>
      </c>
      <c r="R1386" s="655">
        <v>0</v>
      </c>
      <c r="S1386" s="655">
        <v>42836</v>
      </c>
      <c r="T1386" s="655">
        <v>4647</v>
      </c>
      <c r="U1386" s="655">
        <v>346414</v>
      </c>
      <c r="V1386" s="655">
        <v>0</v>
      </c>
      <c r="W1386" s="655">
        <v>47843</v>
      </c>
      <c r="X1386" s="655">
        <v>0</v>
      </c>
      <c r="Y1386" s="655">
        <v>0</v>
      </c>
      <c r="Z1386" s="655">
        <v>0</v>
      </c>
      <c r="AA1386" s="655">
        <v>0</v>
      </c>
      <c r="AB1386" s="655">
        <v>0</v>
      </c>
      <c r="AC1386" s="655">
        <v>0</v>
      </c>
      <c r="AD1386" s="655">
        <v>89649</v>
      </c>
      <c r="AE1386" s="655">
        <v>11969343</v>
      </c>
      <c r="AF1386" s="655">
        <v>207617</v>
      </c>
      <c r="AG1386" s="655">
        <v>98293</v>
      </c>
      <c r="AH1386" s="655">
        <v>0</v>
      </c>
      <c r="AI1386" s="655">
        <v>0</v>
      </c>
      <c r="AJ1386" s="655">
        <v>2618778.0799999982</v>
      </c>
      <c r="AK1386" s="655">
        <v>14894031.079999998</v>
      </c>
      <c r="AL1386" s="655">
        <v>0</v>
      </c>
      <c r="AM1386" s="655">
        <v>14894031.079999998</v>
      </c>
    </row>
    <row r="1387" spans="1:39" x14ac:dyDescent="0.2">
      <c r="A1387" s="648">
        <v>2017</v>
      </c>
      <c r="B1387" s="648">
        <v>15</v>
      </c>
      <c r="C1387" s="657" t="s">
        <v>128</v>
      </c>
      <c r="D1387" s="648">
        <v>1079</v>
      </c>
      <c r="E1387" s="648" t="s">
        <v>1052</v>
      </c>
      <c r="F1387" s="655">
        <v>5181185</v>
      </c>
      <c r="G1387" s="655">
        <v>183434</v>
      </c>
      <c r="H1387" s="655">
        <v>58568</v>
      </c>
      <c r="I1387" s="655">
        <v>563531</v>
      </c>
      <c r="J1387" s="655">
        <v>480062</v>
      </c>
      <c r="K1387" s="655">
        <v>61915</v>
      </c>
      <c r="L1387" s="655">
        <v>52176</v>
      </c>
      <c r="M1387" s="655">
        <v>0</v>
      </c>
      <c r="N1387" s="655">
        <v>250236</v>
      </c>
      <c r="O1387" s="655">
        <v>6166</v>
      </c>
      <c r="P1387" s="655">
        <v>43066</v>
      </c>
      <c r="Q1387" s="655">
        <v>47309</v>
      </c>
      <c r="R1387" s="655">
        <v>0</v>
      </c>
      <c r="S1387" s="655">
        <v>25674</v>
      </c>
      <c r="T1387" s="655">
        <v>2777</v>
      </c>
      <c r="U1387" s="655">
        <v>102937</v>
      </c>
      <c r="V1387" s="655">
        <v>0</v>
      </c>
      <c r="W1387" s="655">
        <v>27906</v>
      </c>
      <c r="X1387" s="655">
        <v>0</v>
      </c>
      <c r="Y1387" s="655">
        <v>0</v>
      </c>
      <c r="Z1387" s="655">
        <v>0</v>
      </c>
      <c r="AA1387" s="655">
        <v>0</v>
      </c>
      <c r="AB1387" s="655">
        <v>0</v>
      </c>
      <c r="AC1387" s="655">
        <v>0</v>
      </c>
      <c r="AD1387" s="655">
        <v>54416</v>
      </c>
      <c r="AE1387" s="655">
        <v>7032526</v>
      </c>
      <c r="AF1387" s="655">
        <v>0</v>
      </c>
      <c r="AG1387" s="655">
        <v>396606</v>
      </c>
      <c r="AH1387" s="655">
        <v>0</v>
      </c>
      <c r="AI1387" s="655">
        <v>0</v>
      </c>
      <c r="AJ1387" s="655">
        <v>1787899.620000001</v>
      </c>
      <c r="AK1387" s="655">
        <v>9217031.620000001</v>
      </c>
      <c r="AL1387" s="655">
        <v>0</v>
      </c>
      <c r="AM1387" s="655">
        <v>9217031.620000001</v>
      </c>
    </row>
    <row r="1388" spans="1:39" x14ac:dyDescent="0.2">
      <c r="A1388" s="648">
        <v>2017</v>
      </c>
      <c r="B1388" s="648">
        <v>1</v>
      </c>
      <c r="C1388" s="657" t="s">
        <v>129</v>
      </c>
      <c r="D1388" s="648">
        <v>1080</v>
      </c>
      <c r="E1388" s="648" t="s">
        <v>1053</v>
      </c>
      <c r="F1388" s="655">
        <v>2954745</v>
      </c>
      <c r="G1388" s="655">
        <v>0</v>
      </c>
      <c r="H1388" s="655">
        <v>154348</v>
      </c>
      <c r="I1388" s="655">
        <v>391044</v>
      </c>
      <c r="J1388" s="655">
        <v>261659</v>
      </c>
      <c r="K1388" s="655">
        <v>27037</v>
      </c>
      <c r="L1388" s="655">
        <v>26625</v>
      </c>
      <c r="M1388" s="655">
        <v>0</v>
      </c>
      <c r="N1388" s="655">
        <v>154289</v>
      </c>
      <c r="O1388" s="655">
        <v>14707</v>
      </c>
      <c r="P1388" s="655">
        <v>24336</v>
      </c>
      <c r="Q1388" s="655">
        <v>27151</v>
      </c>
      <c r="R1388" s="655">
        <v>0</v>
      </c>
      <c r="S1388" s="655">
        <v>15277</v>
      </c>
      <c r="T1388" s="655">
        <v>1633</v>
      </c>
      <c r="U1388" s="655">
        <v>35000</v>
      </c>
      <c r="V1388" s="655">
        <v>0</v>
      </c>
      <c r="W1388" s="655">
        <v>70906</v>
      </c>
      <c r="X1388" s="655">
        <v>0</v>
      </c>
      <c r="Y1388" s="655">
        <v>0</v>
      </c>
      <c r="Z1388" s="655">
        <v>0</v>
      </c>
      <c r="AA1388" s="655">
        <v>0</v>
      </c>
      <c r="AB1388" s="655">
        <v>0</v>
      </c>
      <c r="AC1388" s="655">
        <v>0</v>
      </c>
      <c r="AD1388" s="655">
        <v>34936</v>
      </c>
      <c r="AE1388" s="655">
        <v>4123821</v>
      </c>
      <c r="AF1388" s="655">
        <v>79092</v>
      </c>
      <c r="AG1388" s="655">
        <v>234844</v>
      </c>
      <c r="AH1388" s="655">
        <v>0</v>
      </c>
      <c r="AI1388" s="655">
        <v>0</v>
      </c>
      <c r="AJ1388" s="655">
        <v>1579315.9000000004</v>
      </c>
      <c r="AK1388" s="655">
        <v>6017072.9000000004</v>
      </c>
      <c r="AL1388" s="655">
        <v>0</v>
      </c>
      <c r="AM1388" s="655">
        <v>6017072.9000000004</v>
      </c>
    </row>
    <row r="1389" spans="1:39" x14ac:dyDescent="0.2">
      <c r="A1389" s="648">
        <v>2017</v>
      </c>
      <c r="B1389" s="648">
        <v>9</v>
      </c>
      <c r="C1389" s="657" t="s">
        <v>130</v>
      </c>
      <c r="D1389" s="648">
        <v>1082</v>
      </c>
      <c r="E1389" s="648" t="s">
        <v>1722</v>
      </c>
      <c r="F1389" s="655">
        <v>9562882</v>
      </c>
      <c r="G1389" s="655">
        <v>0</v>
      </c>
      <c r="H1389" s="655">
        <v>153841</v>
      </c>
      <c r="I1389" s="655">
        <v>1027141</v>
      </c>
      <c r="J1389" s="655">
        <v>845526</v>
      </c>
      <c r="K1389" s="655">
        <v>91508</v>
      </c>
      <c r="L1389" s="655">
        <v>86183</v>
      </c>
      <c r="M1389" s="655">
        <v>463882</v>
      </c>
      <c r="N1389" s="655">
        <v>467079</v>
      </c>
      <c r="O1389" s="655">
        <v>0</v>
      </c>
      <c r="P1389" s="655">
        <v>86951</v>
      </c>
      <c r="Q1389" s="655">
        <v>94880</v>
      </c>
      <c r="R1389" s="655">
        <v>0</v>
      </c>
      <c r="S1389" s="655">
        <v>42145</v>
      </c>
      <c r="T1389" s="655">
        <v>4949</v>
      </c>
      <c r="U1389" s="655">
        <v>157507</v>
      </c>
      <c r="V1389" s="655">
        <v>0</v>
      </c>
      <c r="W1389" s="655">
        <v>124156</v>
      </c>
      <c r="X1389" s="655">
        <v>0</v>
      </c>
      <c r="Y1389" s="655">
        <v>0</v>
      </c>
      <c r="Z1389" s="655">
        <v>0</v>
      </c>
      <c r="AA1389" s="655">
        <v>0</v>
      </c>
      <c r="AB1389" s="655">
        <v>0</v>
      </c>
      <c r="AC1389" s="655">
        <v>3352</v>
      </c>
      <c r="AD1389" s="655">
        <v>90206</v>
      </c>
      <c r="AE1389" s="655">
        <v>13121776</v>
      </c>
      <c r="AF1389" s="655">
        <v>296595</v>
      </c>
      <c r="AG1389" s="655">
        <v>722380</v>
      </c>
      <c r="AH1389" s="655">
        <v>0</v>
      </c>
      <c r="AI1389" s="655">
        <v>0</v>
      </c>
      <c r="AJ1389" s="655">
        <v>1125654.4499999993</v>
      </c>
      <c r="AK1389" s="655">
        <v>15266405.449999999</v>
      </c>
      <c r="AL1389" s="655">
        <v>0</v>
      </c>
      <c r="AM1389" s="655">
        <v>15266405.449999999</v>
      </c>
    </row>
    <row r="1390" spans="1:39" x14ac:dyDescent="0.2">
      <c r="A1390" s="648">
        <v>2017</v>
      </c>
      <c r="B1390" s="648">
        <v>10</v>
      </c>
      <c r="C1390" s="657" t="s">
        <v>131</v>
      </c>
      <c r="D1390" s="648">
        <v>1089</v>
      </c>
      <c r="E1390" s="648" t="s">
        <v>1054</v>
      </c>
      <c r="F1390" s="655">
        <v>3178991</v>
      </c>
      <c r="G1390" s="655">
        <v>101129</v>
      </c>
      <c r="H1390" s="655">
        <v>201050</v>
      </c>
      <c r="I1390" s="655">
        <v>335993</v>
      </c>
      <c r="J1390" s="655">
        <v>299560</v>
      </c>
      <c r="K1390" s="655">
        <v>29172</v>
      </c>
      <c r="L1390" s="655">
        <v>33360</v>
      </c>
      <c r="M1390" s="655">
        <v>0</v>
      </c>
      <c r="N1390" s="655">
        <v>152594</v>
      </c>
      <c r="O1390" s="655">
        <v>1393</v>
      </c>
      <c r="P1390" s="655">
        <v>25936</v>
      </c>
      <c r="Q1390" s="655">
        <v>28494</v>
      </c>
      <c r="R1390" s="655">
        <v>0</v>
      </c>
      <c r="S1390" s="655">
        <v>14357</v>
      </c>
      <c r="T1390" s="655">
        <v>1668</v>
      </c>
      <c r="U1390" s="655">
        <v>33601</v>
      </c>
      <c r="V1390" s="655">
        <v>0</v>
      </c>
      <c r="W1390" s="655">
        <v>104591</v>
      </c>
      <c r="X1390" s="655">
        <v>0</v>
      </c>
      <c r="Y1390" s="655">
        <v>0</v>
      </c>
      <c r="Z1390" s="655">
        <v>0</v>
      </c>
      <c r="AA1390" s="655">
        <v>0</v>
      </c>
      <c r="AB1390" s="655">
        <v>0</v>
      </c>
      <c r="AC1390" s="655">
        <v>6507</v>
      </c>
      <c r="AD1390" s="655">
        <v>27737</v>
      </c>
      <c r="AE1390" s="655">
        <v>4520659</v>
      </c>
      <c r="AF1390" s="655">
        <v>105456</v>
      </c>
      <c r="AG1390" s="655">
        <v>233282</v>
      </c>
      <c r="AH1390" s="655">
        <v>0</v>
      </c>
      <c r="AI1390" s="655">
        <v>0</v>
      </c>
      <c r="AJ1390" s="655">
        <v>293133.40000000037</v>
      </c>
      <c r="AK1390" s="655">
        <v>5152530.4000000004</v>
      </c>
      <c r="AL1390" s="655">
        <v>0</v>
      </c>
      <c r="AM1390" s="655">
        <v>5152530.4000000004</v>
      </c>
    </row>
    <row r="1391" spans="1:39" x14ac:dyDescent="0.2">
      <c r="A1391" s="648">
        <v>2017</v>
      </c>
      <c r="B1391" s="648">
        <v>13</v>
      </c>
      <c r="C1391" s="657" t="s">
        <v>132</v>
      </c>
      <c r="D1391" s="648">
        <v>1093</v>
      </c>
      <c r="E1391" s="648" t="s">
        <v>1055</v>
      </c>
      <c r="F1391" s="655">
        <v>4508244</v>
      </c>
      <c r="G1391" s="655">
        <v>0</v>
      </c>
      <c r="H1391" s="655">
        <v>116305</v>
      </c>
      <c r="I1391" s="655">
        <v>623443</v>
      </c>
      <c r="J1391" s="655">
        <v>405195</v>
      </c>
      <c r="K1391" s="655">
        <v>41806</v>
      </c>
      <c r="L1391" s="655">
        <v>54515</v>
      </c>
      <c r="M1391" s="655">
        <v>218688</v>
      </c>
      <c r="N1391" s="655">
        <v>225589</v>
      </c>
      <c r="O1391" s="655">
        <v>0</v>
      </c>
      <c r="P1391" s="655">
        <v>36888</v>
      </c>
      <c r="Q1391" s="655">
        <v>40794</v>
      </c>
      <c r="R1391" s="655">
        <v>0</v>
      </c>
      <c r="S1391" s="655">
        <v>23163</v>
      </c>
      <c r="T1391" s="655">
        <v>2468</v>
      </c>
      <c r="U1391" s="655">
        <v>68900</v>
      </c>
      <c r="V1391" s="655">
        <v>0</v>
      </c>
      <c r="W1391" s="655">
        <v>25784</v>
      </c>
      <c r="X1391" s="655">
        <v>0</v>
      </c>
      <c r="Y1391" s="655">
        <v>0</v>
      </c>
      <c r="Z1391" s="655">
        <v>0</v>
      </c>
      <c r="AA1391" s="655">
        <v>0</v>
      </c>
      <c r="AB1391" s="655">
        <v>0</v>
      </c>
      <c r="AC1391" s="655">
        <v>6446</v>
      </c>
      <c r="AD1391" s="655">
        <v>41563</v>
      </c>
      <c r="AE1391" s="655">
        <v>6356665</v>
      </c>
      <c r="AF1391" s="655">
        <v>135116</v>
      </c>
      <c r="AG1391" s="655">
        <v>263552</v>
      </c>
      <c r="AH1391" s="655">
        <v>0</v>
      </c>
      <c r="AI1391" s="655">
        <v>0</v>
      </c>
      <c r="AJ1391" s="655">
        <v>1229954.4699999988</v>
      </c>
      <c r="AK1391" s="655">
        <v>7985287.4699999988</v>
      </c>
      <c r="AL1391" s="655">
        <v>0</v>
      </c>
      <c r="AM1391" s="655">
        <v>7985287.4699999988</v>
      </c>
    </row>
    <row r="1392" spans="1:39" x14ac:dyDescent="0.2">
      <c r="A1392" s="648">
        <v>2017</v>
      </c>
      <c r="B1392" s="648">
        <v>12</v>
      </c>
      <c r="C1392" s="657" t="s">
        <v>133</v>
      </c>
      <c r="D1392" s="648">
        <v>1095</v>
      </c>
      <c r="E1392" s="648" t="s">
        <v>1057</v>
      </c>
      <c r="F1392" s="655">
        <v>5061888</v>
      </c>
      <c r="G1392" s="655">
        <v>0</v>
      </c>
      <c r="H1392" s="655">
        <v>88623</v>
      </c>
      <c r="I1392" s="655">
        <v>520689</v>
      </c>
      <c r="J1392" s="655">
        <v>423997</v>
      </c>
      <c r="K1392" s="655">
        <v>48868</v>
      </c>
      <c r="L1392" s="655">
        <v>44974</v>
      </c>
      <c r="M1392" s="655">
        <v>245545</v>
      </c>
      <c r="N1392" s="655">
        <v>250983</v>
      </c>
      <c r="O1392" s="655">
        <v>0</v>
      </c>
      <c r="P1392" s="655">
        <v>47542</v>
      </c>
      <c r="Q1392" s="655">
        <v>53357</v>
      </c>
      <c r="R1392" s="655">
        <v>0</v>
      </c>
      <c r="S1392" s="655">
        <v>25215</v>
      </c>
      <c r="T1392" s="655">
        <v>3015</v>
      </c>
      <c r="U1392" s="655">
        <v>156045</v>
      </c>
      <c r="V1392" s="655">
        <v>0</v>
      </c>
      <c r="W1392" s="655">
        <v>20788</v>
      </c>
      <c r="X1392" s="655">
        <v>0</v>
      </c>
      <c r="Y1392" s="655">
        <v>0</v>
      </c>
      <c r="Z1392" s="655">
        <v>0</v>
      </c>
      <c r="AA1392" s="655">
        <v>0</v>
      </c>
      <c r="AB1392" s="655">
        <v>0</v>
      </c>
      <c r="AC1392" s="655">
        <v>-645</v>
      </c>
      <c r="AD1392" s="655">
        <v>40603</v>
      </c>
      <c r="AE1392" s="655">
        <v>6950281</v>
      </c>
      <c r="AF1392" s="655">
        <v>177957</v>
      </c>
      <c r="AG1392" s="655">
        <v>390575</v>
      </c>
      <c r="AH1392" s="655">
        <v>0</v>
      </c>
      <c r="AI1392" s="655">
        <v>0</v>
      </c>
      <c r="AJ1392" s="655">
        <v>1456192.129999999</v>
      </c>
      <c r="AK1392" s="655">
        <v>8975005.129999999</v>
      </c>
      <c r="AL1392" s="655">
        <v>0</v>
      </c>
      <c r="AM1392" s="655">
        <v>8975005.129999999</v>
      </c>
    </row>
    <row r="1393" spans="1:39" x14ac:dyDescent="0.2">
      <c r="A1393" s="648">
        <v>2017</v>
      </c>
      <c r="B1393" s="648">
        <v>15</v>
      </c>
      <c r="C1393" s="657" t="s">
        <v>134</v>
      </c>
      <c r="D1393" s="648">
        <v>1107</v>
      </c>
      <c r="E1393" s="648" t="s">
        <v>1058</v>
      </c>
      <c r="F1393" s="655">
        <v>8560391</v>
      </c>
      <c r="G1393" s="655">
        <v>297090</v>
      </c>
      <c r="H1393" s="655">
        <v>184126</v>
      </c>
      <c r="I1393" s="655">
        <v>924388</v>
      </c>
      <c r="J1393" s="655">
        <v>742724</v>
      </c>
      <c r="K1393" s="655">
        <v>79195</v>
      </c>
      <c r="L1393" s="655">
        <v>102963</v>
      </c>
      <c r="M1393" s="655">
        <v>425401</v>
      </c>
      <c r="N1393" s="655">
        <v>413151</v>
      </c>
      <c r="O1393" s="655">
        <v>27230</v>
      </c>
      <c r="P1393" s="655">
        <v>70070</v>
      </c>
      <c r="Q1393" s="655">
        <v>76973</v>
      </c>
      <c r="R1393" s="655">
        <v>0</v>
      </c>
      <c r="S1393" s="655">
        <v>42973</v>
      </c>
      <c r="T1393" s="655">
        <v>4647</v>
      </c>
      <c r="U1393" s="655">
        <v>226046</v>
      </c>
      <c r="V1393" s="655">
        <v>0</v>
      </c>
      <c r="W1393" s="655">
        <v>145832</v>
      </c>
      <c r="X1393" s="655">
        <v>0</v>
      </c>
      <c r="Y1393" s="655">
        <v>0</v>
      </c>
      <c r="Z1393" s="655">
        <v>0</v>
      </c>
      <c r="AA1393" s="655">
        <v>0</v>
      </c>
      <c r="AB1393" s="655">
        <v>0</v>
      </c>
      <c r="AC1393" s="655">
        <v>0</v>
      </c>
      <c r="AD1393" s="655">
        <v>81277</v>
      </c>
      <c r="AE1393" s="655">
        <v>12241923</v>
      </c>
      <c r="AF1393" s="655">
        <v>247163</v>
      </c>
      <c r="AG1393" s="655">
        <v>563070</v>
      </c>
      <c r="AH1393" s="655">
        <v>0</v>
      </c>
      <c r="AI1393" s="655">
        <v>0</v>
      </c>
      <c r="AJ1393" s="655">
        <v>4410901</v>
      </c>
      <c r="AK1393" s="655">
        <v>17463057</v>
      </c>
      <c r="AL1393" s="655">
        <v>0</v>
      </c>
      <c r="AM1393" s="655">
        <v>17463057</v>
      </c>
    </row>
    <row r="1394" spans="1:39" x14ac:dyDescent="0.2">
      <c r="A1394" s="648">
        <v>2017</v>
      </c>
      <c r="B1394" s="648">
        <v>7</v>
      </c>
      <c r="C1394" s="657" t="s">
        <v>135</v>
      </c>
      <c r="D1394" s="648">
        <v>1116</v>
      </c>
      <c r="E1394" s="648" t="s">
        <v>1059</v>
      </c>
      <c r="F1394" s="655">
        <v>10185341</v>
      </c>
      <c r="G1394" s="655">
        <v>0</v>
      </c>
      <c r="H1394" s="655">
        <v>196038</v>
      </c>
      <c r="I1394" s="655">
        <v>1382743</v>
      </c>
      <c r="J1394" s="655">
        <v>867339</v>
      </c>
      <c r="K1394" s="655">
        <v>102573</v>
      </c>
      <c r="L1394" s="655">
        <v>100981</v>
      </c>
      <c r="M1394" s="655">
        <v>0</v>
      </c>
      <c r="N1394" s="655">
        <v>509719</v>
      </c>
      <c r="O1394" s="655">
        <v>2162</v>
      </c>
      <c r="P1394" s="655">
        <v>92788</v>
      </c>
      <c r="Q1394" s="655">
        <v>103618</v>
      </c>
      <c r="R1394" s="655">
        <v>0</v>
      </c>
      <c r="S1394" s="655">
        <v>64632</v>
      </c>
      <c r="T1394" s="655">
        <v>7427</v>
      </c>
      <c r="U1394" s="655">
        <v>368182</v>
      </c>
      <c r="V1394" s="655">
        <v>0</v>
      </c>
      <c r="W1394" s="655">
        <v>29581</v>
      </c>
      <c r="X1394" s="655">
        <v>0</v>
      </c>
      <c r="Y1394" s="655">
        <v>0</v>
      </c>
      <c r="Z1394" s="655">
        <v>0</v>
      </c>
      <c r="AA1394" s="655">
        <v>0</v>
      </c>
      <c r="AB1394" s="655">
        <v>0</v>
      </c>
      <c r="AC1394" s="655">
        <v>2472</v>
      </c>
      <c r="AD1394" s="655">
        <v>96783</v>
      </c>
      <c r="AE1394" s="655">
        <v>13918813</v>
      </c>
      <c r="AF1394" s="655">
        <v>171366</v>
      </c>
      <c r="AG1394" s="655">
        <v>542288</v>
      </c>
      <c r="AH1394" s="655">
        <v>0</v>
      </c>
      <c r="AI1394" s="655">
        <v>0</v>
      </c>
      <c r="AJ1394" s="655">
        <v>4644249.7699999996</v>
      </c>
      <c r="AK1394" s="655">
        <v>19276716.77</v>
      </c>
      <c r="AL1394" s="655">
        <v>0</v>
      </c>
      <c r="AM1394" s="655">
        <v>19276716.77</v>
      </c>
    </row>
    <row r="1395" spans="1:39" x14ac:dyDescent="0.2">
      <c r="A1395" s="648">
        <v>2017</v>
      </c>
      <c r="B1395" s="648">
        <v>12</v>
      </c>
      <c r="C1395" s="657" t="s">
        <v>136</v>
      </c>
      <c r="D1395" s="648">
        <v>1134</v>
      </c>
      <c r="E1395" s="648" t="s">
        <v>1060</v>
      </c>
      <c r="F1395" s="655">
        <v>1812574</v>
      </c>
      <c r="G1395" s="655">
        <v>74564</v>
      </c>
      <c r="H1395" s="655">
        <v>102417</v>
      </c>
      <c r="I1395" s="655">
        <v>301853</v>
      </c>
      <c r="J1395" s="655">
        <v>179999</v>
      </c>
      <c r="K1395" s="655">
        <v>18792</v>
      </c>
      <c r="L1395" s="655">
        <v>20598</v>
      </c>
      <c r="M1395" s="655">
        <v>0</v>
      </c>
      <c r="N1395" s="655">
        <v>94816</v>
      </c>
      <c r="O1395" s="655">
        <v>4865</v>
      </c>
      <c r="P1395" s="655">
        <v>14908</v>
      </c>
      <c r="Q1395" s="655">
        <v>16731</v>
      </c>
      <c r="R1395" s="655">
        <v>0</v>
      </c>
      <c r="S1395" s="655">
        <v>9766</v>
      </c>
      <c r="T1395" s="655">
        <v>1167</v>
      </c>
      <c r="U1395" s="655">
        <v>12964</v>
      </c>
      <c r="V1395" s="655">
        <v>0</v>
      </c>
      <c r="W1395" s="655">
        <v>90244</v>
      </c>
      <c r="X1395" s="655">
        <v>0</v>
      </c>
      <c r="Y1395" s="655">
        <v>0</v>
      </c>
      <c r="Z1395" s="655">
        <v>0</v>
      </c>
      <c r="AA1395" s="655">
        <v>0</v>
      </c>
      <c r="AB1395" s="655">
        <v>0</v>
      </c>
      <c r="AC1395" s="655">
        <v>0</v>
      </c>
      <c r="AD1395" s="655">
        <v>20708</v>
      </c>
      <c r="AE1395" s="655">
        <v>2735550</v>
      </c>
      <c r="AF1395" s="655">
        <v>62615</v>
      </c>
      <c r="AG1395" s="655">
        <v>163238</v>
      </c>
      <c r="AH1395" s="655">
        <v>0</v>
      </c>
      <c r="AI1395" s="655">
        <v>0</v>
      </c>
      <c r="AJ1395" s="655">
        <v>322304</v>
      </c>
      <c r="AK1395" s="655">
        <v>3283707</v>
      </c>
      <c r="AL1395" s="655">
        <v>0</v>
      </c>
      <c r="AM1395" s="655">
        <v>3283707</v>
      </c>
    </row>
    <row r="1396" spans="1:39" x14ac:dyDescent="0.2">
      <c r="A1396" s="648">
        <v>2017</v>
      </c>
      <c r="B1396" s="648">
        <v>12</v>
      </c>
      <c r="C1396" s="657" t="s">
        <v>137</v>
      </c>
      <c r="D1396" s="648">
        <v>1152</v>
      </c>
      <c r="E1396" s="648" t="s">
        <v>1061</v>
      </c>
      <c r="F1396" s="655">
        <v>6254107</v>
      </c>
      <c r="G1396" s="655">
        <v>20448</v>
      </c>
      <c r="H1396" s="655">
        <v>92138</v>
      </c>
      <c r="I1396" s="655">
        <v>904640</v>
      </c>
      <c r="J1396" s="655">
        <v>547070</v>
      </c>
      <c r="K1396" s="655">
        <v>61524</v>
      </c>
      <c r="L1396" s="655">
        <v>65743</v>
      </c>
      <c r="M1396" s="655">
        <v>0</v>
      </c>
      <c r="N1396" s="655">
        <v>319374</v>
      </c>
      <c r="O1396" s="655">
        <v>4220</v>
      </c>
      <c r="P1396" s="655">
        <v>51066</v>
      </c>
      <c r="Q1396" s="655">
        <v>57311</v>
      </c>
      <c r="R1396" s="655">
        <v>0</v>
      </c>
      <c r="S1396" s="655">
        <v>32433</v>
      </c>
      <c r="T1396" s="655">
        <v>3876</v>
      </c>
      <c r="U1396" s="655">
        <v>152775</v>
      </c>
      <c r="V1396" s="655">
        <v>0</v>
      </c>
      <c r="W1396" s="655">
        <v>51483</v>
      </c>
      <c r="X1396" s="655">
        <v>0</v>
      </c>
      <c r="Y1396" s="655">
        <v>0</v>
      </c>
      <c r="Z1396" s="655">
        <v>0</v>
      </c>
      <c r="AA1396" s="655">
        <v>0</v>
      </c>
      <c r="AB1396" s="655">
        <v>0</v>
      </c>
      <c r="AC1396" s="655">
        <v>-2859</v>
      </c>
      <c r="AD1396" s="655">
        <v>62119</v>
      </c>
      <c r="AE1396" s="655">
        <v>8553230</v>
      </c>
      <c r="AF1396" s="655">
        <v>135116</v>
      </c>
      <c r="AG1396" s="655">
        <v>366685</v>
      </c>
      <c r="AH1396" s="655">
        <v>0</v>
      </c>
      <c r="AI1396" s="655">
        <v>0</v>
      </c>
      <c r="AJ1396" s="655">
        <v>1953406</v>
      </c>
      <c r="AK1396" s="655">
        <v>11008437</v>
      </c>
      <c r="AL1396" s="655">
        <v>0</v>
      </c>
      <c r="AM1396" s="655">
        <v>11008437</v>
      </c>
    </row>
    <row r="1397" spans="1:39" x14ac:dyDescent="0.2">
      <c r="A1397" s="648">
        <v>2017</v>
      </c>
      <c r="B1397" s="648">
        <v>13</v>
      </c>
      <c r="C1397" s="657" t="s">
        <v>138</v>
      </c>
      <c r="D1397" s="648">
        <v>1197</v>
      </c>
      <c r="E1397" s="648" t="s">
        <v>1067</v>
      </c>
      <c r="F1397" s="655">
        <v>6479612</v>
      </c>
      <c r="G1397" s="655">
        <v>0</v>
      </c>
      <c r="H1397" s="655">
        <v>55523</v>
      </c>
      <c r="I1397" s="655">
        <v>517855</v>
      </c>
      <c r="J1397" s="655">
        <v>539014</v>
      </c>
      <c r="K1397" s="655">
        <v>50630</v>
      </c>
      <c r="L1397" s="655">
        <v>59281</v>
      </c>
      <c r="M1397" s="655">
        <v>0</v>
      </c>
      <c r="N1397" s="655">
        <v>307608</v>
      </c>
      <c r="O1397" s="655">
        <v>0</v>
      </c>
      <c r="P1397" s="655">
        <v>57112</v>
      </c>
      <c r="Q1397" s="655">
        <v>63159</v>
      </c>
      <c r="R1397" s="655">
        <v>0</v>
      </c>
      <c r="S1397" s="655">
        <v>31585</v>
      </c>
      <c r="T1397" s="655">
        <v>3365</v>
      </c>
      <c r="U1397" s="655">
        <v>121156</v>
      </c>
      <c r="V1397" s="655">
        <v>0</v>
      </c>
      <c r="W1397" s="655">
        <v>0</v>
      </c>
      <c r="X1397" s="655">
        <v>0</v>
      </c>
      <c r="Y1397" s="655">
        <v>0</v>
      </c>
      <c r="Z1397" s="655">
        <v>0</v>
      </c>
      <c r="AA1397" s="655">
        <v>0</v>
      </c>
      <c r="AB1397" s="655">
        <v>0</v>
      </c>
      <c r="AC1397" s="655">
        <v>-1418</v>
      </c>
      <c r="AD1397" s="655">
        <v>58462</v>
      </c>
      <c r="AE1397" s="655">
        <v>8226020</v>
      </c>
      <c r="AF1397" s="655">
        <v>0</v>
      </c>
      <c r="AG1397" s="655">
        <v>467050</v>
      </c>
      <c r="AH1397" s="655">
        <v>0</v>
      </c>
      <c r="AI1397" s="655">
        <v>0</v>
      </c>
      <c r="AJ1397" s="655">
        <v>2214924.92</v>
      </c>
      <c r="AK1397" s="655">
        <v>10907994.92</v>
      </c>
      <c r="AL1397" s="655">
        <v>0</v>
      </c>
      <c r="AM1397" s="655">
        <v>10907994.92</v>
      </c>
    </row>
    <row r="1398" spans="1:39" x14ac:dyDescent="0.2">
      <c r="A1398" s="648">
        <v>2017</v>
      </c>
      <c r="B1398" s="648">
        <v>5</v>
      </c>
      <c r="C1398" s="657" t="s">
        <v>139</v>
      </c>
      <c r="D1398" s="648">
        <v>1206</v>
      </c>
      <c r="E1398" s="648" t="s">
        <v>1636</v>
      </c>
      <c r="F1398" s="655">
        <v>6301989</v>
      </c>
      <c r="G1398" s="655">
        <v>0</v>
      </c>
      <c r="H1398" s="655">
        <v>622552</v>
      </c>
      <c r="I1398" s="655">
        <v>876355</v>
      </c>
      <c r="J1398" s="655">
        <v>549897</v>
      </c>
      <c r="K1398" s="655">
        <v>61955</v>
      </c>
      <c r="L1398" s="655">
        <v>67566</v>
      </c>
      <c r="M1398" s="655">
        <v>0</v>
      </c>
      <c r="N1398" s="655">
        <v>324672</v>
      </c>
      <c r="O1398" s="655">
        <v>0</v>
      </c>
      <c r="P1398" s="655">
        <v>51837</v>
      </c>
      <c r="Q1398" s="655">
        <v>58198</v>
      </c>
      <c r="R1398" s="655">
        <v>947</v>
      </c>
      <c r="S1398" s="655">
        <v>34548</v>
      </c>
      <c r="T1398" s="655">
        <v>4117</v>
      </c>
      <c r="U1398" s="655">
        <v>234486</v>
      </c>
      <c r="V1398" s="655">
        <v>0</v>
      </c>
      <c r="W1398" s="655">
        <v>126688</v>
      </c>
      <c r="X1398" s="655">
        <v>0</v>
      </c>
      <c r="Y1398" s="655">
        <v>0</v>
      </c>
      <c r="Z1398" s="655">
        <v>0</v>
      </c>
      <c r="AA1398" s="655">
        <v>0</v>
      </c>
      <c r="AB1398" s="655">
        <v>0</v>
      </c>
      <c r="AC1398" s="655">
        <v>-6481</v>
      </c>
      <c r="AD1398" s="655">
        <v>60678</v>
      </c>
      <c r="AE1398" s="655">
        <v>9248648</v>
      </c>
      <c r="AF1398" s="655">
        <v>138411</v>
      </c>
      <c r="AG1398" s="655">
        <v>525019</v>
      </c>
      <c r="AH1398" s="655">
        <v>0</v>
      </c>
      <c r="AI1398" s="655">
        <v>0</v>
      </c>
      <c r="AJ1398" s="655">
        <v>2928350.67</v>
      </c>
      <c r="AK1398" s="655">
        <v>12840428.67</v>
      </c>
      <c r="AL1398" s="655">
        <v>0</v>
      </c>
      <c r="AM1398" s="655">
        <v>12840428.67</v>
      </c>
    </row>
    <row r="1399" spans="1:39" x14ac:dyDescent="0.2">
      <c r="A1399" s="648">
        <v>2017</v>
      </c>
      <c r="B1399" s="648">
        <v>13</v>
      </c>
      <c r="C1399" s="657" t="s">
        <v>140</v>
      </c>
      <c r="D1399" s="648">
        <v>1211</v>
      </c>
      <c r="E1399" s="648" t="s">
        <v>1068</v>
      </c>
      <c r="F1399" s="655">
        <v>9467312</v>
      </c>
      <c r="G1399" s="655">
        <v>0</v>
      </c>
      <c r="H1399" s="655">
        <v>332621</v>
      </c>
      <c r="I1399" s="655">
        <v>1292759</v>
      </c>
      <c r="J1399" s="655">
        <v>815416</v>
      </c>
      <c r="K1399" s="655">
        <v>84072</v>
      </c>
      <c r="L1399" s="655">
        <v>107141</v>
      </c>
      <c r="M1399" s="655">
        <v>0</v>
      </c>
      <c r="N1399" s="655">
        <v>473012</v>
      </c>
      <c r="O1399" s="655">
        <v>0</v>
      </c>
      <c r="P1399" s="655">
        <v>77443</v>
      </c>
      <c r="Q1399" s="655">
        <v>85643</v>
      </c>
      <c r="R1399" s="655">
        <v>0</v>
      </c>
      <c r="S1399" s="655">
        <v>48568</v>
      </c>
      <c r="T1399" s="655">
        <v>5175</v>
      </c>
      <c r="U1399" s="655">
        <v>1288</v>
      </c>
      <c r="V1399" s="655">
        <v>0</v>
      </c>
      <c r="W1399" s="655">
        <v>227203</v>
      </c>
      <c r="X1399" s="655">
        <v>0</v>
      </c>
      <c r="Y1399" s="655">
        <v>0</v>
      </c>
      <c r="Z1399" s="655">
        <v>0</v>
      </c>
      <c r="AA1399" s="655">
        <v>0</v>
      </c>
      <c r="AB1399" s="655">
        <v>0</v>
      </c>
      <c r="AC1399" s="655">
        <v>0</v>
      </c>
      <c r="AD1399" s="655">
        <v>77607</v>
      </c>
      <c r="AE1399" s="655">
        <v>12940046</v>
      </c>
      <c r="AF1399" s="655">
        <v>158184</v>
      </c>
      <c r="AG1399" s="655">
        <v>610263</v>
      </c>
      <c r="AH1399" s="655">
        <v>0</v>
      </c>
      <c r="AI1399" s="655">
        <v>0</v>
      </c>
      <c r="AJ1399" s="655">
        <v>4518085.8299999982</v>
      </c>
      <c r="AK1399" s="655">
        <v>18226578.829999998</v>
      </c>
      <c r="AL1399" s="655">
        <v>0</v>
      </c>
      <c r="AM1399" s="655">
        <v>18226578.829999998</v>
      </c>
    </row>
    <row r="1400" spans="1:39" x14ac:dyDescent="0.2">
      <c r="A1400" s="648">
        <v>2017</v>
      </c>
      <c r="B1400" s="648">
        <v>7</v>
      </c>
      <c r="C1400" s="657" t="s">
        <v>141</v>
      </c>
      <c r="D1400" s="648">
        <v>1215</v>
      </c>
      <c r="E1400" s="648" t="s">
        <v>1069</v>
      </c>
      <c r="F1400" s="655">
        <v>2254122</v>
      </c>
      <c r="G1400" s="655">
        <v>0</v>
      </c>
      <c r="H1400" s="655">
        <v>141126</v>
      </c>
      <c r="I1400" s="655">
        <v>277283</v>
      </c>
      <c r="J1400" s="655">
        <v>224667</v>
      </c>
      <c r="K1400" s="655">
        <v>24008</v>
      </c>
      <c r="L1400" s="655">
        <v>24634</v>
      </c>
      <c r="M1400" s="655">
        <v>0</v>
      </c>
      <c r="N1400" s="655">
        <v>112556</v>
      </c>
      <c r="O1400" s="655">
        <v>5238</v>
      </c>
      <c r="P1400" s="655">
        <v>18872</v>
      </c>
      <c r="Q1400" s="655">
        <v>21075</v>
      </c>
      <c r="R1400" s="655">
        <v>0</v>
      </c>
      <c r="S1400" s="655">
        <v>14272</v>
      </c>
      <c r="T1400" s="655">
        <v>1640</v>
      </c>
      <c r="U1400" s="655">
        <v>51961</v>
      </c>
      <c r="V1400" s="655">
        <v>0</v>
      </c>
      <c r="W1400" s="655">
        <v>14342</v>
      </c>
      <c r="X1400" s="655">
        <v>0</v>
      </c>
      <c r="Y1400" s="655">
        <v>0</v>
      </c>
      <c r="Z1400" s="655">
        <v>0</v>
      </c>
      <c r="AA1400" s="655">
        <v>0</v>
      </c>
      <c r="AB1400" s="655">
        <v>0</v>
      </c>
      <c r="AC1400" s="655">
        <v>0</v>
      </c>
      <c r="AD1400" s="655">
        <v>21594</v>
      </c>
      <c r="AE1400" s="655">
        <v>3164202</v>
      </c>
      <c r="AF1400" s="655">
        <v>65910</v>
      </c>
      <c r="AG1400" s="655">
        <v>161282</v>
      </c>
      <c r="AH1400" s="655">
        <v>0</v>
      </c>
      <c r="AI1400" s="655">
        <v>0</v>
      </c>
      <c r="AJ1400" s="655">
        <v>531942.43999999948</v>
      </c>
      <c r="AK1400" s="655">
        <v>3923336.4399999995</v>
      </c>
      <c r="AL1400" s="655">
        <v>0</v>
      </c>
      <c r="AM1400" s="655">
        <v>3923336.4399999995</v>
      </c>
    </row>
    <row r="1401" spans="1:39" x14ac:dyDescent="0.2">
      <c r="A1401" s="648">
        <v>2017</v>
      </c>
      <c r="B1401" s="648">
        <v>5</v>
      </c>
      <c r="C1401" s="657" t="s">
        <v>142</v>
      </c>
      <c r="D1401" s="648">
        <v>1218</v>
      </c>
      <c r="E1401" s="648" t="s">
        <v>1070</v>
      </c>
      <c r="F1401" s="655">
        <v>2452435</v>
      </c>
      <c r="G1401" s="655">
        <v>70666</v>
      </c>
      <c r="H1401" s="655">
        <v>91036</v>
      </c>
      <c r="I1401" s="655">
        <v>260361</v>
      </c>
      <c r="J1401" s="655">
        <v>232731</v>
      </c>
      <c r="K1401" s="655">
        <v>25559</v>
      </c>
      <c r="L1401" s="655">
        <v>23142</v>
      </c>
      <c r="M1401" s="655">
        <v>118818</v>
      </c>
      <c r="N1401" s="655">
        <v>121000</v>
      </c>
      <c r="O1401" s="655">
        <v>4033</v>
      </c>
      <c r="P1401" s="655">
        <v>20246</v>
      </c>
      <c r="Q1401" s="655">
        <v>22731</v>
      </c>
      <c r="R1401" s="655">
        <v>354</v>
      </c>
      <c r="S1401" s="655">
        <v>12879</v>
      </c>
      <c r="T1401" s="655">
        <v>1534</v>
      </c>
      <c r="U1401" s="655">
        <v>64297</v>
      </c>
      <c r="V1401" s="655">
        <v>0</v>
      </c>
      <c r="W1401" s="655">
        <v>83798</v>
      </c>
      <c r="X1401" s="655">
        <v>0</v>
      </c>
      <c r="Y1401" s="655">
        <v>0</v>
      </c>
      <c r="Z1401" s="655">
        <v>0</v>
      </c>
      <c r="AA1401" s="655">
        <v>0</v>
      </c>
      <c r="AB1401" s="655">
        <v>0</v>
      </c>
      <c r="AC1401" s="655">
        <v>0</v>
      </c>
      <c r="AD1401" s="655">
        <v>27149</v>
      </c>
      <c r="AE1401" s="655">
        <v>3578471</v>
      </c>
      <c r="AF1401" s="655">
        <v>62615</v>
      </c>
      <c r="AG1401" s="655">
        <v>221806</v>
      </c>
      <c r="AH1401" s="655">
        <v>0</v>
      </c>
      <c r="AI1401" s="655">
        <v>0</v>
      </c>
      <c r="AJ1401" s="655">
        <v>772953.81000000052</v>
      </c>
      <c r="AK1401" s="655">
        <v>4635845.8100000005</v>
      </c>
      <c r="AL1401" s="655">
        <v>0</v>
      </c>
      <c r="AM1401" s="655">
        <v>4635845.8100000005</v>
      </c>
    </row>
    <row r="1402" spans="1:39" x14ac:dyDescent="0.2">
      <c r="A1402" s="648">
        <v>2017</v>
      </c>
      <c r="B1402" s="648">
        <v>10</v>
      </c>
      <c r="C1402" s="657" t="s">
        <v>143</v>
      </c>
      <c r="D1402" s="648">
        <v>1221</v>
      </c>
      <c r="E1402" s="648" t="s">
        <v>2006</v>
      </c>
      <c r="F1402" s="655">
        <v>12558828</v>
      </c>
      <c r="G1402" s="655">
        <v>0</v>
      </c>
      <c r="H1402" s="655">
        <v>171142</v>
      </c>
      <c r="I1402" s="655">
        <v>1512944</v>
      </c>
      <c r="J1402" s="655">
        <v>1081079</v>
      </c>
      <c r="K1402" s="655">
        <v>117439</v>
      </c>
      <c r="L1402" s="655">
        <v>105822</v>
      </c>
      <c r="M1402" s="655">
        <v>605901</v>
      </c>
      <c r="N1402" s="655">
        <v>613195</v>
      </c>
      <c r="O1402" s="655">
        <v>0</v>
      </c>
      <c r="P1402" s="655">
        <v>103365</v>
      </c>
      <c r="Q1402" s="655">
        <v>113563</v>
      </c>
      <c r="R1402" s="655">
        <v>0</v>
      </c>
      <c r="S1402" s="655">
        <v>57289</v>
      </c>
      <c r="T1402" s="655">
        <v>6667</v>
      </c>
      <c r="U1402" s="655">
        <v>400341</v>
      </c>
      <c r="V1402" s="655">
        <v>0</v>
      </c>
      <c r="W1402" s="655">
        <v>735067</v>
      </c>
      <c r="X1402" s="655">
        <v>0</v>
      </c>
      <c r="Y1402" s="655">
        <v>0</v>
      </c>
      <c r="Z1402" s="655">
        <v>0</v>
      </c>
      <c r="AA1402" s="655">
        <v>0</v>
      </c>
      <c r="AB1402" s="655">
        <v>0</v>
      </c>
      <c r="AC1402" s="655">
        <v>0</v>
      </c>
      <c r="AD1402" s="655">
        <v>63736</v>
      </c>
      <c r="AE1402" s="655">
        <v>18118906</v>
      </c>
      <c r="AF1402" s="655">
        <v>316368</v>
      </c>
      <c r="AG1402" s="655">
        <v>980970</v>
      </c>
      <c r="AH1402" s="655">
        <v>0</v>
      </c>
      <c r="AI1402" s="655">
        <v>0</v>
      </c>
      <c r="AJ1402" s="655">
        <v>6409016.2199999988</v>
      </c>
      <c r="AK1402" s="655">
        <v>25825260.219999999</v>
      </c>
      <c r="AL1402" s="655">
        <v>0</v>
      </c>
      <c r="AM1402" s="655">
        <v>25825260.219999999</v>
      </c>
    </row>
    <row r="1403" spans="1:39" x14ac:dyDescent="0.2">
      <c r="A1403" s="648">
        <v>2017</v>
      </c>
      <c r="B1403" s="648">
        <v>7</v>
      </c>
      <c r="C1403" s="657" t="s">
        <v>144</v>
      </c>
      <c r="D1403" s="648">
        <v>1233</v>
      </c>
      <c r="E1403" s="648" t="s">
        <v>1071</v>
      </c>
      <c r="F1403" s="655">
        <v>8055520</v>
      </c>
      <c r="G1403" s="655">
        <v>0</v>
      </c>
      <c r="H1403" s="655">
        <v>149148</v>
      </c>
      <c r="I1403" s="655">
        <v>1135893</v>
      </c>
      <c r="J1403" s="655">
        <v>668067</v>
      </c>
      <c r="K1403" s="655">
        <v>73332</v>
      </c>
      <c r="L1403" s="655">
        <v>76436</v>
      </c>
      <c r="M1403" s="655">
        <v>0</v>
      </c>
      <c r="N1403" s="655">
        <v>408684</v>
      </c>
      <c r="O1403" s="655">
        <v>0</v>
      </c>
      <c r="P1403" s="655">
        <v>68547</v>
      </c>
      <c r="Q1403" s="655">
        <v>76548</v>
      </c>
      <c r="R1403" s="655">
        <v>0</v>
      </c>
      <c r="S1403" s="655">
        <v>51821</v>
      </c>
      <c r="T1403" s="655">
        <v>5955</v>
      </c>
      <c r="U1403" s="655">
        <v>267862</v>
      </c>
      <c r="V1403" s="655">
        <v>0</v>
      </c>
      <c r="W1403" s="655">
        <v>72356</v>
      </c>
      <c r="X1403" s="655">
        <v>0</v>
      </c>
      <c r="Y1403" s="655">
        <v>0</v>
      </c>
      <c r="Z1403" s="655">
        <v>0</v>
      </c>
      <c r="AA1403" s="655">
        <v>0</v>
      </c>
      <c r="AB1403" s="655">
        <v>0</v>
      </c>
      <c r="AC1403" s="655">
        <v>0</v>
      </c>
      <c r="AD1403" s="655">
        <v>81488</v>
      </c>
      <c r="AE1403" s="655">
        <v>11028681</v>
      </c>
      <c r="AF1403" s="655">
        <v>289859</v>
      </c>
      <c r="AG1403" s="655">
        <v>692614</v>
      </c>
      <c r="AH1403" s="655">
        <v>0</v>
      </c>
      <c r="AI1403" s="655">
        <v>0</v>
      </c>
      <c r="AJ1403" s="655">
        <v>1712080.6999999993</v>
      </c>
      <c r="AK1403" s="655">
        <v>13723234.699999999</v>
      </c>
      <c r="AL1403" s="655">
        <v>0</v>
      </c>
      <c r="AM1403" s="655">
        <v>13723234.699999999</v>
      </c>
    </row>
    <row r="1404" spans="1:39" x14ac:dyDescent="0.2">
      <c r="A1404" s="648">
        <v>2017</v>
      </c>
      <c r="B1404" s="648">
        <v>9</v>
      </c>
      <c r="C1404" s="657" t="s">
        <v>145</v>
      </c>
      <c r="D1404" s="648">
        <v>1278</v>
      </c>
      <c r="E1404" s="648" t="s">
        <v>1072</v>
      </c>
      <c r="F1404" s="655">
        <v>25528557</v>
      </c>
      <c r="G1404" s="655">
        <v>0</v>
      </c>
      <c r="H1404" s="655">
        <v>382298</v>
      </c>
      <c r="I1404" s="655">
        <v>4348363</v>
      </c>
      <c r="J1404" s="655">
        <v>2189948</v>
      </c>
      <c r="K1404" s="655">
        <v>252478</v>
      </c>
      <c r="L1404" s="655">
        <v>294596</v>
      </c>
      <c r="M1404" s="655">
        <v>1229771</v>
      </c>
      <c r="N1404" s="655">
        <v>1308606</v>
      </c>
      <c r="O1404" s="655">
        <v>23983</v>
      </c>
      <c r="P1404" s="655">
        <v>215820</v>
      </c>
      <c r="Q1404" s="655">
        <v>235498</v>
      </c>
      <c r="R1404" s="655">
        <v>0</v>
      </c>
      <c r="S1404" s="655">
        <v>118076</v>
      </c>
      <c r="T1404" s="655">
        <v>13865</v>
      </c>
      <c r="U1404" s="655">
        <v>859661</v>
      </c>
      <c r="V1404" s="655">
        <v>0</v>
      </c>
      <c r="W1404" s="655">
        <v>566037</v>
      </c>
      <c r="X1404" s="655">
        <v>0</v>
      </c>
      <c r="Y1404" s="655">
        <v>0</v>
      </c>
      <c r="Z1404" s="655">
        <v>0</v>
      </c>
      <c r="AA1404" s="655">
        <v>0</v>
      </c>
      <c r="AB1404" s="655">
        <v>0</v>
      </c>
      <c r="AC1404" s="655">
        <v>0</v>
      </c>
      <c r="AD1404" s="655">
        <v>255830</v>
      </c>
      <c r="AE1404" s="655">
        <v>37311727</v>
      </c>
      <c r="AF1404" s="655">
        <v>728378</v>
      </c>
      <c r="AG1404" s="655">
        <v>1656804</v>
      </c>
      <c r="AH1404" s="655">
        <v>0</v>
      </c>
      <c r="AI1404" s="655">
        <v>0</v>
      </c>
      <c r="AJ1404" s="655">
        <v>4037493.6400000006</v>
      </c>
      <c r="AK1404" s="655">
        <v>43734402.640000001</v>
      </c>
      <c r="AL1404" s="655">
        <v>0</v>
      </c>
      <c r="AM1404" s="655">
        <v>43734402.640000001</v>
      </c>
    </row>
    <row r="1405" spans="1:39" x14ac:dyDescent="0.2">
      <c r="A1405" s="648">
        <v>2017</v>
      </c>
      <c r="B1405" s="648">
        <v>11</v>
      </c>
      <c r="C1405" s="657" t="s">
        <v>146</v>
      </c>
      <c r="D1405" s="648">
        <v>1332</v>
      </c>
      <c r="E1405" s="648" t="s">
        <v>1073</v>
      </c>
      <c r="F1405" s="655">
        <v>4827908</v>
      </c>
      <c r="G1405" s="655">
        <v>30849</v>
      </c>
      <c r="H1405" s="655">
        <v>47613</v>
      </c>
      <c r="I1405" s="655">
        <v>437576</v>
      </c>
      <c r="J1405" s="655">
        <v>415745</v>
      </c>
      <c r="K1405" s="655">
        <v>40573</v>
      </c>
      <c r="L1405" s="655">
        <v>47693</v>
      </c>
      <c r="M1405" s="655">
        <v>0</v>
      </c>
      <c r="N1405" s="655">
        <v>225031</v>
      </c>
      <c r="O1405" s="655">
        <v>9857</v>
      </c>
      <c r="P1405" s="655">
        <v>39920</v>
      </c>
      <c r="Q1405" s="655">
        <v>43823</v>
      </c>
      <c r="R1405" s="655">
        <v>0</v>
      </c>
      <c r="S1405" s="655">
        <v>18542</v>
      </c>
      <c r="T1405" s="655">
        <v>2357</v>
      </c>
      <c r="U1405" s="655">
        <v>120670</v>
      </c>
      <c r="V1405" s="655">
        <v>0</v>
      </c>
      <c r="W1405" s="655">
        <v>96690</v>
      </c>
      <c r="X1405" s="655">
        <v>0</v>
      </c>
      <c r="Y1405" s="655">
        <v>0</v>
      </c>
      <c r="Z1405" s="655">
        <v>0</v>
      </c>
      <c r="AA1405" s="655">
        <v>0</v>
      </c>
      <c r="AB1405" s="655">
        <v>0</v>
      </c>
      <c r="AC1405" s="655">
        <v>-645</v>
      </c>
      <c r="AD1405" s="655">
        <v>48053</v>
      </c>
      <c r="AE1405" s="655">
        <v>6356149</v>
      </c>
      <c r="AF1405" s="655">
        <v>112047</v>
      </c>
      <c r="AG1405" s="655">
        <v>324468</v>
      </c>
      <c r="AH1405" s="655">
        <v>0</v>
      </c>
      <c r="AI1405" s="655">
        <v>0</v>
      </c>
      <c r="AJ1405" s="655">
        <v>678665.12000000104</v>
      </c>
      <c r="AK1405" s="655">
        <v>7471329.120000001</v>
      </c>
      <c r="AL1405" s="655">
        <v>0</v>
      </c>
      <c r="AM1405" s="655">
        <v>7471329.120000001</v>
      </c>
    </row>
    <row r="1406" spans="1:39" x14ac:dyDescent="0.2">
      <c r="A1406" s="648">
        <v>2017</v>
      </c>
      <c r="B1406" s="648">
        <v>10</v>
      </c>
      <c r="C1406" s="657" t="s">
        <v>147</v>
      </c>
      <c r="D1406" s="648">
        <v>1337</v>
      </c>
      <c r="E1406" s="648" t="s">
        <v>1074</v>
      </c>
      <c r="F1406" s="655">
        <v>32608313</v>
      </c>
      <c r="G1406" s="655">
        <v>0</v>
      </c>
      <c r="H1406" s="655">
        <v>408266</v>
      </c>
      <c r="I1406" s="655">
        <v>3224976</v>
      </c>
      <c r="J1406" s="655">
        <v>2666945</v>
      </c>
      <c r="K1406" s="655">
        <v>330189</v>
      </c>
      <c r="L1406" s="655">
        <v>345180</v>
      </c>
      <c r="M1406" s="655">
        <v>1581783</v>
      </c>
      <c r="N1406" s="655">
        <v>1570010</v>
      </c>
      <c r="O1406" s="655">
        <v>0</v>
      </c>
      <c r="P1406" s="655">
        <v>273860</v>
      </c>
      <c r="Q1406" s="655">
        <v>300880</v>
      </c>
      <c r="R1406" s="655">
        <v>0</v>
      </c>
      <c r="S1406" s="655">
        <v>146682</v>
      </c>
      <c r="T1406" s="655">
        <v>17071</v>
      </c>
      <c r="U1406" s="655">
        <v>1378012</v>
      </c>
      <c r="V1406" s="655">
        <v>0</v>
      </c>
      <c r="W1406" s="655">
        <v>958068</v>
      </c>
      <c r="X1406" s="655">
        <v>0</v>
      </c>
      <c r="Y1406" s="655">
        <v>0</v>
      </c>
      <c r="Z1406" s="655">
        <v>0</v>
      </c>
      <c r="AA1406" s="655">
        <v>0</v>
      </c>
      <c r="AB1406" s="655">
        <v>0</v>
      </c>
      <c r="AC1406" s="655">
        <v>-1418</v>
      </c>
      <c r="AD1406" s="655">
        <v>166036</v>
      </c>
      <c r="AE1406" s="655">
        <v>45642781</v>
      </c>
      <c r="AF1406" s="655">
        <v>932627</v>
      </c>
      <c r="AG1406" s="655">
        <v>2576056</v>
      </c>
      <c r="AH1406" s="655">
        <v>0</v>
      </c>
      <c r="AI1406" s="655">
        <v>0</v>
      </c>
      <c r="AJ1406" s="655">
        <v>6331672.3400000036</v>
      </c>
      <c r="AK1406" s="655">
        <v>55483136.340000004</v>
      </c>
      <c r="AL1406" s="655">
        <v>0</v>
      </c>
      <c r="AM1406" s="655">
        <v>55483136.340000004</v>
      </c>
    </row>
    <row r="1407" spans="1:39" x14ac:dyDescent="0.2">
      <c r="A1407" s="648">
        <v>2017</v>
      </c>
      <c r="B1407" s="648">
        <v>11</v>
      </c>
      <c r="C1407" s="657" t="s">
        <v>148</v>
      </c>
      <c r="D1407" s="648">
        <v>1350</v>
      </c>
      <c r="E1407" s="648" t="s">
        <v>1075</v>
      </c>
      <c r="F1407" s="655">
        <v>3189385</v>
      </c>
      <c r="G1407" s="655">
        <v>0</v>
      </c>
      <c r="H1407" s="655">
        <v>26713</v>
      </c>
      <c r="I1407" s="655">
        <v>364087</v>
      </c>
      <c r="J1407" s="655">
        <v>283890</v>
      </c>
      <c r="K1407" s="655">
        <v>28932</v>
      </c>
      <c r="L1407" s="655">
        <v>31608</v>
      </c>
      <c r="M1407" s="655">
        <v>154713</v>
      </c>
      <c r="N1407" s="655">
        <v>151865</v>
      </c>
      <c r="O1407" s="655">
        <v>0</v>
      </c>
      <c r="P1407" s="655">
        <v>26254</v>
      </c>
      <c r="Q1407" s="655">
        <v>28821</v>
      </c>
      <c r="R1407" s="655">
        <v>0</v>
      </c>
      <c r="S1407" s="655">
        <v>12513</v>
      </c>
      <c r="T1407" s="655">
        <v>1590</v>
      </c>
      <c r="U1407" s="655">
        <v>0</v>
      </c>
      <c r="V1407" s="655">
        <v>0</v>
      </c>
      <c r="W1407" s="655">
        <v>97943</v>
      </c>
      <c r="X1407" s="655">
        <v>0</v>
      </c>
      <c r="Y1407" s="655">
        <v>0</v>
      </c>
      <c r="Z1407" s="655">
        <v>0</v>
      </c>
      <c r="AA1407" s="655">
        <v>0</v>
      </c>
      <c r="AB1407" s="655">
        <v>0</v>
      </c>
      <c r="AC1407" s="655">
        <v>-580</v>
      </c>
      <c r="AD1407" s="655">
        <v>27962</v>
      </c>
      <c r="AE1407" s="655">
        <v>4369772</v>
      </c>
      <c r="AF1407" s="655">
        <v>29660</v>
      </c>
      <c r="AG1407" s="655">
        <v>233623</v>
      </c>
      <c r="AH1407" s="655">
        <v>0</v>
      </c>
      <c r="AI1407" s="655">
        <v>0</v>
      </c>
      <c r="AJ1407" s="655">
        <v>3385838.0500000007</v>
      </c>
      <c r="AK1407" s="655">
        <v>8018893.0500000007</v>
      </c>
      <c r="AL1407" s="655">
        <v>0</v>
      </c>
      <c r="AM1407" s="655">
        <v>8018893.0500000007</v>
      </c>
    </row>
    <row r="1408" spans="1:39" x14ac:dyDescent="0.2">
      <c r="A1408" s="648">
        <v>2017</v>
      </c>
      <c r="B1408" s="648">
        <v>11</v>
      </c>
      <c r="C1408" s="657" t="s">
        <v>149</v>
      </c>
      <c r="D1408" s="648">
        <v>1359</v>
      </c>
      <c r="E1408" s="648" t="s">
        <v>1076</v>
      </c>
      <c r="F1408" s="655">
        <v>3224986</v>
      </c>
      <c r="G1408" s="655">
        <v>189520</v>
      </c>
      <c r="H1408" s="655">
        <v>56140</v>
      </c>
      <c r="I1408" s="655">
        <v>205563</v>
      </c>
      <c r="J1408" s="655">
        <v>315943</v>
      </c>
      <c r="K1408" s="655">
        <v>31424</v>
      </c>
      <c r="L1408" s="655">
        <v>33311</v>
      </c>
      <c r="M1408" s="655">
        <v>163407</v>
      </c>
      <c r="N1408" s="655">
        <v>146102</v>
      </c>
      <c r="O1408" s="655">
        <v>9688</v>
      </c>
      <c r="P1408" s="655">
        <v>26470</v>
      </c>
      <c r="Q1408" s="655">
        <v>29058</v>
      </c>
      <c r="R1408" s="655">
        <v>0</v>
      </c>
      <c r="S1408" s="655">
        <v>12766</v>
      </c>
      <c r="T1408" s="655">
        <v>1624</v>
      </c>
      <c r="U1408" s="655">
        <v>78857</v>
      </c>
      <c r="V1408" s="655">
        <v>0</v>
      </c>
      <c r="W1408" s="655">
        <v>172363</v>
      </c>
      <c r="X1408" s="655">
        <v>0</v>
      </c>
      <c r="Y1408" s="655">
        <v>0</v>
      </c>
      <c r="Z1408" s="655">
        <v>0</v>
      </c>
      <c r="AA1408" s="655">
        <v>0</v>
      </c>
      <c r="AB1408" s="655">
        <v>0</v>
      </c>
      <c r="AC1408" s="655">
        <v>0</v>
      </c>
      <c r="AD1408" s="655">
        <v>31089</v>
      </c>
      <c r="AE1408" s="655">
        <v>4666133</v>
      </c>
      <c r="AF1408" s="655">
        <v>69206</v>
      </c>
      <c r="AG1408" s="655">
        <v>285487</v>
      </c>
      <c r="AH1408" s="655">
        <v>0</v>
      </c>
      <c r="AI1408" s="655">
        <v>0</v>
      </c>
      <c r="AJ1408" s="655">
        <v>313214.36000000034</v>
      </c>
      <c r="AK1408" s="655">
        <v>5334040.3600000003</v>
      </c>
      <c r="AL1408" s="655">
        <v>0</v>
      </c>
      <c r="AM1408" s="655">
        <v>5334040.3600000003</v>
      </c>
    </row>
    <row r="1409" spans="1:39" x14ac:dyDescent="0.2">
      <c r="A1409" s="648">
        <v>2017</v>
      </c>
      <c r="B1409" s="648">
        <v>9</v>
      </c>
      <c r="C1409" s="657" t="s">
        <v>150</v>
      </c>
      <c r="D1409" s="648">
        <v>1368</v>
      </c>
      <c r="E1409" s="648" t="s">
        <v>1077</v>
      </c>
      <c r="F1409" s="655">
        <v>5390779</v>
      </c>
      <c r="G1409" s="655">
        <v>0</v>
      </c>
      <c r="H1409" s="655">
        <v>347517</v>
      </c>
      <c r="I1409" s="655">
        <v>715058</v>
      </c>
      <c r="J1409" s="655">
        <v>493300</v>
      </c>
      <c r="K1409" s="655">
        <v>58799</v>
      </c>
      <c r="L1409" s="655">
        <v>60909</v>
      </c>
      <c r="M1409" s="655">
        <v>0</v>
      </c>
      <c r="N1409" s="655">
        <v>269302</v>
      </c>
      <c r="O1409" s="655">
        <v>29771</v>
      </c>
      <c r="P1409" s="655">
        <v>43959</v>
      </c>
      <c r="Q1409" s="655">
        <v>47968</v>
      </c>
      <c r="R1409" s="655">
        <v>0</v>
      </c>
      <c r="S1409" s="655">
        <v>24299</v>
      </c>
      <c r="T1409" s="655">
        <v>2853</v>
      </c>
      <c r="U1409" s="655">
        <v>51156</v>
      </c>
      <c r="V1409" s="655">
        <v>0</v>
      </c>
      <c r="W1409" s="655">
        <v>267972</v>
      </c>
      <c r="X1409" s="655">
        <v>0</v>
      </c>
      <c r="Y1409" s="655">
        <v>0</v>
      </c>
      <c r="Z1409" s="655">
        <v>0</v>
      </c>
      <c r="AA1409" s="655">
        <v>0</v>
      </c>
      <c r="AB1409" s="655">
        <v>0</v>
      </c>
      <c r="AC1409" s="655">
        <v>-1418</v>
      </c>
      <c r="AD1409" s="655">
        <v>56348</v>
      </c>
      <c r="AE1409" s="655">
        <v>7745876</v>
      </c>
      <c r="AF1409" s="655">
        <v>141707</v>
      </c>
      <c r="AG1409" s="655">
        <v>372557</v>
      </c>
      <c r="AH1409" s="655">
        <v>0</v>
      </c>
      <c r="AI1409" s="655">
        <v>0</v>
      </c>
      <c r="AJ1409" s="655">
        <v>473855.53000000119</v>
      </c>
      <c r="AK1409" s="655">
        <v>8733995.5300000012</v>
      </c>
      <c r="AL1409" s="655">
        <v>0</v>
      </c>
      <c r="AM1409" s="655">
        <v>8733995.5300000012</v>
      </c>
    </row>
    <row r="1410" spans="1:39" x14ac:dyDescent="0.2">
      <c r="A1410" s="648">
        <v>2017</v>
      </c>
      <c r="B1410" s="648">
        <v>11</v>
      </c>
      <c r="C1410" s="657" t="s">
        <v>151</v>
      </c>
      <c r="D1410" s="648">
        <v>1413</v>
      </c>
      <c r="E1410" s="648" t="s">
        <v>638</v>
      </c>
      <c r="F1410" s="655">
        <v>2699243</v>
      </c>
      <c r="G1410" s="655">
        <v>0</v>
      </c>
      <c r="H1410" s="655">
        <v>150588</v>
      </c>
      <c r="I1410" s="655">
        <v>325109</v>
      </c>
      <c r="J1410" s="655">
        <v>258223</v>
      </c>
      <c r="K1410" s="655">
        <v>27581</v>
      </c>
      <c r="L1410" s="655">
        <v>29604</v>
      </c>
      <c r="M1410" s="655">
        <v>0</v>
      </c>
      <c r="N1410" s="655">
        <v>126432</v>
      </c>
      <c r="O1410" s="655">
        <v>9658</v>
      </c>
      <c r="P1410" s="655">
        <v>21574</v>
      </c>
      <c r="Q1410" s="655">
        <v>23683</v>
      </c>
      <c r="R1410" s="655">
        <v>0</v>
      </c>
      <c r="S1410" s="655">
        <v>10418</v>
      </c>
      <c r="T1410" s="655">
        <v>1324</v>
      </c>
      <c r="U1410" s="655">
        <v>97723</v>
      </c>
      <c r="V1410" s="655">
        <v>0</v>
      </c>
      <c r="W1410" s="655">
        <v>157804</v>
      </c>
      <c r="X1410" s="655">
        <v>0</v>
      </c>
      <c r="Y1410" s="655">
        <v>0</v>
      </c>
      <c r="Z1410" s="655">
        <v>0</v>
      </c>
      <c r="AA1410" s="655">
        <v>0</v>
      </c>
      <c r="AB1410" s="655">
        <v>0</v>
      </c>
      <c r="AC1410" s="655">
        <v>0</v>
      </c>
      <c r="AD1410" s="655">
        <v>28287</v>
      </c>
      <c r="AE1410" s="655">
        <v>3910677</v>
      </c>
      <c r="AF1410" s="655">
        <v>105456</v>
      </c>
      <c r="AG1410" s="655">
        <v>224415</v>
      </c>
      <c r="AH1410" s="655">
        <v>0</v>
      </c>
      <c r="AI1410" s="655">
        <v>0</v>
      </c>
      <c r="AJ1410" s="655">
        <v>1042239.8499999996</v>
      </c>
      <c r="AK1410" s="655">
        <v>5282787.8499999996</v>
      </c>
      <c r="AL1410" s="655">
        <v>0</v>
      </c>
      <c r="AM1410" s="655">
        <v>5282787.8499999996</v>
      </c>
    </row>
    <row r="1411" spans="1:39" x14ac:dyDescent="0.2">
      <c r="A1411" s="648">
        <v>2017</v>
      </c>
      <c r="B1411" s="648">
        <v>13</v>
      </c>
      <c r="C1411" s="657" t="s">
        <v>152</v>
      </c>
      <c r="D1411" s="648">
        <v>1431</v>
      </c>
      <c r="E1411" s="648" t="s">
        <v>1078</v>
      </c>
      <c r="F1411" s="655">
        <v>2797917</v>
      </c>
      <c r="G1411" s="655">
        <v>0</v>
      </c>
      <c r="H1411" s="655">
        <v>180481</v>
      </c>
      <c r="I1411" s="655">
        <v>390580</v>
      </c>
      <c r="J1411" s="655">
        <v>274388</v>
      </c>
      <c r="K1411" s="655">
        <v>27629</v>
      </c>
      <c r="L1411" s="655">
        <v>32746</v>
      </c>
      <c r="M1411" s="655">
        <v>0</v>
      </c>
      <c r="N1411" s="655">
        <v>139174</v>
      </c>
      <c r="O1411" s="655">
        <v>12376</v>
      </c>
      <c r="P1411" s="655">
        <v>22758</v>
      </c>
      <c r="Q1411" s="655">
        <v>25168</v>
      </c>
      <c r="R1411" s="655">
        <v>0</v>
      </c>
      <c r="S1411" s="655">
        <v>14290</v>
      </c>
      <c r="T1411" s="655">
        <v>1523</v>
      </c>
      <c r="U1411" s="655">
        <v>95142</v>
      </c>
      <c r="V1411" s="655">
        <v>0</v>
      </c>
      <c r="W1411" s="655">
        <v>58014</v>
      </c>
      <c r="X1411" s="655">
        <v>0</v>
      </c>
      <c r="Y1411" s="655">
        <v>0</v>
      </c>
      <c r="Z1411" s="655">
        <v>0</v>
      </c>
      <c r="AA1411" s="655">
        <v>0</v>
      </c>
      <c r="AB1411" s="655">
        <v>0</v>
      </c>
      <c r="AC1411" s="655">
        <v>-1558</v>
      </c>
      <c r="AD1411" s="655">
        <v>33762</v>
      </c>
      <c r="AE1411" s="655">
        <v>4036866</v>
      </c>
      <c r="AF1411" s="655">
        <v>85683</v>
      </c>
      <c r="AG1411" s="655">
        <v>233486</v>
      </c>
      <c r="AH1411" s="655">
        <v>0</v>
      </c>
      <c r="AI1411" s="655">
        <v>0</v>
      </c>
      <c r="AJ1411" s="655">
        <v>2503906.7400000002</v>
      </c>
      <c r="AK1411" s="655">
        <v>6859941.7400000002</v>
      </c>
      <c r="AL1411" s="655">
        <v>0</v>
      </c>
      <c r="AM1411" s="655">
        <v>6859941.7400000002</v>
      </c>
    </row>
    <row r="1412" spans="1:39" x14ac:dyDescent="0.2">
      <c r="A1412" s="648">
        <v>2017</v>
      </c>
      <c r="B1412" s="648">
        <v>13</v>
      </c>
      <c r="C1412" s="657" t="s">
        <v>153</v>
      </c>
      <c r="D1412" s="648">
        <v>1476</v>
      </c>
      <c r="E1412" s="648" t="s">
        <v>1079</v>
      </c>
      <c r="F1412" s="655">
        <v>60779160</v>
      </c>
      <c r="G1412" s="655">
        <v>0</v>
      </c>
      <c r="H1412" s="655">
        <v>1406346</v>
      </c>
      <c r="I1412" s="655">
        <v>12781805</v>
      </c>
      <c r="J1412" s="655">
        <v>4975039</v>
      </c>
      <c r="K1412" s="655">
        <v>577858</v>
      </c>
      <c r="L1412" s="655">
        <v>741853</v>
      </c>
      <c r="M1412" s="655">
        <v>2917765</v>
      </c>
      <c r="N1412" s="655">
        <v>3200233</v>
      </c>
      <c r="O1412" s="655">
        <v>0</v>
      </c>
      <c r="P1412" s="655">
        <v>510987</v>
      </c>
      <c r="Q1412" s="655">
        <v>565089</v>
      </c>
      <c r="R1412" s="655">
        <v>0</v>
      </c>
      <c r="S1412" s="655">
        <v>328594</v>
      </c>
      <c r="T1412" s="655">
        <v>35013</v>
      </c>
      <c r="U1412" s="655">
        <v>2972794</v>
      </c>
      <c r="V1412" s="655">
        <v>0</v>
      </c>
      <c r="W1412" s="655">
        <v>1156447</v>
      </c>
      <c r="X1412" s="655">
        <v>0</v>
      </c>
      <c r="Y1412" s="655">
        <v>0</v>
      </c>
      <c r="Z1412" s="655">
        <v>0</v>
      </c>
      <c r="AA1412" s="655">
        <v>0</v>
      </c>
      <c r="AB1412" s="655">
        <v>0</v>
      </c>
      <c r="AC1412" s="655">
        <v>-22412</v>
      </c>
      <c r="AD1412" s="655">
        <v>525816</v>
      </c>
      <c r="AE1412" s="655">
        <v>92400755</v>
      </c>
      <c r="AF1412" s="655">
        <v>1257649</v>
      </c>
      <c r="AG1412" s="655">
        <v>3958547</v>
      </c>
      <c r="AH1412" s="655">
        <v>0</v>
      </c>
      <c r="AI1412" s="655">
        <v>0</v>
      </c>
      <c r="AJ1412" s="655">
        <v>11419104.540000007</v>
      </c>
      <c r="AK1412" s="655">
        <v>109036055.54000001</v>
      </c>
      <c r="AL1412" s="655">
        <v>0</v>
      </c>
      <c r="AM1412" s="655">
        <v>109036055.54000001</v>
      </c>
    </row>
    <row r="1413" spans="1:39" x14ac:dyDescent="0.2">
      <c r="A1413" s="648">
        <v>2017</v>
      </c>
      <c r="B1413" s="648">
        <v>13</v>
      </c>
      <c r="C1413" s="657" t="s">
        <v>154</v>
      </c>
      <c r="D1413" s="648">
        <v>1503</v>
      </c>
      <c r="E1413" s="648" t="s">
        <v>1080</v>
      </c>
      <c r="F1413" s="655">
        <v>9700979</v>
      </c>
      <c r="G1413" s="655">
        <v>0</v>
      </c>
      <c r="H1413" s="655">
        <v>466926</v>
      </c>
      <c r="I1413" s="655">
        <v>1094612</v>
      </c>
      <c r="J1413" s="655">
        <v>854280</v>
      </c>
      <c r="K1413" s="655">
        <v>93351</v>
      </c>
      <c r="L1413" s="655">
        <v>106914</v>
      </c>
      <c r="M1413" s="655">
        <v>0</v>
      </c>
      <c r="N1413" s="655">
        <v>473783</v>
      </c>
      <c r="O1413" s="655">
        <v>744</v>
      </c>
      <c r="P1413" s="655">
        <v>85964</v>
      </c>
      <c r="Q1413" s="655">
        <v>95066</v>
      </c>
      <c r="R1413" s="655">
        <v>0</v>
      </c>
      <c r="S1413" s="655">
        <v>48647</v>
      </c>
      <c r="T1413" s="655">
        <v>5184</v>
      </c>
      <c r="U1413" s="655">
        <v>357840</v>
      </c>
      <c r="V1413" s="655">
        <v>0</v>
      </c>
      <c r="W1413" s="655">
        <v>113303</v>
      </c>
      <c r="X1413" s="655">
        <v>0</v>
      </c>
      <c r="Y1413" s="655">
        <v>0</v>
      </c>
      <c r="Z1413" s="655">
        <v>0</v>
      </c>
      <c r="AA1413" s="655">
        <v>0</v>
      </c>
      <c r="AB1413" s="655">
        <v>0</v>
      </c>
      <c r="AC1413" s="655">
        <v>29136</v>
      </c>
      <c r="AD1413" s="655">
        <v>86133</v>
      </c>
      <c r="AE1413" s="655">
        <v>13440596</v>
      </c>
      <c r="AF1413" s="655">
        <v>247960</v>
      </c>
      <c r="AG1413" s="655">
        <v>0</v>
      </c>
      <c r="AH1413" s="655">
        <v>0</v>
      </c>
      <c r="AI1413" s="655">
        <v>0</v>
      </c>
      <c r="AJ1413" s="655">
        <v>2343617.91</v>
      </c>
      <c r="AK1413" s="655">
        <v>16032173.91</v>
      </c>
      <c r="AL1413" s="655">
        <v>0</v>
      </c>
      <c r="AM1413" s="655">
        <v>16032173.91</v>
      </c>
    </row>
    <row r="1414" spans="1:39" x14ac:dyDescent="0.2">
      <c r="A1414" s="648">
        <v>2017</v>
      </c>
      <c r="B1414" s="648">
        <v>11</v>
      </c>
      <c r="C1414" s="657" t="s">
        <v>155</v>
      </c>
      <c r="D1414" s="648">
        <v>1576</v>
      </c>
      <c r="E1414" s="648" t="s">
        <v>1081</v>
      </c>
      <c r="F1414" s="655">
        <v>16365453</v>
      </c>
      <c r="G1414" s="655">
        <v>0</v>
      </c>
      <c r="H1414" s="655">
        <v>248823</v>
      </c>
      <c r="I1414" s="655">
        <v>1251499</v>
      </c>
      <c r="J1414" s="655">
        <v>1345041</v>
      </c>
      <c r="K1414" s="655">
        <v>141581</v>
      </c>
      <c r="L1414" s="655">
        <v>159483</v>
      </c>
      <c r="M1414" s="655">
        <v>793865</v>
      </c>
      <c r="N1414" s="655">
        <v>752897</v>
      </c>
      <c r="O1414" s="655">
        <v>0</v>
      </c>
      <c r="P1414" s="655">
        <v>136222</v>
      </c>
      <c r="Q1414" s="655">
        <v>149540</v>
      </c>
      <c r="R1414" s="655">
        <v>0</v>
      </c>
      <c r="S1414" s="655">
        <v>62038</v>
      </c>
      <c r="T1414" s="655">
        <v>7885</v>
      </c>
      <c r="U1414" s="655">
        <v>800271</v>
      </c>
      <c r="V1414" s="655">
        <v>0</v>
      </c>
      <c r="W1414" s="655">
        <v>1368555</v>
      </c>
      <c r="X1414" s="655">
        <v>0</v>
      </c>
      <c r="Y1414" s="655">
        <v>0</v>
      </c>
      <c r="Z1414" s="655">
        <v>0</v>
      </c>
      <c r="AA1414" s="655">
        <v>0</v>
      </c>
      <c r="AB1414" s="655">
        <v>0</v>
      </c>
      <c r="AC1414" s="655">
        <v>0</v>
      </c>
      <c r="AD1414" s="655">
        <v>75349</v>
      </c>
      <c r="AE1414" s="655">
        <v>23507804</v>
      </c>
      <c r="AF1414" s="655">
        <v>573417</v>
      </c>
      <c r="AG1414" s="655">
        <v>1194678</v>
      </c>
      <c r="AH1414" s="655">
        <v>0</v>
      </c>
      <c r="AI1414" s="655">
        <v>0</v>
      </c>
      <c r="AJ1414" s="655">
        <v>11515965.340000004</v>
      </c>
      <c r="AK1414" s="655">
        <v>36791864.340000004</v>
      </c>
      <c r="AL1414" s="655">
        <v>0</v>
      </c>
      <c r="AM1414" s="655">
        <v>36791864.340000004</v>
      </c>
    </row>
    <row r="1415" spans="1:39" x14ac:dyDescent="0.2">
      <c r="A1415" s="648">
        <v>2017</v>
      </c>
      <c r="B1415" s="648">
        <v>15</v>
      </c>
      <c r="C1415" s="657" t="s">
        <v>156</v>
      </c>
      <c r="D1415" s="648">
        <v>1602</v>
      </c>
      <c r="E1415" s="648" t="s">
        <v>1082</v>
      </c>
      <c r="F1415" s="655">
        <v>3371297</v>
      </c>
      <c r="G1415" s="655">
        <v>0</v>
      </c>
      <c r="H1415" s="655">
        <v>28177</v>
      </c>
      <c r="I1415" s="655">
        <v>232992</v>
      </c>
      <c r="J1415" s="655">
        <v>298164</v>
      </c>
      <c r="K1415" s="655">
        <v>32337</v>
      </c>
      <c r="L1415" s="655">
        <v>36066</v>
      </c>
      <c r="M1415" s="655">
        <v>0</v>
      </c>
      <c r="N1415" s="655">
        <v>157001</v>
      </c>
      <c r="O1415" s="655">
        <v>0</v>
      </c>
      <c r="P1415" s="655">
        <v>27759</v>
      </c>
      <c r="Q1415" s="655">
        <v>30493</v>
      </c>
      <c r="R1415" s="655">
        <v>0</v>
      </c>
      <c r="S1415" s="655">
        <v>15727</v>
      </c>
      <c r="T1415" s="655">
        <v>1706</v>
      </c>
      <c r="U1415" s="655">
        <v>109429</v>
      </c>
      <c r="V1415" s="655">
        <v>0</v>
      </c>
      <c r="W1415" s="655">
        <v>37386</v>
      </c>
      <c r="X1415" s="655">
        <v>0</v>
      </c>
      <c r="Y1415" s="655">
        <v>0</v>
      </c>
      <c r="Z1415" s="655">
        <v>0</v>
      </c>
      <c r="AA1415" s="655">
        <v>0</v>
      </c>
      <c r="AB1415" s="655">
        <v>0</v>
      </c>
      <c r="AC1415" s="655">
        <v>25784</v>
      </c>
      <c r="AD1415" s="655">
        <v>24236</v>
      </c>
      <c r="AE1415" s="655">
        <v>4380082</v>
      </c>
      <c r="AF1415" s="655">
        <v>158112</v>
      </c>
      <c r="AG1415" s="655">
        <v>230732</v>
      </c>
      <c r="AH1415" s="655">
        <v>0</v>
      </c>
      <c r="AI1415" s="655">
        <v>0</v>
      </c>
      <c r="AJ1415" s="655">
        <v>682239.71</v>
      </c>
      <c r="AK1415" s="655">
        <v>5451165.71</v>
      </c>
      <c r="AL1415" s="655">
        <v>0</v>
      </c>
      <c r="AM1415" s="655">
        <v>5451165.71</v>
      </c>
    </row>
    <row r="1416" spans="1:39" x14ac:dyDescent="0.2">
      <c r="A1416" s="648">
        <v>2017</v>
      </c>
      <c r="B1416" s="648">
        <v>9</v>
      </c>
      <c r="C1416" s="657" t="s">
        <v>157</v>
      </c>
      <c r="D1416" s="648">
        <v>1611</v>
      </c>
      <c r="E1416" s="648" t="s">
        <v>1083</v>
      </c>
      <c r="F1416" s="655">
        <v>104146368</v>
      </c>
      <c r="G1416" s="655">
        <v>0</v>
      </c>
      <c r="H1416" s="655">
        <v>1461376</v>
      </c>
      <c r="I1416" s="655">
        <v>19146855</v>
      </c>
      <c r="J1416" s="655">
        <v>8778254</v>
      </c>
      <c r="K1416" s="655">
        <v>1083811</v>
      </c>
      <c r="L1416" s="655">
        <v>1278325</v>
      </c>
      <c r="M1416" s="655">
        <v>5051992</v>
      </c>
      <c r="N1416" s="655">
        <v>5437921</v>
      </c>
      <c r="O1416" s="655">
        <v>0</v>
      </c>
      <c r="P1416" s="655">
        <v>953616</v>
      </c>
      <c r="Q1416" s="655">
        <v>1040567</v>
      </c>
      <c r="R1416" s="655">
        <v>0</v>
      </c>
      <c r="S1416" s="655">
        <v>490666</v>
      </c>
      <c r="T1416" s="655">
        <v>57615</v>
      </c>
      <c r="U1416" s="655">
        <v>5092759</v>
      </c>
      <c r="V1416" s="655">
        <v>0</v>
      </c>
      <c r="W1416" s="655">
        <v>848578</v>
      </c>
      <c r="X1416" s="655">
        <v>0</v>
      </c>
      <c r="Y1416" s="655">
        <v>0</v>
      </c>
      <c r="Z1416" s="655">
        <v>0</v>
      </c>
      <c r="AA1416" s="655">
        <v>0</v>
      </c>
      <c r="AB1416" s="655">
        <v>0</v>
      </c>
      <c r="AC1416" s="655">
        <v>-1418</v>
      </c>
      <c r="AD1416" s="655">
        <v>933386</v>
      </c>
      <c r="AE1416" s="655">
        <v>153933899</v>
      </c>
      <c r="AF1416" s="655">
        <v>2797880</v>
      </c>
      <c r="AG1416" s="655">
        <v>7277748</v>
      </c>
      <c r="AH1416" s="655">
        <v>0</v>
      </c>
      <c r="AI1416" s="655">
        <v>0</v>
      </c>
      <c r="AJ1416" s="655">
        <v>-2406622.0900000036</v>
      </c>
      <c r="AK1416" s="655">
        <v>161602904.91</v>
      </c>
      <c r="AL1416" s="655">
        <v>0</v>
      </c>
      <c r="AM1416" s="655">
        <v>161602904.91</v>
      </c>
    </row>
    <row r="1417" spans="1:39" x14ac:dyDescent="0.2">
      <c r="A1417" s="648">
        <v>2017</v>
      </c>
      <c r="B1417" s="648">
        <v>15</v>
      </c>
      <c r="C1417" s="657" t="s">
        <v>158</v>
      </c>
      <c r="D1417" s="648">
        <v>1619</v>
      </c>
      <c r="E1417" s="648" t="s">
        <v>1084</v>
      </c>
      <c r="F1417" s="655">
        <v>7750357</v>
      </c>
      <c r="G1417" s="655">
        <v>0</v>
      </c>
      <c r="H1417" s="655">
        <v>146432</v>
      </c>
      <c r="I1417" s="655">
        <v>614808</v>
      </c>
      <c r="J1417" s="655">
        <v>672815</v>
      </c>
      <c r="K1417" s="655">
        <v>74070</v>
      </c>
      <c r="L1417" s="655">
        <v>74623</v>
      </c>
      <c r="M1417" s="655">
        <v>375959</v>
      </c>
      <c r="N1417" s="655">
        <v>364382</v>
      </c>
      <c r="O1417" s="655">
        <v>0</v>
      </c>
      <c r="P1417" s="655">
        <v>63386</v>
      </c>
      <c r="Q1417" s="655">
        <v>69631</v>
      </c>
      <c r="R1417" s="655">
        <v>0</v>
      </c>
      <c r="S1417" s="655">
        <v>36502</v>
      </c>
      <c r="T1417" s="655">
        <v>3960</v>
      </c>
      <c r="U1417" s="655">
        <v>378993</v>
      </c>
      <c r="V1417" s="655">
        <v>0</v>
      </c>
      <c r="W1417" s="655">
        <v>43501</v>
      </c>
      <c r="X1417" s="655">
        <v>0</v>
      </c>
      <c r="Y1417" s="655">
        <v>0</v>
      </c>
      <c r="Z1417" s="655">
        <v>0</v>
      </c>
      <c r="AA1417" s="655">
        <v>0</v>
      </c>
      <c r="AB1417" s="655">
        <v>0</v>
      </c>
      <c r="AC1417" s="655">
        <v>0</v>
      </c>
      <c r="AD1417" s="655">
        <v>65783</v>
      </c>
      <c r="AE1417" s="655">
        <v>10603636</v>
      </c>
      <c r="AF1417" s="655">
        <v>210912</v>
      </c>
      <c r="AG1417" s="655">
        <v>527257</v>
      </c>
      <c r="AH1417" s="655">
        <v>0</v>
      </c>
      <c r="AI1417" s="655">
        <v>0</v>
      </c>
      <c r="AJ1417" s="655">
        <v>4264429.6700000018</v>
      </c>
      <c r="AK1417" s="655">
        <v>15606234.670000002</v>
      </c>
      <c r="AL1417" s="655">
        <v>0</v>
      </c>
      <c r="AM1417" s="655">
        <v>15606234.670000002</v>
      </c>
    </row>
    <row r="1418" spans="1:39" x14ac:dyDescent="0.2">
      <c r="A1418" s="648">
        <v>2017</v>
      </c>
      <c r="B1418" s="648">
        <v>1</v>
      </c>
      <c r="C1418" s="657" t="s">
        <v>159</v>
      </c>
      <c r="D1418" s="648">
        <v>1638</v>
      </c>
      <c r="E1418" s="648" t="s">
        <v>1085</v>
      </c>
      <c r="F1418" s="655">
        <v>9162456</v>
      </c>
      <c r="G1418" s="655">
        <v>0</v>
      </c>
      <c r="H1418" s="655">
        <v>178758</v>
      </c>
      <c r="I1418" s="655">
        <v>817369</v>
      </c>
      <c r="J1418" s="655">
        <v>798403</v>
      </c>
      <c r="K1418" s="655">
        <v>97187</v>
      </c>
      <c r="L1418" s="655">
        <v>87491</v>
      </c>
      <c r="M1418" s="655">
        <v>443516</v>
      </c>
      <c r="N1418" s="655">
        <v>459238</v>
      </c>
      <c r="O1418" s="655">
        <v>0</v>
      </c>
      <c r="P1418" s="655">
        <v>81137</v>
      </c>
      <c r="Q1418" s="655">
        <v>90524</v>
      </c>
      <c r="R1418" s="655">
        <v>0</v>
      </c>
      <c r="S1418" s="655">
        <v>45223</v>
      </c>
      <c r="T1418" s="655">
        <v>4850</v>
      </c>
      <c r="U1418" s="655">
        <v>448066</v>
      </c>
      <c r="V1418" s="655">
        <v>0</v>
      </c>
      <c r="W1418" s="655">
        <v>12258</v>
      </c>
      <c r="X1418" s="655">
        <v>0</v>
      </c>
      <c r="Y1418" s="655">
        <v>0</v>
      </c>
      <c r="Z1418" s="655">
        <v>0</v>
      </c>
      <c r="AA1418" s="655">
        <v>0</v>
      </c>
      <c r="AB1418" s="655">
        <v>0</v>
      </c>
      <c r="AC1418" s="655">
        <v>-15504</v>
      </c>
      <c r="AD1418" s="655">
        <v>87420</v>
      </c>
      <c r="AE1418" s="655">
        <v>12623552</v>
      </c>
      <c r="AF1418" s="655">
        <v>286781</v>
      </c>
      <c r="AG1418" s="655">
        <v>743625</v>
      </c>
      <c r="AH1418" s="655">
        <v>0</v>
      </c>
      <c r="AI1418" s="655">
        <v>0</v>
      </c>
      <c r="AJ1418" s="655">
        <v>2360396.8200000003</v>
      </c>
      <c r="AK1418" s="655">
        <v>16014354.82</v>
      </c>
      <c r="AL1418" s="655">
        <v>0</v>
      </c>
      <c r="AM1418" s="655">
        <v>16014354.82</v>
      </c>
    </row>
    <row r="1419" spans="1:39" x14ac:dyDescent="0.2">
      <c r="A1419" s="648">
        <v>2017</v>
      </c>
      <c r="B1419" s="648">
        <v>9</v>
      </c>
      <c r="C1419" s="657" t="s">
        <v>160</v>
      </c>
      <c r="D1419" s="648">
        <v>1675</v>
      </c>
      <c r="E1419" s="648" t="s">
        <v>1086</v>
      </c>
      <c r="F1419" s="655">
        <v>1280127</v>
      </c>
      <c r="G1419" s="655">
        <v>17192</v>
      </c>
      <c r="H1419" s="655">
        <v>23322</v>
      </c>
      <c r="I1419" s="655">
        <v>60217</v>
      </c>
      <c r="J1419" s="655">
        <v>95082</v>
      </c>
      <c r="K1419" s="655">
        <v>7717</v>
      </c>
      <c r="L1419" s="655">
        <v>12608</v>
      </c>
      <c r="M1419" s="655">
        <v>60660</v>
      </c>
      <c r="N1419" s="655">
        <v>57588</v>
      </c>
      <c r="O1419" s="655">
        <v>17425</v>
      </c>
      <c r="P1419" s="655">
        <v>10157</v>
      </c>
      <c r="Q1419" s="655">
        <v>11083</v>
      </c>
      <c r="R1419" s="655">
        <v>0</v>
      </c>
      <c r="S1419" s="655">
        <v>5470</v>
      </c>
      <c r="T1419" s="655">
        <v>641</v>
      </c>
      <c r="U1419" s="655">
        <v>0</v>
      </c>
      <c r="V1419" s="655">
        <v>0</v>
      </c>
      <c r="W1419" s="655">
        <v>0</v>
      </c>
      <c r="X1419" s="655">
        <v>0</v>
      </c>
      <c r="Y1419" s="655">
        <v>0</v>
      </c>
      <c r="Z1419" s="655">
        <v>0</v>
      </c>
      <c r="AA1419" s="655">
        <v>0</v>
      </c>
      <c r="AB1419" s="655">
        <v>0</v>
      </c>
      <c r="AC1419" s="655">
        <v>0</v>
      </c>
      <c r="AD1419" s="655">
        <v>15320</v>
      </c>
      <c r="AE1419" s="655">
        <v>1643969</v>
      </c>
      <c r="AF1419" s="655">
        <v>52728</v>
      </c>
      <c r="AG1419" s="655">
        <v>106938</v>
      </c>
      <c r="AH1419" s="655">
        <v>324330</v>
      </c>
      <c r="AI1419" s="655">
        <v>0</v>
      </c>
      <c r="AJ1419" s="655">
        <v>4640245.34</v>
      </c>
      <c r="AK1419" s="655">
        <v>6768210.3399999999</v>
      </c>
      <c r="AL1419" s="655">
        <v>0</v>
      </c>
      <c r="AM1419" s="655">
        <v>6768210.3399999999</v>
      </c>
    </row>
    <row r="1420" spans="1:39" x14ac:dyDescent="0.2">
      <c r="A1420" s="648">
        <v>2017</v>
      </c>
      <c r="B1420" s="648">
        <v>12</v>
      </c>
      <c r="C1420" s="657" t="s">
        <v>161</v>
      </c>
      <c r="D1420" s="648">
        <v>1701</v>
      </c>
      <c r="E1420" s="648" t="s">
        <v>1087</v>
      </c>
      <c r="F1420" s="655">
        <v>13211660</v>
      </c>
      <c r="G1420" s="655">
        <v>0</v>
      </c>
      <c r="H1420" s="655">
        <v>1144435</v>
      </c>
      <c r="I1420" s="655">
        <v>1682814</v>
      </c>
      <c r="J1420" s="655">
        <v>1067216</v>
      </c>
      <c r="K1420" s="655">
        <v>130673</v>
      </c>
      <c r="L1420" s="655">
        <v>160019</v>
      </c>
      <c r="M1420" s="655">
        <v>0</v>
      </c>
      <c r="N1420" s="655">
        <v>669630</v>
      </c>
      <c r="O1420" s="655">
        <v>0</v>
      </c>
      <c r="P1420" s="655">
        <v>119045</v>
      </c>
      <c r="Q1420" s="655">
        <v>133605</v>
      </c>
      <c r="R1420" s="655">
        <v>0</v>
      </c>
      <c r="S1420" s="655">
        <v>67275</v>
      </c>
      <c r="T1420" s="655">
        <v>8045</v>
      </c>
      <c r="U1420" s="655">
        <v>323025</v>
      </c>
      <c r="V1420" s="655">
        <v>0</v>
      </c>
      <c r="W1420" s="655">
        <v>392165</v>
      </c>
      <c r="X1420" s="655">
        <v>0</v>
      </c>
      <c r="Y1420" s="655">
        <v>0</v>
      </c>
      <c r="Z1420" s="655">
        <v>0</v>
      </c>
      <c r="AA1420" s="655">
        <v>0</v>
      </c>
      <c r="AB1420" s="655">
        <v>0</v>
      </c>
      <c r="AC1420" s="655">
        <v>-1418</v>
      </c>
      <c r="AD1420" s="655">
        <v>90848</v>
      </c>
      <c r="AE1420" s="655">
        <v>19017341</v>
      </c>
      <c r="AF1420" s="655">
        <v>385574</v>
      </c>
      <c r="AG1420" s="655">
        <v>775657</v>
      </c>
      <c r="AH1420" s="655">
        <v>0</v>
      </c>
      <c r="AI1420" s="655">
        <v>0</v>
      </c>
      <c r="AJ1420" s="655">
        <v>6042232.7899999991</v>
      </c>
      <c r="AK1420" s="655">
        <v>26220804.789999999</v>
      </c>
      <c r="AL1420" s="655">
        <v>0</v>
      </c>
      <c r="AM1420" s="655">
        <v>26220804.789999999</v>
      </c>
    </row>
    <row r="1421" spans="1:39" x14ac:dyDescent="0.2">
      <c r="A1421" s="648">
        <v>2017</v>
      </c>
      <c r="B1421" s="648">
        <v>7</v>
      </c>
      <c r="C1421" s="657" t="s">
        <v>162</v>
      </c>
      <c r="D1421" s="648">
        <v>1719</v>
      </c>
      <c r="E1421" s="648" t="s">
        <v>1088</v>
      </c>
      <c r="F1421" s="655">
        <v>4732338</v>
      </c>
      <c r="G1421" s="655">
        <v>0</v>
      </c>
      <c r="H1421" s="655">
        <v>127378</v>
      </c>
      <c r="I1421" s="655">
        <v>494984</v>
      </c>
      <c r="J1421" s="655">
        <v>410639</v>
      </c>
      <c r="K1421" s="655">
        <v>38858</v>
      </c>
      <c r="L1421" s="655">
        <v>38234</v>
      </c>
      <c r="M1421" s="655">
        <v>0</v>
      </c>
      <c r="N1421" s="655">
        <v>232426</v>
      </c>
      <c r="O1421" s="655">
        <v>0</v>
      </c>
      <c r="P1421" s="655">
        <v>39479</v>
      </c>
      <c r="Q1421" s="655">
        <v>44088</v>
      </c>
      <c r="R1421" s="655">
        <v>0</v>
      </c>
      <c r="S1421" s="655">
        <v>29472</v>
      </c>
      <c r="T1421" s="655">
        <v>3387</v>
      </c>
      <c r="U1421" s="655">
        <v>69233</v>
      </c>
      <c r="V1421" s="655">
        <v>0</v>
      </c>
      <c r="W1421" s="655">
        <v>38676</v>
      </c>
      <c r="X1421" s="655">
        <v>0</v>
      </c>
      <c r="Y1421" s="655">
        <v>0</v>
      </c>
      <c r="Z1421" s="655">
        <v>0</v>
      </c>
      <c r="AA1421" s="655">
        <v>0</v>
      </c>
      <c r="AB1421" s="655">
        <v>0</v>
      </c>
      <c r="AC1421" s="655">
        <v>0</v>
      </c>
      <c r="AD1421" s="655">
        <v>38267</v>
      </c>
      <c r="AE1421" s="655">
        <v>6260925</v>
      </c>
      <c r="AF1421" s="655">
        <v>167998</v>
      </c>
      <c r="AG1421" s="655">
        <v>354263</v>
      </c>
      <c r="AH1421" s="655">
        <v>0</v>
      </c>
      <c r="AI1421" s="655">
        <v>0</v>
      </c>
      <c r="AJ1421" s="655">
        <v>1692329.8399999999</v>
      </c>
      <c r="AK1421" s="655">
        <v>8475515.8399999999</v>
      </c>
      <c r="AL1421" s="655">
        <v>0</v>
      </c>
      <c r="AM1421" s="655">
        <v>8475515.8399999999</v>
      </c>
    </row>
    <row r="1422" spans="1:39" x14ac:dyDescent="0.2">
      <c r="A1422" s="648">
        <v>2017</v>
      </c>
      <c r="B1422" s="648">
        <v>11</v>
      </c>
      <c r="C1422" s="657" t="s">
        <v>163</v>
      </c>
      <c r="D1422" s="648">
        <v>1737</v>
      </c>
      <c r="E1422" s="648" t="s">
        <v>1089</v>
      </c>
      <c r="F1422" s="655">
        <v>216962872</v>
      </c>
      <c r="G1422" s="655">
        <v>0</v>
      </c>
      <c r="H1422" s="655">
        <v>10448517</v>
      </c>
      <c r="I1422" s="655">
        <v>41355520</v>
      </c>
      <c r="J1422" s="655">
        <v>19422396</v>
      </c>
      <c r="K1422" s="655">
        <v>2423442</v>
      </c>
      <c r="L1422" s="655">
        <v>2925855</v>
      </c>
      <c r="M1422" s="655">
        <v>10417085</v>
      </c>
      <c r="N1422" s="655">
        <v>10927035</v>
      </c>
      <c r="O1422" s="655">
        <v>0</v>
      </c>
      <c r="P1422" s="655">
        <v>1895159</v>
      </c>
      <c r="Q1422" s="655">
        <v>2080448</v>
      </c>
      <c r="R1422" s="655">
        <v>0</v>
      </c>
      <c r="S1422" s="655">
        <v>900371</v>
      </c>
      <c r="T1422" s="655">
        <v>114437</v>
      </c>
      <c r="U1422" s="655">
        <v>10611925</v>
      </c>
      <c r="V1422" s="655">
        <v>0</v>
      </c>
      <c r="W1422" s="655">
        <v>5536027</v>
      </c>
      <c r="X1422" s="655">
        <v>0</v>
      </c>
      <c r="Y1422" s="655">
        <v>0</v>
      </c>
      <c r="Z1422" s="655">
        <v>0</v>
      </c>
      <c r="AA1422" s="655">
        <v>0</v>
      </c>
      <c r="AB1422" s="655">
        <v>0</v>
      </c>
      <c r="AC1422" s="655">
        <v>-22734</v>
      </c>
      <c r="AD1422" s="655">
        <v>1754902</v>
      </c>
      <c r="AE1422" s="655">
        <v>334243453</v>
      </c>
      <c r="AF1422" s="655">
        <v>5091475</v>
      </c>
      <c r="AG1422" s="655">
        <v>13414814</v>
      </c>
      <c r="AH1422" s="655">
        <v>0</v>
      </c>
      <c r="AI1422" s="655">
        <v>0</v>
      </c>
      <c r="AJ1422" s="655">
        <v>43820636.680000007</v>
      </c>
      <c r="AK1422" s="655">
        <v>396570378.68000001</v>
      </c>
      <c r="AL1422" s="655">
        <v>0</v>
      </c>
      <c r="AM1422" s="655">
        <v>396570378.68000001</v>
      </c>
    </row>
    <row r="1423" spans="1:39" x14ac:dyDescent="0.2">
      <c r="A1423" s="648">
        <v>2017</v>
      </c>
      <c r="B1423" s="648">
        <v>13</v>
      </c>
      <c r="C1423" s="657" t="s">
        <v>164</v>
      </c>
      <c r="D1423" s="648">
        <v>1782</v>
      </c>
      <c r="E1423" s="648" t="s">
        <v>1090</v>
      </c>
      <c r="F1423" s="655">
        <v>640394</v>
      </c>
      <c r="G1423" s="655">
        <v>0</v>
      </c>
      <c r="H1423" s="655">
        <v>57754</v>
      </c>
      <c r="I1423" s="655">
        <v>95927</v>
      </c>
      <c r="J1423" s="655">
        <v>80617</v>
      </c>
      <c r="K1423" s="655">
        <v>9024</v>
      </c>
      <c r="L1423" s="655">
        <v>9943</v>
      </c>
      <c r="M1423" s="655">
        <v>0</v>
      </c>
      <c r="N1423" s="655">
        <v>32315</v>
      </c>
      <c r="O1423" s="655">
        <v>2112</v>
      </c>
      <c r="P1423" s="655">
        <v>5393</v>
      </c>
      <c r="Q1423" s="655">
        <v>5964</v>
      </c>
      <c r="R1423" s="655">
        <v>0</v>
      </c>
      <c r="S1423" s="655">
        <v>3318</v>
      </c>
      <c r="T1423" s="655">
        <v>354</v>
      </c>
      <c r="U1423" s="655">
        <v>31316</v>
      </c>
      <c r="V1423" s="655">
        <v>0</v>
      </c>
      <c r="W1423" s="655">
        <v>19806</v>
      </c>
      <c r="X1423" s="655">
        <v>0</v>
      </c>
      <c r="Y1423" s="655">
        <v>0</v>
      </c>
      <c r="Z1423" s="655">
        <v>0</v>
      </c>
      <c r="AA1423" s="655">
        <v>0</v>
      </c>
      <c r="AB1423" s="655">
        <v>0</v>
      </c>
      <c r="AC1423" s="655">
        <v>0</v>
      </c>
      <c r="AD1423" s="655">
        <v>7518</v>
      </c>
      <c r="AE1423" s="655">
        <v>986719</v>
      </c>
      <c r="AF1423" s="655">
        <v>29660</v>
      </c>
      <c r="AG1423" s="655">
        <v>50847</v>
      </c>
      <c r="AH1423" s="655">
        <v>0</v>
      </c>
      <c r="AI1423" s="655">
        <v>0</v>
      </c>
      <c r="AJ1423" s="655">
        <v>396474.51</v>
      </c>
      <c r="AK1423" s="655">
        <v>1463700.51</v>
      </c>
      <c r="AL1423" s="655">
        <v>0</v>
      </c>
      <c r="AM1423" s="655">
        <v>1463700.51</v>
      </c>
    </row>
    <row r="1424" spans="1:39" x14ac:dyDescent="0.2">
      <c r="A1424" s="648">
        <v>2017</v>
      </c>
      <c r="B1424" s="648">
        <v>7</v>
      </c>
      <c r="C1424" s="657" t="s">
        <v>165</v>
      </c>
      <c r="D1424" s="648">
        <v>1791</v>
      </c>
      <c r="E1424" s="648" t="s">
        <v>2007</v>
      </c>
      <c r="F1424" s="655">
        <v>5929923</v>
      </c>
      <c r="G1424" s="655">
        <v>0</v>
      </c>
      <c r="H1424" s="655">
        <v>151916</v>
      </c>
      <c r="I1424" s="655">
        <v>844637</v>
      </c>
      <c r="J1424" s="655">
        <v>531210</v>
      </c>
      <c r="K1424" s="655">
        <v>55970</v>
      </c>
      <c r="L1424" s="655">
        <v>52884</v>
      </c>
      <c r="M1424" s="655">
        <v>0</v>
      </c>
      <c r="N1424" s="655">
        <v>301222</v>
      </c>
      <c r="O1424" s="655">
        <v>0</v>
      </c>
      <c r="P1424" s="655">
        <v>49132</v>
      </c>
      <c r="Q1424" s="655">
        <v>54867</v>
      </c>
      <c r="R1424" s="655">
        <v>0</v>
      </c>
      <c r="S1424" s="655">
        <v>38195</v>
      </c>
      <c r="T1424" s="655">
        <v>4389</v>
      </c>
      <c r="U1424" s="655">
        <v>137657</v>
      </c>
      <c r="V1424" s="655">
        <v>0</v>
      </c>
      <c r="W1424" s="655">
        <v>45122</v>
      </c>
      <c r="X1424" s="655">
        <v>0</v>
      </c>
      <c r="Y1424" s="655">
        <v>0</v>
      </c>
      <c r="Z1424" s="655">
        <v>0</v>
      </c>
      <c r="AA1424" s="655">
        <v>0</v>
      </c>
      <c r="AB1424" s="655">
        <v>0</v>
      </c>
      <c r="AC1424" s="655">
        <v>0</v>
      </c>
      <c r="AD1424" s="655">
        <v>42318</v>
      </c>
      <c r="AE1424" s="655">
        <v>8154806</v>
      </c>
      <c r="AF1424" s="655">
        <v>168071</v>
      </c>
      <c r="AG1424" s="655">
        <v>422685</v>
      </c>
      <c r="AH1424" s="655">
        <v>0</v>
      </c>
      <c r="AI1424" s="655">
        <v>0</v>
      </c>
      <c r="AJ1424" s="655">
        <v>1962537.5199999996</v>
      </c>
      <c r="AK1424" s="655">
        <v>10708099.52</v>
      </c>
      <c r="AL1424" s="655">
        <v>0</v>
      </c>
      <c r="AM1424" s="655">
        <v>10708099.52</v>
      </c>
    </row>
    <row r="1425" spans="1:39" x14ac:dyDescent="0.2">
      <c r="A1425" s="648">
        <v>2017</v>
      </c>
      <c r="B1425" s="648">
        <v>1</v>
      </c>
      <c r="C1425" s="657" t="s">
        <v>166</v>
      </c>
      <c r="D1425" s="648">
        <v>1863</v>
      </c>
      <c r="E1425" s="648" t="s">
        <v>1092</v>
      </c>
      <c r="F1425" s="655">
        <v>69858964</v>
      </c>
      <c r="G1425" s="655">
        <v>0</v>
      </c>
      <c r="H1425" s="655">
        <v>750734</v>
      </c>
      <c r="I1425" s="655">
        <v>12625471</v>
      </c>
      <c r="J1425" s="655">
        <v>6224521</v>
      </c>
      <c r="K1425" s="655">
        <v>739141</v>
      </c>
      <c r="L1425" s="655">
        <v>744859</v>
      </c>
      <c r="M1425" s="655">
        <v>3385163</v>
      </c>
      <c r="N1425" s="655">
        <v>3799685</v>
      </c>
      <c r="O1425" s="655">
        <v>0</v>
      </c>
      <c r="P1425" s="655">
        <v>662053</v>
      </c>
      <c r="Q1425" s="655">
        <v>738641</v>
      </c>
      <c r="R1425" s="655">
        <v>0</v>
      </c>
      <c r="S1425" s="655">
        <v>374168</v>
      </c>
      <c r="T1425" s="655">
        <v>40130</v>
      </c>
      <c r="U1425" s="655">
        <v>3416186</v>
      </c>
      <c r="V1425" s="655">
        <v>0</v>
      </c>
      <c r="W1425" s="655">
        <v>351522</v>
      </c>
      <c r="X1425" s="655">
        <v>0</v>
      </c>
      <c r="Y1425" s="655">
        <v>0</v>
      </c>
      <c r="Z1425" s="655">
        <v>0</v>
      </c>
      <c r="AA1425" s="655">
        <v>0</v>
      </c>
      <c r="AB1425" s="655">
        <v>0</v>
      </c>
      <c r="AC1425" s="655">
        <v>-17165</v>
      </c>
      <c r="AD1425" s="655">
        <v>600037</v>
      </c>
      <c r="AE1425" s="655">
        <v>103094036</v>
      </c>
      <c r="AF1425" s="655">
        <v>2277336</v>
      </c>
      <c r="AG1425" s="655">
        <v>5228245</v>
      </c>
      <c r="AH1425" s="655">
        <v>0</v>
      </c>
      <c r="AI1425" s="655">
        <v>0</v>
      </c>
      <c r="AJ1425" s="655">
        <v>10627940.699999988</v>
      </c>
      <c r="AK1425" s="655">
        <v>121227557.69999999</v>
      </c>
      <c r="AL1425" s="655">
        <v>0</v>
      </c>
      <c r="AM1425" s="655">
        <v>121227557.69999999</v>
      </c>
    </row>
    <row r="1426" spans="1:39" x14ac:dyDescent="0.2">
      <c r="A1426" s="648">
        <v>2017</v>
      </c>
      <c r="B1426" s="648">
        <v>7</v>
      </c>
      <c r="C1426" s="657" t="s">
        <v>167</v>
      </c>
      <c r="D1426" s="648">
        <v>1908</v>
      </c>
      <c r="E1426" s="648" t="s">
        <v>1093</v>
      </c>
      <c r="F1426" s="655">
        <v>2934313</v>
      </c>
      <c r="G1426" s="655">
        <v>72868</v>
      </c>
      <c r="H1426" s="655">
        <v>19022</v>
      </c>
      <c r="I1426" s="655">
        <v>311227</v>
      </c>
      <c r="J1426" s="655">
        <v>270184</v>
      </c>
      <c r="K1426" s="655">
        <v>28074</v>
      </c>
      <c r="L1426" s="655">
        <v>30171</v>
      </c>
      <c r="M1426" s="655">
        <v>0</v>
      </c>
      <c r="N1426" s="655">
        <v>144309</v>
      </c>
      <c r="O1426" s="655">
        <v>9373</v>
      </c>
      <c r="P1426" s="655">
        <v>25000</v>
      </c>
      <c r="Q1426" s="655">
        <v>27918</v>
      </c>
      <c r="R1426" s="655">
        <v>0</v>
      </c>
      <c r="S1426" s="655">
        <v>19099</v>
      </c>
      <c r="T1426" s="655">
        <v>2192</v>
      </c>
      <c r="U1426" s="655">
        <v>0</v>
      </c>
      <c r="V1426" s="655">
        <v>0</v>
      </c>
      <c r="W1426" s="655">
        <v>25139</v>
      </c>
      <c r="X1426" s="655">
        <v>0</v>
      </c>
      <c r="Y1426" s="655">
        <v>0</v>
      </c>
      <c r="Z1426" s="655">
        <v>0</v>
      </c>
      <c r="AA1426" s="655">
        <v>0</v>
      </c>
      <c r="AB1426" s="655">
        <v>0</v>
      </c>
      <c r="AC1426" s="655">
        <v>-129</v>
      </c>
      <c r="AD1426" s="655">
        <v>26786</v>
      </c>
      <c r="AE1426" s="655">
        <v>3891974</v>
      </c>
      <c r="AF1426" s="655">
        <v>69206</v>
      </c>
      <c r="AG1426" s="655">
        <v>235011</v>
      </c>
      <c r="AH1426" s="655">
        <v>0</v>
      </c>
      <c r="AI1426" s="655">
        <v>0</v>
      </c>
      <c r="AJ1426" s="655">
        <v>1010953.5099999998</v>
      </c>
      <c r="AK1426" s="655">
        <v>5207144.51</v>
      </c>
      <c r="AL1426" s="655">
        <v>0</v>
      </c>
      <c r="AM1426" s="655">
        <v>5207144.51</v>
      </c>
    </row>
    <row r="1427" spans="1:39" x14ac:dyDescent="0.2">
      <c r="A1427" s="648">
        <v>2017</v>
      </c>
      <c r="B1427" s="648">
        <v>13</v>
      </c>
      <c r="C1427" s="657" t="s">
        <v>168</v>
      </c>
      <c r="D1427" s="648">
        <v>1917</v>
      </c>
      <c r="E1427" s="648" t="s">
        <v>1094</v>
      </c>
      <c r="F1427" s="655">
        <v>2796656</v>
      </c>
      <c r="G1427" s="655">
        <v>58465</v>
      </c>
      <c r="H1427" s="655">
        <v>164942</v>
      </c>
      <c r="I1427" s="655">
        <v>383402</v>
      </c>
      <c r="J1427" s="655">
        <v>275130</v>
      </c>
      <c r="K1427" s="655">
        <v>33012</v>
      </c>
      <c r="L1427" s="655">
        <v>31142</v>
      </c>
      <c r="M1427" s="655">
        <v>0</v>
      </c>
      <c r="N1427" s="655">
        <v>139626</v>
      </c>
      <c r="O1427" s="655">
        <v>3705</v>
      </c>
      <c r="P1427" s="655">
        <v>22866</v>
      </c>
      <c r="Q1427" s="655">
        <v>25287</v>
      </c>
      <c r="R1427" s="655">
        <v>0</v>
      </c>
      <c r="S1427" s="655">
        <v>14719</v>
      </c>
      <c r="T1427" s="655">
        <v>1563</v>
      </c>
      <c r="U1427" s="655">
        <v>68380</v>
      </c>
      <c r="V1427" s="655">
        <v>0</v>
      </c>
      <c r="W1427" s="655">
        <v>27236</v>
      </c>
      <c r="X1427" s="655">
        <v>0</v>
      </c>
      <c r="Y1427" s="655">
        <v>0</v>
      </c>
      <c r="Z1427" s="655">
        <v>0</v>
      </c>
      <c r="AA1427" s="655">
        <v>0</v>
      </c>
      <c r="AB1427" s="655">
        <v>0</v>
      </c>
      <c r="AC1427" s="655">
        <v>0</v>
      </c>
      <c r="AD1427" s="655">
        <v>29945</v>
      </c>
      <c r="AE1427" s="655">
        <v>4016186</v>
      </c>
      <c r="AF1427" s="655">
        <v>95570</v>
      </c>
      <c r="AG1427" s="655">
        <v>236461</v>
      </c>
      <c r="AH1427" s="655">
        <v>0</v>
      </c>
      <c r="AI1427" s="655">
        <v>0</v>
      </c>
      <c r="AJ1427" s="655">
        <v>857609</v>
      </c>
      <c r="AK1427" s="655">
        <v>5205826</v>
      </c>
      <c r="AL1427" s="655">
        <v>0</v>
      </c>
      <c r="AM1427" s="655">
        <v>5205826</v>
      </c>
    </row>
    <row r="1428" spans="1:39" x14ac:dyDescent="0.2">
      <c r="A1428" s="648">
        <v>2017</v>
      </c>
      <c r="B1428" s="648">
        <v>9</v>
      </c>
      <c r="C1428" s="657" t="s">
        <v>169</v>
      </c>
      <c r="D1428" s="648">
        <v>1926</v>
      </c>
      <c r="E1428" s="648" t="s">
        <v>1095</v>
      </c>
      <c r="F1428" s="655">
        <v>3793709</v>
      </c>
      <c r="G1428" s="655">
        <v>0</v>
      </c>
      <c r="H1428" s="655">
        <v>126714</v>
      </c>
      <c r="I1428" s="655">
        <v>332248</v>
      </c>
      <c r="J1428" s="655">
        <v>383521</v>
      </c>
      <c r="K1428" s="655">
        <v>43396</v>
      </c>
      <c r="L1428" s="655">
        <v>34742</v>
      </c>
      <c r="M1428" s="655">
        <v>0</v>
      </c>
      <c r="N1428" s="655">
        <v>180717</v>
      </c>
      <c r="O1428" s="655">
        <v>0</v>
      </c>
      <c r="P1428" s="655">
        <v>30793</v>
      </c>
      <c r="Q1428" s="655">
        <v>33601</v>
      </c>
      <c r="R1428" s="655">
        <v>0</v>
      </c>
      <c r="S1428" s="655">
        <v>16306</v>
      </c>
      <c r="T1428" s="655">
        <v>1915</v>
      </c>
      <c r="U1428" s="655">
        <v>133509</v>
      </c>
      <c r="V1428" s="655">
        <v>0</v>
      </c>
      <c r="W1428" s="655">
        <v>72644</v>
      </c>
      <c r="X1428" s="655">
        <v>0</v>
      </c>
      <c r="Y1428" s="655">
        <v>0</v>
      </c>
      <c r="Z1428" s="655">
        <v>0</v>
      </c>
      <c r="AA1428" s="655">
        <v>0</v>
      </c>
      <c r="AB1428" s="655">
        <v>0</v>
      </c>
      <c r="AC1428" s="655">
        <v>8115</v>
      </c>
      <c r="AD1428" s="655">
        <v>32229</v>
      </c>
      <c r="AE1428" s="655">
        <v>5159701</v>
      </c>
      <c r="AF1428" s="655">
        <v>75797</v>
      </c>
      <c r="AG1428" s="655">
        <v>298906</v>
      </c>
      <c r="AH1428" s="655">
        <v>0</v>
      </c>
      <c r="AI1428" s="655">
        <v>0</v>
      </c>
      <c r="AJ1428" s="655">
        <v>2095527.1900000013</v>
      </c>
      <c r="AK1428" s="655">
        <v>7629931.1900000013</v>
      </c>
      <c r="AL1428" s="655">
        <v>0</v>
      </c>
      <c r="AM1428" s="655">
        <v>7629931.1900000013</v>
      </c>
    </row>
    <row r="1429" spans="1:39" x14ac:dyDescent="0.2">
      <c r="A1429" s="648">
        <v>2017</v>
      </c>
      <c r="B1429" s="648">
        <v>7</v>
      </c>
      <c r="C1429" s="657" t="s">
        <v>170</v>
      </c>
      <c r="D1429" s="648">
        <v>6536</v>
      </c>
      <c r="E1429" s="648" t="s">
        <v>639</v>
      </c>
      <c r="F1429" s="655">
        <v>7517135</v>
      </c>
      <c r="G1429" s="655">
        <v>123157</v>
      </c>
      <c r="H1429" s="655">
        <v>43441</v>
      </c>
      <c r="I1429" s="655">
        <v>1075020</v>
      </c>
      <c r="J1429" s="655">
        <v>665221</v>
      </c>
      <c r="K1429" s="655">
        <v>57395</v>
      </c>
      <c r="L1429" s="655">
        <v>69852</v>
      </c>
      <c r="M1429" s="655">
        <v>362334</v>
      </c>
      <c r="N1429" s="655">
        <v>377344</v>
      </c>
      <c r="O1429" s="655">
        <v>12526</v>
      </c>
      <c r="P1429" s="655">
        <v>61876</v>
      </c>
      <c r="Q1429" s="655">
        <v>69099</v>
      </c>
      <c r="R1429" s="655">
        <v>0</v>
      </c>
      <c r="S1429" s="655">
        <v>48063</v>
      </c>
      <c r="T1429" s="655">
        <v>5516</v>
      </c>
      <c r="U1429" s="655">
        <v>169042</v>
      </c>
      <c r="V1429" s="655">
        <v>0</v>
      </c>
      <c r="W1429" s="655">
        <v>90244</v>
      </c>
      <c r="X1429" s="655">
        <v>0</v>
      </c>
      <c r="Y1429" s="655">
        <v>0</v>
      </c>
      <c r="Z1429" s="655">
        <v>0</v>
      </c>
      <c r="AA1429" s="655">
        <v>0</v>
      </c>
      <c r="AB1429" s="655">
        <v>0</v>
      </c>
      <c r="AC1429" s="655">
        <v>-1436</v>
      </c>
      <c r="AD1429" s="655">
        <v>63468</v>
      </c>
      <c r="AE1429" s="655">
        <v>10682361</v>
      </c>
      <c r="AF1429" s="655">
        <v>168071</v>
      </c>
      <c r="AG1429" s="655">
        <v>592275</v>
      </c>
      <c r="AH1429" s="655">
        <v>0</v>
      </c>
      <c r="AI1429" s="655">
        <v>0</v>
      </c>
      <c r="AJ1429" s="655">
        <v>2064692.4299999997</v>
      </c>
      <c r="AK1429" s="655">
        <v>13507399.43</v>
      </c>
      <c r="AL1429" s="655">
        <v>0</v>
      </c>
      <c r="AM1429" s="655">
        <v>13507399.43</v>
      </c>
    </row>
    <row r="1430" spans="1:39" x14ac:dyDescent="0.2">
      <c r="A1430" s="648">
        <v>2017</v>
      </c>
      <c r="B1430" s="648">
        <v>5</v>
      </c>
      <c r="C1430" s="657" t="s">
        <v>171</v>
      </c>
      <c r="D1430" s="648">
        <v>1944</v>
      </c>
      <c r="E1430" s="648" t="s">
        <v>1096</v>
      </c>
      <c r="F1430" s="655">
        <v>5626167</v>
      </c>
      <c r="G1430" s="655">
        <v>0</v>
      </c>
      <c r="H1430" s="655">
        <v>273975</v>
      </c>
      <c r="I1430" s="655">
        <v>905111</v>
      </c>
      <c r="J1430" s="655">
        <v>488761</v>
      </c>
      <c r="K1430" s="655">
        <v>53469</v>
      </c>
      <c r="L1430" s="655">
        <v>60279</v>
      </c>
      <c r="M1430" s="655">
        <v>0</v>
      </c>
      <c r="N1430" s="655">
        <v>291751</v>
      </c>
      <c r="O1430" s="655">
        <v>0</v>
      </c>
      <c r="P1430" s="655">
        <v>45758</v>
      </c>
      <c r="Q1430" s="655">
        <v>51372</v>
      </c>
      <c r="R1430" s="655">
        <v>851</v>
      </c>
      <c r="S1430" s="655">
        <v>31045</v>
      </c>
      <c r="T1430" s="655">
        <v>3699</v>
      </c>
      <c r="U1430" s="655">
        <v>275229</v>
      </c>
      <c r="V1430" s="655">
        <v>0</v>
      </c>
      <c r="W1430" s="655">
        <v>154354</v>
      </c>
      <c r="X1430" s="655">
        <v>0</v>
      </c>
      <c r="Y1430" s="655">
        <v>0</v>
      </c>
      <c r="Z1430" s="655">
        <v>0</v>
      </c>
      <c r="AA1430" s="655">
        <v>0</v>
      </c>
      <c r="AB1430" s="655">
        <v>0</v>
      </c>
      <c r="AC1430" s="655">
        <v>-9452</v>
      </c>
      <c r="AD1430" s="655">
        <v>52608</v>
      </c>
      <c r="AE1430" s="655">
        <v>8199761</v>
      </c>
      <c r="AF1430" s="655">
        <v>138411</v>
      </c>
      <c r="AG1430" s="655">
        <v>289427</v>
      </c>
      <c r="AH1430" s="655">
        <v>0</v>
      </c>
      <c r="AI1430" s="655">
        <v>0</v>
      </c>
      <c r="AJ1430" s="655">
        <v>1544303.2199999988</v>
      </c>
      <c r="AK1430" s="655">
        <v>10171902.219999999</v>
      </c>
      <c r="AL1430" s="655">
        <v>0</v>
      </c>
      <c r="AM1430" s="655">
        <v>10171902.219999999</v>
      </c>
    </row>
    <row r="1431" spans="1:39" x14ac:dyDescent="0.2">
      <c r="A1431" s="648">
        <v>2017</v>
      </c>
      <c r="B1431" s="648">
        <v>11</v>
      </c>
      <c r="C1431" s="657" t="s">
        <v>172</v>
      </c>
      <c r="D1431" s="648">
        <v>1953</v>
      </c>
      <c r="E1431" s="648" t="s">
        <v>1097</v>
      </c>
      <c r="F1431" s="655">
        <v>4006669</v>
      </c>
      <c r="G1431" s="655">
        <v>180859</v>
      </c>
      <c r="H1431" s="655">
        <v>60242</v>
      </c>
      <c r="I1431" s="655">
        <v>346687</v>
      </c>
      <c r="J1431" s="655">
        <v>379424</v>
      </c>
      <c r="K1431" s="655">
        <v>38193</v>
      </c>
      <c r="L1431" s="655">
        <v>43474</v>
      </c>
      <c r="M1431" s="655">
        <v>201116</v>
      </c>
      <c r="N1431" s="655">
        <v>186050</v>
      </c>
      <c r="O1431" s="655">
        <v>7763</v>
      </c>
      <c r="P1431" s="655">
        <v>32818</v>
      </c>
      <c r="Q1431" s="655">
        <v>36027</v>
      </c>
      <c r="R1431" s="655">
        <v>0</v>
      </c>
      <c r="S1431" s="655">
        <v>15881</v>
      </c>
      <c r="T1431" s="655">
        <v>2020</v>
      </c>
      <c r="U1431" s="655">
        <v>112693</v>
      </c>
      <c r="V1431" s="655">
        <v>0</v>
      </c>
      <c r="W1431" s="655">
        <v>65104</v>
      </c>
      <c r="X1431" s="655">
        <v>0</v>
      </c>
      <c r="Y1431" s="655">
        <v>0</v>
      </c>
      <c r="Z1431" s="655">
        <v>0</v>
      </c>
      <c r="AA1431" s="655">
        <v>0</v>
      </c>
      <c r="AB1431" s="655">
        <v>0</v>
      </c>
      <c r="AC1431" s="655">
        <v>0</v>
      </c>
      <c r="AD1431" s="655">
        <v>26693</v>
      </c>
      <c r="AE1431" s="655">
        <v>5688327</v>
      </c>
      <c r="AF1431" s="655">
        <v>95570</v>
      </c>
      <c r="AG1431" s="655">
        <v>300162</v>
      </c>
      <c r="AH1431" s="655">
        <v>0</v>
      </c>
      <c r="AI1431" s="655">
        <v>0</v>
      </c>
      <c r="AJ1431" s="655">
        <v>2192204</v>
      </c>
      <c r="AK1431" s="655">
        <v>8276263</v>
      </c>
      <c r="AL1431" s="655">
        <v>0</v>
      </c>
      <c r="AM1431" s="655">
        <v>8276263</v>
      </c>
    </row>
    <row r="1432" spans="1:39" x14ac:dyDescent="0.2">
      <c r="A1432" s="648">
        <v>2017</v>
      </c>
      <c r="B1432" s="648">
        <v>7</v>
      </c>
      <c r="C1432" s="657" t="s">
        <v>173</v>
      </c>
      <c r="D1432" s="648">
        <v>1963</v>
      </c>
      <c r="E1432" s="648" t="s">
        <v>1098</v>
      </c>
      <c r="F1432" s="655">
        <v>3543322</v>
      </c>
      <c r="G1432" s="655">
        <v>122067</v>
      </c>
      <c r="H1432" s="655">
        <v>65468</v>
      </c>
      <c r="I1432" s="655">
        <v>536969</v>
      </c>
      <c r="J1432" s="655">
        <v>345873</v>
      </c>
      <c r="K1432" s="655">
        <v>34484</v>
      </c>
      <c r="L1432" s="655">
        <v>36184</v>
      </c>
      <c r="M1432" s="655">
        <v>0</v>
      </c>
      <c r="N1432" s="655">
        <v>181425</v>
      </c>
      <c r="O1432" s="655">
        <v>7113</v>
      </c>
      <c r="P1432" s="655">
        <v>29555</v>
      </c>
      <c r="Q1432" s="655">
        <v>33005</v>
      </c>
      <c r="R1432" s="655">
        <v>0</v>
      </c>
      <c r="S1432" s="655">
        <v>23790</v>
      </c>
      <c r="T1432" s="655">
        <v>2730</v>
      </c>
      <c r="U1432" s="655">
        <v>114357</v>
      </c>
      <c r="V1432" s="655">
        <v>0</v>
      </c>
      <c r="W1432" s="655">
        <v>296595</v>
      </c>
      <c r="X1432" s="655">
        <v>0</v>
      </c>
      <c r="Y1432" s="655">
        <v>0</v>
      </c>
      <c r="Z1432" s="655">
        <v>0</v>
      </c>
      <c r="AA1432" s="655">
        <v>0</v>
      </c>
      <c r="AB1432" s="655">
        <v>0</v>
      </c>
      <c r="AC1432" s="655">
        <v>-6446</v>
      </c>
      <c r="AD1432" s="655">
        <v>33637</v>
      </c>
      <c r="AE1432" s="655">
        <v>5332854</v>
      </c>
      <c r="AF1432" s="655">
        <v>131820</v>
      </c>
      <c r="AG1432" s="655">
        <v>285827</v>
      </c>
      <c r="AH1432" s="655">
        <v>0</v>
      </c>
      <c r="AI1432" s="655">
        <v>0</v>
      </c>
      <c r="AJ1432" s="655">
        <v>1069742.5899999999</v>
      </c>
      <c r="AK1432" s="655">
        <v>6820243.5899999999</v>
      </c>
      <c r="AL1432" s="655">
        <v>0</v>
      </c>
      <c r="AM1432" s="655">
        <v>6820243.5899999999</v>
      </c>
    </row>
    <row r="1433" spans="1:39" x14ac:dyDescent="0.2">
      <c r="A1433" s="648">
        <v>2017</v>
      </c>
      <c r="B1433" s="648">
        <v>9</v>
      </c>
      <c r="C1433" s="657" t="s">
        <v>174</v>
      </c>
      <c r="D1433" s="648">
        <v>1965</v>
      </c>
      <c r="E1433" s="648" t="s">
        <v>1524</v>
      </c>
      <c r="F1433" s="655">
        <v>4093011</v>
      </c>
      <c r="G1433" s="655">
        <v>93215</v>
      </c>
      <c r="H1433" s="655">
        <v>208935</v>
      </c>
      <c r="I1433" s="655">
        <v>619949</v>
      </c>
      <c r="J1433" s="655">
        <v>364536</v>
      </c>
      <c r="K1433" s="655">
        <v>39943</v>
      </c>
      <c r="L1433" s="655">
        <v>36754</v>
      </c>
      <c r="M1433" s="655">
        <v>0</v>
      </c>
      <c r="N1433" s="655">
        <v>207868</v>
      </c>
      <c r="O1433" s="655">
        <v>11409</v>
      </c>
      <c r="P1433" s="655">
        <v>33534</v>
      </c>
      <c r="Q1433" s="655">
        <v>36591</v>
      </c>
      <c r="R1433" s="655">
        <v>0</v>
      </c>
      <c r="S1433" s="655">
        <v>19062</v>
      </c>
      <c r="T1433" s="655">
        <v>2236</v>
      </c>
      <c r="U1433" s="655">
        <v>110409</v>
      </c>
      <c r="V1433" s="655">
        <v>0</v>
      </c>
      <c r="W1433" s="655">
        <v>135366</v>
      </c>
      <c r="X1433" s="655">
        <v>0</v>
      </c>
      <c r="Y1433" s="655">
        <v>0</v>
      </c>
      <c r="Z1433" s="655">
        <v>0</v>
      </c>
      <c r="AA1433" s="655">
        <v>0</v>
      </c>
      <c r="AB1433" s="655">
        <v>0</v>
      </c>
      <c r="AC1433" s="655">
        <v>0</v>
      </c>
      <c r="AD1433" s="655">
        <v>41630</v>
      </c>
      <c r="AE1433" s="655">
        <v>5971188</v>
      </c>
      <c r="AF1433" s="655">
        <v>95570</v>
      </c>
      <c r="AG1433" s="655">
        <v>329038</v>
      </c>
      <c r="AH1433" s="655">
        <v>0</v>
      </c>
      <c r="AI1433" s="655">
        <v>0</v>
      </c>
      <c r="AJ1433" s="655">
        <v>1559557.5399999991</v>
      </c>
      <c r="AK1433" s="655">
        <v>7955353.5399999991</v>
      </c>
      <c r="AL1433" s="655">
        <v>0</v>
      </c>
      <c r="AM1433" s="655">
        <v>7955353.5399999991</v>
      </c>
    </row>
    <row r="1434" spans="1:39" x14ac:dyDescent="0.2">
      <c r="A1434" s="648">
        <v>2017</v>
      </c>
      <c r="B1434" s="648">
        <v>13</v>
      </c>
      <c r="C1434" s="657" t="s">
        <v>175</v>
      </c>
      <c r="D1434" s="648">
        <v>1970</v>
      </c>
      <c r="E1434" s="648" t="s">
        <v>1099</v>
      </c>
      <c r="F1434" s="655">
        <v>3415325</v>
      </c>
      <c r="G1434" s="655">
        <v>1016</v>
      </c>
      <c r="H1434" s="655">
        <v>130818</v>
      </c>
      <c r="I1434" s="655">
        <v>452929</v>
      </c>
      <c r="J1434" s="655">
        <v>304276</v>
      </c>
      <c r="K1434" s="655">
        <v>29403</v>
      </c>
      <c r="L1434" s="655">
        <v>36730</v>
      </c>
      <c r="M1434" s="655">
        <v>165071</v>
      </c>
      <c r="N1434" s="655">
        <v>169431</v>
      </c>
      <c r="O1434" s="655">
        <v>0</v>
      </c>
      <c r="P1434" s="655">
        <v>28259</v>
      </c>
      <c r="Q1434" s="655">
        <v>31251</v>
      </c>
      <c r="R1434" s="655">
        <v>0</v>
      </c>
      <c r="S1434" s="655">
        <v>17397</v>
      </c>
      <c r="T1434" s="655">
        <v>1854</v>
      </c>
      <c r="U1434" s="655">
        <v>167023</v>
      </c>
      <c r="V1434" s="655">
        <v>0</v>
      </c>
      <c r="W1434" s="655">
        <v>45122</v>
      </c>
      <c r="X1434" s="655">
        <v>0</v>
      </c>
      <c r="Y1434" s="655">
        <v>0</v>
      </c>
      <c r="Z1434" s="655">
        <v>0</v>
      </c>
      <c r="AA1434" s="655">
        <v>0</v>
      </c>
      <c r="AB1434" s="655">
        <v>0</v>
      </c>
      <c r="AC1434" s="655">
        <v>0</v>
      </c>
      <c r="AD1434" s="655">
        <v>30013</v>
      </c>
      <c r="AE1434" s="655">
        <v>4965892</v>
      </c>
      <c r="AF1434" s="655">
        <v>112047</v>
      </c>
      <c r="AG1434" s="655">
        <v>244883</v>
      </c>
      <c r="AH1434" s="655">
        <v>0</v>
      </c>
      <c r="AI1434" s="655">
        <v>0</v>
      </c>
      <c r="AJ1434" s="655">
        <v>638638.04</v>
      </c>
      <c r="AK1434" s="655">
        <v>5961460.04</v>
      </c>
      <c r="AL1434" s="655">
        <v>0</v>
      </c>
      <c r="AM1434" s="655">
        <v>5961460.04</v>
      </c>
    </row>
    <row r="1435" spans="1:39" x14ac:dyDescent="0.2">
      <c r="A1435" s="648">
        <v>2017</v>
      </c>
      <c r="B1435" s="648">
        <v>1</v>
      </c>
      <c r="C1435" s="657" t="s">
        <v>176</v>
      </c>
      <c r="D1435" s="648">
        <v>1972</v>
      </c>
      <c r="E1435" s="648" t="s">
        <v>1100</v>
      </c>
      <c r="F1435" s="655">
        <v>2283122</v>
      </c>
      <c r="G1435" s="655">
        <v>8560</v>
      </c>
      <c r="H1435" s="655">
        <v>145912</v>
      </c>
      <c r="I1435" s="655">
        <v>197664</v>
      </c>
      <c r="J1435" s="655">
        <v>222371</v>
      </c>
      <c r="K1435" s="655">
        <v>21065</v>
      </c>
      <c r="L1435" s="655">
        <v>25665</v>
      </c>
      <c r="M1435" s="655">
        <v>110751</v>
      </c>
      <c r="N1435" s="655">
        <v>114400</v>
      </c>
      <c r="O1435" s="655">
        <v>13827</v>
      </c>
      <c r="P1435" s="655">
        <v>18862</v>
      </c>
      <c r="Q1435" s="655">
        <v>21044</v>
      </c>
      <c r="R1435" s="655">
        <v>0</v>
      </c>
      <c r="S1435" s="655">
        <v>11265</v>
      </c>
      <c r="T1435" s="655">
        <v>1208</v>
      </c>
      <c r="U1435" s="655">
        <v>90619</v>
      </c>
      <c r="V1435" s="655">
        <v>0</v>
      </c>
      <c r="W1435" s="655">
        <v>19338</v>
      </c>
      <c r="X1435" s="655">
        <v>0</v>
      </c>
      <c r="Y1435" s="655">
        <v>0</v>
      </c>
      <c r="Z1435" s="655">
        <v>0</v>
      </c>
      <c r="AA1435" s="655">
        <v>0</v>
      </c>
      <c r="AB1435" s="655">
        <v>0</v>
      </c>
      <c r="AC1435" s="655">
        <v>0</v>
      </c>
      <c r="AD1435" s="655">
        <v>27698</v>
      </c>
      <c r="AE1435" s="655">
        <v>3277975</v>
      </c>
      <c r="AF1435" s="655">
        <v>79092</v>
      </c>
      <c r="AG1435" s="655">
        <v>198299</v>
      </c>
      <c r="AH1435" s="655">
        <v>0</v>
      </c>
      <c r="AI1435" s="655">
        <v>0</v>
      </c>
      <c r="AJ1435" s="655">
        <v>1440307.6500000004</v>
      </c>
      <c r="AK1435" s="655">
        <v>4995673.6500000004</v>
      </c>
      <c r="AL1435" s="655">
        <v>0</v>
      </c>
      <c r="AM1435" s="655">
        <v>4995673.6500000004</v>
      </c>
    </row>
    <row r="1436" spans="1:39" x14ac:dyDescent="0.2">
      <c r="A1436" s="648">
        <v>2017</v>
      </c>
      <c r="B1436" s="648">
        <v>12</v>
      </c>
      <c r="C1436" s="657" t="s">
        <v>177</v>
      </c>
      <c r="D1436" s="648">
        <v>1975</v>
      </c>
      <c r="E1436" s="648" t="s">
        <v>1101</v>
      </c>
      <c r="F1436" s="655">
        <v>2835360</v>
      </c>
      <c r="G1436" s="655">
        <v>0</v>
      </c>
      <c r="H1436" s="655">
        <v>54575</v>
      </c>
      <c r="I1436" s="655">
        <v>322938</v>
      </c>
      <c r="J1436" s="655">
        <v>265944</v>
      </c>
      <c r="K1436" s="655">
        <v>29015</v>
      </c>
      <c r="L1436" s="655">
        <v>32667</v>
      </c>
      <c r="M1436" s="655">
        <v>0</v>
      </c>
      <c r="N1436" s="655">
        <v>141798</v>
      </c>
      <c r="O1436" s="655">
        <v>0</v>
      </c>
      <c r="P1436" s="655">
        <v>23310</v>
      </c>
      <c r="Q1436" s="655">
        <v>26161</v>
      </c>
      <c r="R1436" s="655">
        <v>0</v>
      </c>
      <c r="S1436" s="655">
        <v>14246</v>
      </c>
      <c r="T1436" s="655">
        <v>1704</v>
      </c>
      <c r="U1436" s="655">
        <v>74873</v>
      </c>
      <c r="V1436" s="655">
        <v>0</v>
      </c>
      <c r="W1436" s="655">
        <v>59728</v>
      </c>
      <c r="X1436" s="655">
        <v>0</v>
      </c>
      <c r="Y1436" s="655">
        <v>0</v>
      </c>
      <c r="Z1436" s="655">
        <v>0</v>
      </c>
      <c r="AA1436" s="655">
        <v>0</v>
      </c>
      <c r="AB1436" s="655">
        <v>0</v>
      </c>
      <c r="AC1436" s="655">
        <v>0</v>
      </c>
      <c r="AD1436" s="655">
        <v>28976</v>
      </c>
      <c r="AE1436" s="655">
        <v>3853343</v>
      </c>
      <c r="AF1436" s="655">
        <v>62615</v>
      </c>
      <c r="AG1436" s="655">
        <v>237376</v>
      </c>
      <c r="AH1436" s="655">
        <v>0</v>
      </c>
      <c r="AI1436" s="655">
        <v>0</v>
      </c>
      <c r="AJ1436" s="655">
        <v>1286534.6400000006</v>
      </c>
      <c r="AK1436" s="655">
        <v>5439868.6400000006</v>
      </c>
      <c r="AL1436" s="655">
        <v>0</v>
      </c>
      <c r="AM1436" s="655">
        <v>5439868.6400000006</v>
      </c>
    </row>
    <row r="1437" spans="1:39" x14ac:dyDescent="0.2">
      <c r="A1437" s="648">
        <v>2017</v>
      </c>
      <c r="B1437" s="648">
        <v>1</v>
      </c>
      <c r="C1437" s="657" t="s">
        <v>178</v>
      </c>
      <c r="D1437" s="648">
        <v>1989</v>
      </c>
      <c r="E1437" s="648" t="s">
        <v>1102</v>
      </c>
      <c r="F1437" s="655">
        <v>2636400</v>
      </c>
      <c r="G1437" s="655">
        <v>26378</v>
      </c>
      <c r="H1437" s="655">
        <v>133224</v>
      </c>
      <c r="I1437" s="655">
        <v>214998</v>
      </c>
      <c r="J1437" s="655">
        <v>250218</v>
      </c>
      <c r="K1437" s="655">
        <v>27906</v>
      </c>
      <c r="L1437" s="655">
        <v>29939</v>
      </c>
      <c r="M1437" s="655">
        <v>127888</v>
      </c>
      <c r="N1437" s="655">
        <v>131491</v>
      </c>
      <c r="O1437" s="655">
        <v>12028</v>
      </c>
      <c r="P1437" s="655">
        <v>22764</v>
      </c>
      <c r="Q1437" s="655">
        <v>25397</v>
      </c>
      <c r="R1437" s="655">
        <v>0</v>
      </c>
      <c r="S1437" s="655">
        <v>12948</v>
      </c>
      <c r="T1437" s="655">
        <v>1389</v>
      </c>
      <c r="U1437" s="655">
        <v>80620</v>
      </c>
      <c r="V1437" s="655">
        <v>0</v>
      </c>
      <c r="W1437" s="655">
        <v>45122</v>
      </c>
      <c r="X1437" s="655">
        <v>0</v>
      </c>
      <c r="Y1437" s="655">
        <v>0</v>
      </c>
      <c r="Z1437" s="655">
        <v>0</v>
      </c>
      <c r="AA1437" s="655">
        <v>0</v>
      </c>
      <c r="AB1437" s="655">
        <v>0</v>
      </c>
      <c r="AC1437" s="655">
        <v>0</v>
      </c>
      <c r="AD1437" s="655">
        <v>31577</v>
      </c>
      <c r="AE1437" s="655">
        <v>3747133</v>
      </c>
      <c r="AF1437" s="655">
        <v>75797</v>
      </c>
      <c r="AG1437" s="655">
        <v>211824</v>
      </c>
      <c r="AH1437" s="655">
        <v>0</v>
      </c>
      <c r="AI1437" s="655">
        <v>0</v>
      </c>
      <c r="AJ1437" s="655">
        <v>2055522.1500000004</v>
      </c>
      <c r="AK1437" s="655">
        <v>6090276.1500000004</v>
      </c>
      <c r="AL1437" s="655">
        <v>0</v>
      </c>
      <c r="AM1437" s="655">
        <v>6090276.1500000004</v>
      </c>
    </row>
    <row r="1438" spans="1:39" x14ac:dyDescent="0.2">
      <c r="A1438" s="648">
        <v>2017</v>
      </c>
      <c r="B1438" s="648">
        <v>7</v>
      </c>
      <c r="C1438" s="657" t="s">
        <v>179</v>
      </c>
      <c r="D1438" s="648">
        <v>2007</v>
      </c>
      <c r="E1438" s="648" t="s">
        <v>1103</v>
      </c>
      <c r="F1438" s="655">
        <v>4133216</v>
      </c>
      <c r="G1438" s="655">
        <v>39989</v>
      </c>
      <c r="H1438" s="655">
        <v>138365</v>
      </c>
      <c r="I1438" s="655">
        <v>912063</v>
      </c>
      <c r="J1438" s="655">
        <v>374600</v>
      </c>
      <c r="K1438" s="655">
        <v>43665</v>
      </c>
      <c r="L1438" s="655">
        <v>43239</v>
      </c>
      <c r="M1438" s="655">
        <v>0</v>
      </c>
      <c r="N1438" s="655">
        <v>224332</v>
      </c>
      <c r="O1438" s="655">
        <v>1964</v>
      </c>
      <c r="P1438" s="655">
        <v>34273</v>
      </c>
      <c r="Q1438" s="655">
        <v>38274</v>
      </c>
      <c r="R1438" s="655">
        <v>0</v>
      </c>
      <c r="S1438" s="655">
        <v>28819</v>
      </c>
      <c r="T1438" s="655">
        <v>3307</v>
      </c>
      <c r="U1438" s="655">
        <v>202114</v>
      </c>
      <c r="V1438" s="655">
        <v>0</v>
      </c>
      <c r="W1438" s="655">
        <v>74807</v>
      </c>
      <c r="X1438" s="655">
        <v>0</v>
      </c>
      <c r="Y1438" s="655">
        <v>0</v>
      </c>
      <c r="Z1438" s="655">
        <v>0</v>
      </c>
      <c r="AA1438" s="655">
        <v>0</v>
      </c>
      <c r="AB1438" s="655">
        <v>0</v>
      </c>
      <c r="AC1438" s="655">
        <v>-9927</v>
      </c>
      <c r="AD1438" s="655">
        <v>36486</v>
      </c>
      <c r="AE1438" s="655">
        <v>6246614</v>
      </c>
      <c r="AF1438" s="655">
        <v>108752</v>
      </c>
      <c r="AG1438" s="655">
        <v>302975</v>
      </c>
      <c r="AH1438" s="655">
        <v>0</v>
      </c>
      <c r="AI1438" s="655">
        <v>0</v>
      </c>
      <c r="AJ1438" s="655">
        <v>1191155.879999999</v>
      </c>
      <c r="AK1438" s="655">
        <v>7849496.879999999</v>
      </c>
      <c r="AL1438" s="655">
        <v>0</v>
      </c>
      <c r="AM1438" s="655">
        <v>7849496.879999999</v>
      </c>
    </row>
    <row r="1439" spans="1:39" x14ac:dyDescent="0.2">
      <c r="A1439" s="648">
        <v>2017</v>
      </c>
      <c r="B1439" s="648">
        <v>5</v>
      </c>
      <c r="C1439" s="657" t="s">
        <v>180</v>
      </c>
      <c r="D1439" s="648">
        <v>2088</v>
      </c>
      <c r="E1439" s="648" t="s">
        <v>1104</v>
      </c>
      <c r="F1439" s="655">
        <v>4513151</v>
      </c>
      <c r="G1439" s="655">
        <v>0</v>
      </c>
      <c r="H1439" s="655">
        <v>115655</v>
      </c>
      <c r="I1439" s="655">
        <v>659852</v>
      </c>
      <c r="J1439" s="655">
        <v>382220</v>
      </c>
      <c r="K1439" s="655">
        <v>44721</v>
      </c>
      <c r="L1439" s="655">
        <v>45777</v>
      </c>
      <c r="M1439" s="655">
        <v>214916</v>
      </c>
      <c r="N1439" s="655">
        <v>230905</v>
      </c>
      <c r="O1439" s="655">
        <v>0</v>
      </c>
      <c r="P1439" s="655">
        <v>40764</v>
      </c>
      <c r="Q1439" s="655">
        <v>45766</v>
      </c>
      <c r="R1439" s="655">
        <v>674</v>
      </c>
      <c r="S1439" s="655">
        <v>24571</v>
      </c>
      <c r="T1439" s="655">
        <v>2928</v>
      </c>
      <c r="U1439" s="655">
        <v>123718</v>
      </c>
      <c r="V1439" s="655">
        <v>0</v>
      </c>
      <c r="W1439" s="655">
        <v>176712</v>
      </c>
      <c r="X1439" s="655">
        <v>0</v>
      </c>
      <c r="Y1439" s="655">
        <v>0</v>
      </c>
      <c r="Z1439" s="655">
        <v>0</v>
      </c>
      <c r="AA1439" s="655">
        <v>0</v>
      </c>
      <c r="AB1439" s="655">
        <v>0</v>
      </c>
      <c r="AC1439" s="655">
        <v>0</v>
      </c>
      <c r="AD1439" s="655">
        <v>45566</v>
      </c>
      <c r="AE1439" s="655">
        <v>6576764</v>
      </c>
      <c r="AF1439" s="655">
        <v>131820</v>
      </c>
      <c r="AG1439" s="655">
        <v>378337</v>
      </c>
      <c r="AH1439" s="655">
        <v>0</v>
      </c>
      <c r="AI1439" s="655">
        <v>0</v>
      </c>
      <c r="AJ1439" s="655">
        <v>1820146.42</v>
      </c>
      <c r="AK1439" s="655">
        <v>8907067.4199999999</v>
      </c>
      <c r="AL1439" s="655">
        <v>0</v>
      </c>
      <c r="AM1439" s="655">
        <v>8907067.4199999999</v>
      </c>
    </row>
    <row r="1440" spans="1:39" x14ac:dyDescent="0.2">
      <c r="A1440" s="648">
        <v>2017</v>
      </c>
      <c r="B1440" s="648">
        <v>10</v>
      </c>
      <c r="C1440" s="657" t="s">
        <v>181</v>
      </c>
      <c r="D1440" s="648">
        <v>2097</v>
      </c>
      <c r="E1440" s="648" t="s">
        <v>2008</v>
      </c>
      <c r="F1440" s="655">
        <v>3026789</v>
      </c>
      <c r="G1440" s="655">
        <v>0</v>
      </c>
      <c r="H1440" s="655">
        <v>108643</v>
      </c>
      <c r="I1440" s="655">
        <v>329868</v>
      </c>
      <c r="J1440" s="655">
        <v>303442</v>
      </c>
      <c r="K1440" s="655">
        <v>31971</v>
      </c>
      <c r="L1440" s="655">
        <v>32757</v>
      </c>
      <c r="M1440" s="655">
        <v>0</v>
      </c>
      <c r="N1440" s="655">
        <v>145458</v>
      </c>
      <c r="O1440" s="655">
        <v>29728</v>
      </c>
      <c r="P1440" s="655">
        <v>24534</v>
      </c>
      <c r="Q1440" s="655">
        <v>26954</v>
      </c>
      <c r="R1440" s="655">
        <v>0</v>
      </c>
      <c r="S1440" s="655">
        <v>13590</v>
      </c>
      <c r="T1440" s="655">
        <v>1582</v>
      </c>
      <c r="U1440" s="655">
        <v>148046</v>
      </c>
      <c r="V1440" s="655">
        <v>0</v>
      </c>
      <c r="W1440" s="655">
        <v>38171</v>
      </c>
      <c r="X1440" s="655">
        <v>0</v>
      </c>
      <c r="Y1440" s="655">
        <v>0</v>
      </c>
      <c r="Z1440" s="655">
        <v>0</v>
      </c>
      <c r="AA1440" s="655">
        <v>0</v>
      </c>
      <c r="AB1440" s="655">
        <v>0</v>
      </c>
      <c r="AC1440" s="655">
        <v>0</v>
      </c>
      <c r="AD1440" s="655">
        <v>36726</v>
      </c>
      <c r="AE1440" s="655">
        <v>4224807</v>
      </c>
      <c r="AF1440" s="655">
        <v>108752</v>
      </c>
      <c r="AG1440" s="655">
        <v>244171</v>
      </c>
      <c r="AH1440" s="655">
        <v>0</v>
      </c>
      <c r="AI1440" s="655">
        <v>0</v>
      </c>
      <c r="AJ1440" s="655">
        <v>1388207.0099999998</v>
      </c>
      <c r="AK1440" s="655">
        <v>5965937.0099999998</v>
      </c>
      <c r="AL1440" s="655">
        <v>0</v>
      </c>
      <c r="AM1440" s="655">
        <v>5965937.0099999998</v>
      </c>
    </row>
    <row r="1441" spans="1:39" x14ac:dyDescent="0.2">
      <c r="A1441" s="648">
        <v>2017</v>
      </c>
      <c r="B1441" s="648">
        <v>13</v>
      </c>
      <c r="C1441" s="657" t="s">
        <v>182</v>
      </c>
      <c r="D1441" s="648">
        <v>2113</v>
      </c>
      <c r="E1441" s="648" t="s">
        <v>1105</v>
      </c>
      <c r="F1441" s="655">
        <v>1339291</v>
      </c>
      <c r="G1441" s="655">
        <v>107333</v>
      </c>
      <c r="H1441" s="655">
        <v>182300</v>
      </c>
      <c r="I1441" s="655">
        <v>140586</v>
      </c>
      <c r="J1441" s="655">
        <v>141777</v>
      </c>
      <c r="K1441" s="655">
        <v>13656</v>
      </c>
      <c r="L1441" s="655">
        <v>20367</v>
      </c>
      <c r="M1441" s="655">
        <v>0</v>
      </c>
      <c r="N1441" s="655">
        <v>65055</v>
      </c>
      <c r="O1441" s="655">
        <v>8090</v>
      </c>
      <c r="P1441" s="655">
        <v>11056</v>
      </c>
      <c r="Q1441" s="655">
        <v>12226</v>
      </c>
      <c r="R1441" s="655">
        <v>0</v>
      </c>
      <c r="S1441" s="655">
        <v>7228</v>
      </c>
      <c r="T1441" s="655">
        <v>768</v>
      </c>
      <c r="U1441" s="655">
        <v>65491</v>
      </c>
      <c r="V1441" s="655">
        <v>0</v>
      </c>
      <c r="W1441" s="655">
        <v>43832</v>
      </c>
      <c r="X1441" s="655">
        <v>0</v>
      </c>
      <c r="Y1441" s="655">
        <v>0</v>
      </c>
      <c r="Z1441" s="655">
        <v>0</v>
      </c>
      <c r="AA1441" s="655">
        <v>0</v>
      </c>
      <c r="AB1441" s="655">
        <v>0</v>
      </c>
      <c r="AC1441" s="655">
        <v>0</v>
      </c>
      <c r="AD1441" s="655">
        <v>13998</v>
      </c>
      <c r="AE1441" s="655">
        <v>2145058</v>
      </c>
      <c r="AF1441" s="655">
        <v>59319</v>
      </c>
      <c r="AG1441" s="655">
        <v>118203</v>
      </c>
      <c r="AH1441" s="655">
        <v>0</v>
      </c>
      <c r="AI1441" s="655">
        <v>0</v>
      </c>
      <c r="AJ1441" s="655">
        <v>982386.66000000015</v>
      </c>
      <c r="AK1441" s="655">
        <v>3304966.66</v>
      </c>
      <c r="AL1441" s="655">
        <v>0</v>
      </c>
      <c r="AM1441" s="655">
        <v>3304966.66</v>
      </c>
    </row>
    <row r="1442" spans="1:39" x14ac:dyDescent="0.2">
      <c r="A1442" s="648">
        <v>2017</v>
      </c>
      <c r="B1442" s="648">
        <v>5</v>
      </c>
      <c r="C1442" s="657" t="s">
        <v>183</v>
      </c>
      <c r="D1442" s="648">
        <v>2124</v>
      </c>
      <c r="E1442" s="648" t="s">
        <v>1106</v>
      </c>
      <c r="F1442" s="655">
        <v>9099271</v>
      </c>
      <c r="G1442" s="655">
        <v>0</v>
      </c>
      <c r="H1442" s="655">
        <v>150414</v>
      </c>
      <c r="I1442" s="655">
        <v>1148512</v>
      </c>
      <c r="J1442" s="655">
        <v>790930</v>
      </c>
      <c r="K1442" s="655">
        <v>88597</v>
      </c>
      <c r="L1442" s="655">
        <v>100754</v>
      </c>
      <c r="M1442" s="655">
        <v>0</v>
      </c>
      <c r="N1442" s="655">
        <v>464693</v>
      </c>
      <c r="O1442" s="655">
        <v>0</v>
      </c>
      <c r="P1442" s="655">
        <v>75015</v>
      </c>
      <c r="Q1442" s="655">
        <v>84219</v>
      </c>
      <c r="R1442" s="655">
        <v>1355</v>
      </c>
      <c r="S1442" s="655">
        <v>49448</v>
      </c>
      <c r="T1442" s="655">
        <v>5892</v>
      </c>
      <c r="U1442" s="655">
        <v>338186</v>
      </c>
      <c r="V1442" s="655">
        <v>0</v>
      </c>
      <c r="W1442" s="655">
        <v>73394</v>
      </c>
      <c r="X1442" s="655">
        <v>0</v>
      </c>
      <c r="Y1442" s="655">
        <v>0</v>
      </c>
      <c r="Z1442" s="655">
        <v>0</v>
      </c>
      <c r="AA1442" s="655">
        <v>0</v>
      </c>
      <c r="AB1442" s="655">
        <v>0</v>
      </c>
      <c r="AC1442" s="655">
        <v>-1422</v>
      </c>
      <c r="AD1442" s="655">
        <v>82039</v>
      </c>
      <c r="AE1442" s="655">
        <v>12387219</v>
      </c>
      <c r="AF1442" s="655">
        <v>230685</v>
      </c>
      <c r="AG1442" s="655">
        <v>627031</v>
      </c>
      <c r="AH1442" s="655">
        <v>0</v>
      </c>
      <c r="AI1442" s="655">
        <v>0</v>
      </c>
      <c r="AJ1442" s="655">
        <v>3117249</v>
      </c>
      <c r="AK1442" s="655">
        <v>16362184</v>
      </c>
      <c r="AL1442" s="655">
        <v>0</v>
      </c>
      <c r="AM1442" s="655">
        <v>16362184</v>
      </c>
    </row>
    <row r="1443" spans="1:39" x14ac:dyDescent="0.2">
      <c r="A1443" s="648">
        <v>2017</v>
      </c>
      <c r="B1443" s="648">
        <v>11</v>
      </c>
      <c r="C1443" s="657" t="s">
        <v>184</v>
      </c>
      <c r="D1443" s="648">
        <v>2151</v>
      </c>
      <c r="E1443" s="648" t="s">
        <v>1637</v>
      </c>
      <c r="F1443" s="655">
        <v>2736083</v>
      </c>
      <c r="G1443" s="655">
        <v>0</v>
      </c>
      <c r="H1443" s="655">
        <v>117273</v>
      </c>
      <c r="I1443" s="655">
        <v>405506</v>
      </c>
      <c r="J1443" s="655">
        <v>268472</v>
      </c>
      <c r="K1443" s="655">
        <v>28263</v>
      </c>
      <c r="L1443" s="655">
        <v>27000</v>
      </c>
      <c r="M1443" s="655">
        <v>0</v>
      </c>
      <c r="N1443" s="655">
        <v>132573</v>
      </c>
      <c r="O1443" s="655">
        <v>22958</v>
      </c>
      <c r="P1443" s="655">
        <v>22058</v>
      </c>
      <c r="Q1443" s="655">
        <v>24215</v>
      </c>
      <c r="R1443" s="655">
        <v>0</v>
      </c>
      <c r="S1443" s="655">
        <v>10924</v>
      </c>
      <c r="T1443" s="655">
        <v>1388</v>
      </c>
      <c r="U1443" s="655">
        <v>0</v>
      </c>
      <c r="V1443" s="655">
        <v>0</v>
      </c>
      <c r="W1443" s="655">
        <v>217605</v>
      </c>
      <c r="X1443" s="655">
        <v>0</v>
      </c>
      <c r="Y1443" s="655">
        <v>0</v>
      </c>
      <c r="Z1443" s="655">
        <v>0</v>
      </c>
      <c r="AA1443" s="655">
        <v>0</v>
      </c>
      <c r="AB1443" s="655">
        <v>0</v>
      </c>
      <c r="AC1443" s="655">
        <v>-1045</v>
      </c>
      <c r="AD1443" s="655">
        <v>34617</v>
      </c>
      <c r="AE1443" s="655">
        <v>3978656</v>
      </c>
      <c r="AF1443" s="655">
        <v>82388</v>
      </c>
      <c r="AG1443" s="655">
        <v>229010</v>
      </c>
      <c r="AH1443" s="655">
        <v>0</v>
      </c>
      <c r="AI1443" s="655">
        <v>0</v>
      </c>
      <c r="AJ1443" s="655">
        <v>899258.50999999978</v>
      </c>
      <c r="AK1443" s="655">
        <v>5189312.51</v>
      </c>
      <c r="AL1443" s="655">
        <v>0</v>
      </c>
      <c r="AM1443" s="655">
        <v>5189312.51</v>
      </c>
    </row>
    <row r="1444" spans="1:39" x14ac:dyDescent="0.2">
      <c r="A1444" s="648">
        <v>2017</v>
      </c>
      <c r="B1444" s="648">
        <v>15</v>
      </c>
      <c r="C1444" s="657" t="s">
        <v>185</v>
      </c>
      <c r="D1444" s="648">
        <v>2169</v>
      </c>
      <c r="E1444" s="648" t="s">
        <v>1107</v>
      </c>
      <c r="F1444" s="655">
        <v>11008288</v>
      </c>
      <c r="G1444" s="655">
        <v>0</v>
      </c>
      <c r="H1444" s="655">
        <v>212533</v>
      </c>
      <c r="I1444" s="655">
        <v>1750174</v>
      </c>
      <c r="J1444" s="655">
        <v>976733</v>
      </c>
      <c r="K1444" s="655">
        <v>102049</v>
      </c>
      <c r="L1444" s="655">
        <v>112020</v>
      </c>
      <c r="M1444" s="655">
        <v>533996</v>
      </c>
      <c r="N1444" s="655">
        <v>555751</v>
      </c>
      <c r="O1444" s="655">
        <v>0</v>
      </c>
      <c r="P1444" s="655">
        <v>96050</v>
      </c>
      <c r="Q1444" s="655">
        <v>105512</v>
      </c>
      <c r="R1444" s="655">
        <v>0</v>
      </c>
      <c r="S1444" s="655">
        <v>55672</v>
      </c>
      <c r="T1444" s="655">
        <v>6040</v>
      </c>
      <c r="U1444" s="655">
        <v>308728</v>
      </c>
      <c r="V1444" s="655">
        <v>0</v>
      </c>
      <c r="W1444" s="655">
        <v>140036</v>
      </c>
      <c r="X1444" s="655">
        <v>0</v>
      </c>
      <c r="Y1444" s="655">
        <v>0</v>
      </c>
      <c r="Z1444" s="655">
        <v>0</v>
      </c>
      <c r="AA1444" s="655">
        <v>0</v>
      </c>
      <c r="AB1444" s="655">
        <v>0</v>
      </c>
      <c r="AC1444" s="655">
        <v>0</v>
      </c>
      <c r="AD1444" s="655">
        <v>107293</v>
      </c>
      <c r="AE1444" s="655">
        <v>15856289</v>
      </c>
      <c r="AF1444" s="655">
        <v>121934</v>
      </c>
      <c r="AG1444" s="655">
        <v>898166</v>
      </c>
      <c r="AH1444" s="655">
        <v>0</v>
      </c>
      <c r="AI1444" s="655">
        <v>0</v>
      </c>
      <c r="AJ1444" s="655">
        <v>341726.17000000179</v>
      </c>
      <c r="AK1444" s="655">
        <v>17218115.170000002</v>
      </c>
      <c r="AL1444" s="655">
        <v>0</v>
      </c>
      <c r="AM1444" s="655">
        <v>17218115.170000002</v>
      </c>
    </row>
    <row r="1445" spans="1:39" x14ac:dyDescent="0.2">
      <c r="A1445" s="648">
        <v>2017</v>
      </c>
      <c r="B1445" s="648">
        <v>7</v>
      </c>
      <c r="C1445" s="657" t="s">
        <v>187</v>
      </c>
      <c r="D1445" s="648">
        <v>2295</v>
      </c>
      <c r="E1445" s="648" t="s">
        <v>1109</v>
      </c>
      <c r="F1445" s="655">
        <v>7202377</v>
      </c>
      <c r="G1445" s="655">
        <v>0</v>
      </c>
      <c r="H1445" s="655">
        <v>688561</v>
      </c>
      <c r="I1445" s="655">
        <v>1036546</v>
      </c>
      <c r="J1445" s="655">
        <v>657263</v>
      </c>
      <c r="K1445" s="655">
        <v>76565</v>
      </c>
      <c r="L1445" s="655">
        <v>73825</v>
      </c>
      <c r="M1445" s="655">
        <v>0</v>
      </c>
      <c r="N1445" s="655">
        <v>365944</v>
      </c>
      <c r="O1445" s="655">
        <v>54825</v>
      </c>
      <c r="P1445" s="655">
        <v>59328</v>
      </c>
      <c r="Q1445" s="655">
        <v>66253</v>
      </c>
      <c r="R1445" s="655">
        <v>0</v>
      </c>
      <c r="S1445" s="655">
        <v>46724</v>
      </c>
      <c r="T1445" s="655">
        <v>5362</v>
      </c>
      <c r="U1445" s="655">
        <v>352205</v>
      </c>
      <c r="V1445" s="655">
        <v>0</v>
      </c>
      <c r="W1445" s="655">
        <v>92327</v>
      </c>
      <c r="X1445" s="655">
        <v>0</v>
      </c>
      <c r="Y1445" s="655">
        <v>0</v>
      </c>
      <c r="Z1445" s="655">
        <v>0</v>
      </c>
      <c r="AA1445" s="655">
        <v>0</v>
      </c>
      <c r="AB1445" s="655">
        <v>0</v>
      </c>
      <c r="AC1445" s="655">
        <v>0</v>
      </c>
      <c r="AD1445" s="655">
        <v>85752</v>
      </c>
      <c r="AE1445" s="655">
        <v>10692353</v>
      </c>
      <c r="AF1445" s="655">
        <v>184548</v>
      </c>
      <c r="AG1445" s="655">
        <v>564811</v>
      </c>
      <c r="AH1445" s="655">
        <v>0</v>
      </c>
      <c r="AI1445" s="655">
        <v>0</v>
      </c>
      <c r="AJ1445" s="655">
        <v>1980386.8000000007</v>
      </c>
      <c r="AK1445" s="655">
        <v>13422098.800000001</v>
      </c>
      <c r="AL1445" s="655">
        <v>0</v>
      </c>
      <c r="AM1445" s="655">
        <v>13422098.800000001</v>
      </c>
    </row>
    <row r="1446" spans="1:39" x14ac:dyDescent="0.2">
      <c r="A1446" s="648">
        <v>2017</v>
      </c>
      <c r="B1446" s="648">
        <v>5</v>
      </c>
      <c r="C1446" s="657" t="s">
        <v>188</v>
      </c>
      <c r="D1446" s="648">
        <v>2313</v>
      </c>
      <c r="E1446" s="648" t="s">
        <v>1110</v>
      </c>
      <c r="F1446" s="655">
        <v>24929344</v>
      </c>
      <c r="G1446" s="655">
        <v>0</v>
      </c>
      <c r="H1446" s="655">
        <v>390336</v>
      </c>
      <c r="I1446" s="655">
        <v>4450539</v>
      </c>
      <c r="J1446" s="655">
        <v>2184350</v>
      </c>
      <c r="K1446" s="655">
        <v>254341</v>
      </c>
      <c r="L1446" s="655">
        <v>288695</v>
      </c>
      <c r="M1446" s="655">
        <v>1204353</v>
      </c>
      <c r="N1446" s="655">
        <v>1330441</v>
      </c>
      <c r="O1446" s="655">
        <v>0</v>
      </c>
      <c r="P1446" s="655">
        <v>249254</v>
      </c>
      <c r="Q1446" s="655">
        <v>279836</v>
      </c>
      <c r="R1446" s="655">
        <v>3869</v>
      </c>
      <c r="S1446" s="655">
        <v>141572</v>
      </c>
      <c r="T1446" s="655">
        <v>16870</v>
      </c>
      <c r="U1446" s="655">
        <v>1219157</v>
      </c>
      <c r="V1446" s="655">
        <v>0</v>
      </c>
      <c r="W1446" s="655">
        <v>378448</v>
      </c>
      <c r="X1446" s="655">
        <v>0</v>
      </c>
      <c r="Y1446" s="655">
        <v>0</v>
      </c>
      <c r="Z1446" s="655">
        <v>0</v>
      </c>
      <c r="AA1446" s="655">
        <v>0</v>
      </c>
      <c r="AB1446" s="655">
        <v>0</v>
      </c>
      <c r="AC1446" s="655">
        <v>-4272</v>
      </c>
      <c r="AD1446" s="655">
        <v>248109</v>
      </c>
      <c r="AE1446" s="655">
        <v>37069024</v>
      </c>
      <c r="AF1446" s="655">
        <v>685464</v>
      </c>
      <c r="AG1446" s="655">
        <v>1688215</v>
      </c>
      <c r="AH1446" s="655">
        <v>0</v>
      </c>
      <c r="AI1446" s="655">
        <v>0</v>
      </c>
      <c r="AJ1446" s="655">
        <v>5296543.7800000012</v>
      </c>
      <c r="AK1446" s="655">
        <v>44739246.780000001</v>
      </c>
      <c r="AL1446" s="655">
        <v>0</v>
      </c>
      <c r="AM1446" s="655">
        <v>44739246.780000001</v>
      </c>
    </row>
    <row r="1447" spans="1:39" x14ac:dyDescent="0.2">
      <c r="A1447" s="648">
        <v>2017</v>
      </c>
      <c r="B1447" s="648">
        <v>15</v>
      </c>
      <c r="C1447" s="657" t="s">
        <v>189</v>
      </c>
      <c r="D1447" s="648">
        <v>2322</v>
      </c>
      <c r="E1447" s="648" t="s">
        <v>1111</v>
      </c>
      <c r="F1447" s="655">
        <v>14587860</v>
      </c>
      <c r="G1447" s="655">
        <v>95831</v>
      </c>
      <c r="H1447" s="655">
        <v>239537</v>
      </c>
      <c r="I1447" s="655">
        <v>2008344</v>
      </c>
      <c r="J1447" s="655">
        <v>1198922</v>
      </c>
      <c r="K1447" s="655">
        <v>134347</v>
      </c>
      <c r="L1447" s="655">
        <v>149907</v>
      </c>
      <c r="M1447" s="655">
        <v>0</v>
      </c>
      <c r="N1447" s="655">
        <v>722921</v>
      </c>
      <c r="O1447" s="655">
        <v>0</v>
      </c>
      <c r="P1447" s="655">
        <v>133510</v>
      </c>
      <c r="Q1447" s="655">
        <v>146663</v>
      </c>
      <c r="R1447" s="655">
        <v>0</v>
      </c>
      <c r="S1447" s="655">
        <v>72418</v>
      </c>
      <c r="T1447" s="655">
        <v>7856</v>
      </c>
      <c r="U1447" s="655">
        <v>577920</v>
      </c>
      <c r="V1447" s="655">
        <v>0</v>
      </c>
      <c r="W1447" s="655">
        <v>359686</v>
      </c>
      <c r="X1447" s="655">
        <v>0</v>
      </c>
      <c r="Y1447" s="655">
        <v>0</v>
      </c>
      <c r="Z1447" s="655">
        <v>0</v>
      </c>
      <c r="AA1447" s="655">
        <v>0</v>
      </c>
      <c r="AB1447" s="655">
        <v>0</v>
      </c>
      <c r="AC1447" s="655">
        <v>3545</v>
      </c>
      <c r="AD1447" s="655">
        <v>145561</v>
      </c>
      <c r="AE1447" s="655">
        <v>20293706</v>
      </c>
      <c r="AF1447" s="655">
        <v>243867</v>
      </c>
      <c r="AG1447" s="655">
        <v>0</v>
      </c>
      <c r="AH1447" s="655">
        <v>0</v>
      </c>
      <c r="AI1447" s="655">
        <v>0</v>
      </c>
      <c r="AJ1447" s="655">
        <v>3034270.6999999993</v>
      </c>
      <c r="AK1447" s="655">
        <v>23571843.699999999</v>
      </c>
      <c r="AL1447" s="655">
        <v>0</v>
      </c>
      <c r="AM1447" s="655">
        <v>23571843.699999999</v>
      </c>
    </row>
    <row r="1448" spans="1:39" x14ac:dyDescent="0.2">
      <c r="A1448" s="648">
        <v>2017</v>
      </c>
      <c r="B1448" s="648">
        <v>13</v>
      </c>
      <c r="C1448" s="657" t="s">
        <v>190</v>
      </c>
      <c r="D1448" s="648">
        <v>2369</v>
      </c>
      <c r="E1448" s="648" t="s">
        <v>1112</v>
      </c>
      <c r="F1448" s="655">
        <v>3084588</v>
      </c>
      <c r="G1448" s="655">
        <v>0</v>
      </c>
      <c r="H1448" s="655">
        <v>221972</v>
      </c>
      <c r="I1448" s="655">
        <v>335021</v>
      </c>
      <c r="J1448" s="655">
        <v>266353</v>
      </c>
      <c r="K1448" s="655">
        <v>25791</v>
      </c>
      <c r="L1448" s="655">
        <v>34318</v>
      </c>
      <c r="M1448" s="655">
        <v>0</v>
      </c>
      <c r="N1448" s="655">
        <v>150326</v>
      </c>
      <c r="O1448" s="655">
        <v>0</v>
      </c>
      <c r="P1448" s="655">
        <v>25347</v>
      </c>
      <c r="Q1448" s="655">
        <v>28031</v>
      </c>
      <c r="R1448" s="655">
        <v>0</v>
      </c>
      <c r="S1448" s="655">
        <v>15435</v>
      </c>
      <c r="T1448" s="655">
        <v>1645</v>
      </c>
      <c r="U1448" s="655">
        <v>55608</v>
      </c>
      <c r="V1448" s="655">
        <v>0</v>
      </c>
      <c r="W1448" s="655">
        <v>51568</v>
      </c>
      <c r="X1448" s="655">
        <v>0</v>
      </c>
      <c r="Y1448" s="655">
        <v>0</v>
      </c>
      <c r="Z1448" s="655">
        <v>0</v>
      </c>
      <c r="AA1448" s="655">
        <v>0</v>
      </c>
      <c r="AB1448" s="655">
        <v>0</v>
      </c>
      <c r="AC1448" s="655">
        <v>-457</v>
      </c>
      <c r="AD1448" s="655">
        <v>24482</v>
      </c>
      <c r="AE1448" s="655">
        <v>4271064</v>
      </c>
      <c r="AF1448" s="655">
        <v>72501</v>
      </c>
      <c r="AG1448" s="655">
        <v>244053</v>
      </c>
      <c r="AH1448" s="655">
        <v>0</v>
      </c>
      <c r="AI1448" s="655">
        <v>0</v>
      </c>
      <c r="AJ1448" s="655">
        <v>1787034.96</v>
      </c>
      <c r="AK1448" s="655">
        <v>6374652.96</v>
      </c>
      <c r="AL1448" s="655">
        <v>0</v>
      </c>
      <c r="AM1448" s="655">
        <v>6374652.96</v>
      </c>
    </row>
    <row r="1449" spans="1:39" x14ac:dyDescent="0.2">
      <c r="A1449" s="648">
        <v>2017</v>
      </c>
      <c r="B1449" s="648">
        <v>12</v>
      </c>
      <c r="C1449" s="657" t="s">
        <v>191</v>
      </c>
      <c r="D1449" s="648">
        <v>2376</v>
      </c>
      <c r="E1449" s="648" t="s">
        <v>1113</v>
      </c>
      <c r="F1449" s="655">
        <v>2953412</v>
      </c>
      <c r="G1449" s="655">
        <v>0</v>
      </c>
      <c r="H1449" s="655">
        <v>210725</v>
      </c>
      <c r="I1449" s="655">
        <v>217003</v>
      </c>
      <c r="J1449" s="655">
        <v>274669</v>
      </c>
      <c r="K1449" s="655">
        <v>28499</v>
      </c>
      <c r="L1449" s="655">
        <v>29721</v>
      </c>
      <c r="M1449" s="655">
        <v>0</v>
      </c>
      <c r="N1449" s="655">
        <v>141869</v>
      </c>
      <c r="O1449" s="655">
        <v>977</v>
      </c>
      <c r="P1449" s="655">
        <v>24557</v>
      </c>
      <c r="Q1449" s="655">
        <v>27561</v>
      </c>
      <c r="R1449" s="655">
        <v>0</v>
      </c>
      <c r="S1449" s="655">
        <v>14253</v>
      </c>
      <c r="T1449" s="655">
        <v>1704</v>
      </c>
      <c r="U1449" s="655">
        <v>72219</v>
      </c>
      <c r="V1449" s="655">
        <v>0</v>
      </c>
      <c r="W1449" s="655">
        <v>58014</v>
      </c>
      <c r="X1449" s="655">
        <v>0</v>
      </c>
      <c r="Y1449" s="655">
        <v>0</v>
      </c>
      <c r="Z1449" s="655">
        <v>0</v>
      </c>
      <c r="AA1449" s="655">
        <v>0</v>
      </c>
      <c r="AB1449" s="655">
        <v>0</v>
      </c>
      <c r="AC1449" s="655">
        <v>0</v>
      </c>
      <c r="AD1449" s="655">
        <v>30145</v>
      </c>
      <c r="AE1449" s="655">
        <v>4025038</v>
      </c>
      <c r="AF1449" s="655">
        <v>72501</v>
      </c>
      <c r="AG1449" s="655">
        <v>249475</v>
      </c>
      <c r="AH1449" s="655">
        <v>0</v>
      </c>
      <c r="AI1449" s="655">
        <v>0</v>
      </c>
      <c r="AJ1449" s="655">
        <v>1067908.29</v>
      </c>
      <c r="AK1449" s="655">
        <v>5414922.29</v>
      </c>
      <c r="AL1449" s="655">
        <v>0</v>
      </c>
      <c r="AM1449" s="655">
        <v>5414922.29</v>
      </c>
    </row>
    <row r="1450" spans="1:39" x14ac:dyDescent="0.2">
      <c r="A1450" s="648">
        <v>2017</v>
      </c>
      <c r="B1450" s="648">
        <v>7</v>
      </c>
      <c r="C1450" s="657" t="s">
        <v>192</v>
      </c>
      <c r="D1450" s="648">
        <v>2403</v>
      </c>
      <c r="E1450" s="648" t="s">
        <v>1747</v>
      </c>
      <c r="F1450" s="655">
        <v>5960171</v>
      </c>
      <c r="G1450" s="655">
        <v>280746</v>
      </c>
      <c r="H1450" s="655">
        <v>75042</v>
      </c>
      <c r="I1450" s="655">
        <v>558692</v>
      </c>
      <c r="J1450" s="655">
        <v>564216</v>
      </c>
      <c r="K1450" s="655">
        <v>62574</v>
      </c>
      <c r="L1450" s="655">
        <v>64722</v>
      </c>
      <c r="M1450" s="655">
        <v>0</v>
      </c>
      <c r="N1450" s="655">
        <v>288670</v>
      </c>
      <c r="O1450" s="655">
        <v>47480</v>
      </c>
      <c r="P1450" s="655">
        <v>49024</v>
      </c>
      <c r="Q1450" s="655">
        <v>54746</v>
      </c>
      <c r="R1450" s="655">
        <v>0</v>
      </c>
      <c r="S1450" s="655">
        <v>38394</v>
      </c>
      <c r="T1450" s="655">
        <v>4406</v>
      </c>
      <c r="U1450" s="655">
        <v>166310</v>
      </c>
      <c r="V1450" s="655">
        <v>0</v>
      </c>
      <c r="W1450" s="655">
        <v>33685</v>
      </c>
      <c r="X1450" s="655">
        <v>0</v>
      </c>
      <c r="Y1450" s="655">
        <v>0</v>
      </c>
      <c r="Z1450" s="655">
        <v>0</v>
      </c>
      <c r="AA1450" s="655">
        <v>0</v>
      </c>
      <c r="AB1450" s="655">
        <v>0</v>
      </c>
      <c r="AC1450" s="655">
        <v>0</v>
      </c>
      <c r="AD1450" s="655">
        <v>58003</v>
      </c>
      <c r="AE1450" s="655">
        <v>8190875</v>
      </c>
      <c r="AF1450" s="655">
        <v>168071</v>
      </c>
      <c r="AG1450" s="655">
        <v>533599</v>
      </c>
      <c r="AH1450" s="655">
        <v>0</v>
      </c>
      <c r="AI1450" s="655">
        <v>0</v>
      </c>
      <c r="AJ1450" s="655">
        <v>2702893.8900000006</v>
      </c>
      <c r="AK1450" s="655">
        <v>11595438.890000001</v>
      </c>
      <c r="AL1450" s="655">
        <v>0</v>
      </c>
      <c r="AM1450" s="655">
        <v>11595438.890000001</v>
      </c>
    </row>
    <row r="1451" spans="1:39" x14ac:dyDescent="0.2">
      <c r="A1451" s="648">
        <v>2017</v>
      </c>
      <c r="B1451" s="648">
        <v>12</v>
      </c>
      <c r="C1451" s="657" t="s">
        <v>193</v>
      </c>
      <c r="D1451" s="648">
        <v>2457</v>
      </c>
      <c r="E1451" s="648" t="s">
        <v>1002</v>
      </c>
      <c r="F1451" s="655">
        <v>3051633</v>
      </c>
      <c r="G1451" s="655">
        <v>0</v>
      </c>
      <c r="H1451" s="655">
        <v>43936</v>
      </c>
      <c r="I1451" s="655">
        <v>317357</v>
      </c>
      <c r="J1451" s="655">
        <v>274328</v>
      </c>
      <c r="K1451" s="655">
        <v>30489</v>
      </c>
      <c r="L1451" s="655">
        <v>31002</v>
      </c>
      <c r="M1451" s="655">
        <v>0</v>
      </c>
      <c r="N1451" s="655">
        <v>151464</v>
      </c>
      <c r="O1451" s="655">
        <v>0</v>
      </c>
      <c r="P1451" s="655">
        <v>25153</v>
      </c>
      <c r="Q1451" s="655">
        <v>28230</v>
      </c>
      <c r="R1451" s="655">
        <v>0</v>
      </c>
      <c r="S1451" s="655">
        <v>15217</v>
      </c>
      <c r="T1451" s="655">
        <v>1820</v>
      </c>
      <c r="U1451" s="655">
        <v>149225</v>
      </c>
      <c r="V1451" s="655">
        <v>0</v>
      </c>
      <c r="W1451" s="655">
        <v>85248</v>
      </c>
      <c r="X1451" s="655">
        <v>0</v>
      </c>
      <c r="Y1451" s="655">
        <v>0</v>
      </c>
      <c r="Z1451" s="655">
        <v>0</v>
      </c>
      <c r="AA1451" s="655">
        <v>0</v>
      </c>
      <c r="AB1451" s="655">
        <v>0</v>
      </c>
      <c r="AC1451" s="655">
        <v>6366</v>
      </c>
      <c r="AD1451" s="655">
        <v>28029</v>
      </c>
      <c r="AE1451" s="655">
        <v>4183439</v>
      </c>
      <c r="AF1451" s="655">
        <v>79092</v>
      </c>
      <c r="AG1451" s="655">
        <v>255940</v>
      </c>
      <c r="AH1451" s="655">
        <v>0</v>
      </c>
      <c r="AI1451" s="655">
        <v>0</v>
      </c>
      <c r="AJ1451" s="655">
        <v>870601.37000000011</v>
      </c>
      <c r="AK1451" s="655">
        <v>5389072.3700000001</v>
      </c>
      <c r="AL1451" s="655">
        <v>0</v>
      </c>
      <c r="AM1451" s="655">
        <v>5389072.3700000001</v>
      </c>
    </row>
    <row r="1452" spans="1:39" x14ac:dyDescent="0.2">
      <c r="A1452" s="648">
        <v>2017</v>
      </c>
      <c r="B1452" s="648">
        <v>11</v>
      </c>
      <c r="C1452" s="657" t="s">
        <v>194</v>
      </c>
      <c r="D1452" s="648">
        <v>2466</v>
      </c>
      <c r="E1452" s="648" t="s">
        <v>1114</v>
      </c>
      <c r="F1452" s="655">
        <v>9168081</v>
      </c>
      <c r="G1452" s="655">
        <v>0</v>
      </c>
      <c r="H1452" s="655">
        <v>80344</v>
      </c>
      <c r="I1452" s="655">
        <v>563135</v>
      </c>
      <c r="J1452" s="655">
        <v>747176</v>
      </c>
      <c r="K1452" s="655">
        <v>82792</v>
      </c>
      <c r="L1452" s="655">
        <v>71650</v>
      </c>
      <c r="M1452" s="655">
        <v>444731</v>
      </c>
      <c r="N1452" s="655">
        <v>415884</v>
      </c>
      <c r="O1452" s="655">
        <v>0</v>
      </c>
      <c r="P1452" s="655">
        <v>76880</v>
      </c>
      <c r="Q1452" s="655">
        <v>84397</v>
      </c>
      <c r="R1452" s="655">
        <v>0</v>
      </c>
      <c r="S1452" s="655">
        <v>34268</v>
      </c>
      <c r="T1452" s="655">
        <v>4355</v>
      </c>
      <c r="U1452" s="655">
        <v>182665</v>
      </c>
      <c r="V1452" s="655">
        <v>0</v>
      </c>
      <c r="W1452" s="655">
        <v>291160</v>
      </c>
      <c r="X1452" s="655">
        <v>0</v>
      </c>
      <c r="Y1452" s="655">
        <v>0</v>
      </c>
      <c r="Z1452" s="655">
        <v>0</v>
      </c>
      <c r="AA1452" s="655">
        <v>0</v>
      </c>
      <c r="AB1452" s="655">
        <v>0</v>
      </c>
      <c r="AC1452" s="655">
        <v>-3868</v>
      </c>
      <c r="AD1452" s="655">
        <v>45475</v>
      </c>
      <c r="AE1452" s="655">
        <v>12198175</v>
      </c>
      <c r="AF1452" s="655">
        <v>201026</v>
      </c>
      <c r="AG1452" s="655">
        <v>697508</v>
      </c>
      <c r="AH1452" s="655">
        <v>0</v>
      </c>
      <c r="AI1452" s="655">
        <v>0</v>
      </c>
      <c r="AJ1452" s="655">
        <v>2116548.7200000007</v>
      </c>
      <c r="AK1452" s="655">
        <v>15213257.720000001</v>
      </c>
      <c r="AL1452" s="655">
        <v>0</v>
      </c>
      <c r="AM1452" s="655">
        <v>15213257.720000001</v>
      </c>
    </row>
    <row r="1453" spans="1:39" x14ac:dyDescent="0.2">
      <c r="A1453" s="648">
        <v>2017</v>
      </c>
      <c r="B1453" s="648">
        <v>5</v>
      </c>
      <c r="C1453" s="657" t="s">
        <v>195</v>
      </c>
      <c r="D1453" s="648">
        <v>2493</v>
      </c>
      <c r="E1453" s="648" t="s">
        <v>1115</v>
      </c>
      <c r="F1453" s="655">
        <v>736622</v>
      </c>
      <c r="G1453" s="655">
        <v>0</v>
      </c>
      <c r="H1453" s="655">
        <v>137282</v>
      </c>
      <c r="I1453" s="655">
        <v>98329</v>
      </c>
      <c r="J1453" s="655">
        <v>70029</v>
      </c>
      <c r="K1453" s="655">
        <v>8275</v>
      </c>
      <c r="L1453" s="655">
        <v>5608</v>
      </c>
      <c r="M1453" s="655">
        <v>0</v>
      </c>
      <c r="N1453" s="655">
        <v>37027</v>
      </c>
      <c r="O1453" s="655">
        <v>21032</v>
      </c>
      <c r="P1453" s="655">
        <v>6459</v>
      </c>
      <c r="Q1453" s="655">
        <v>7252</v>
      </c>
      <c r="R1453" s="655">
        <v>108</v>
      </c>
      <c r="S1453" s="655">
        <v>3940</v>
      </c>
      <c r="T1453" s="655">
        <v>469</v>
      </c>
      <c r="U1453" s="655">
        <v>18020</v>
      </c>
      <c r="V1453" s="655">
        <v>0</v>
      </c>
      <c r="W1453" s="655">
        <v>60822</v>
      </c>
      <c r="X1453" s="655">
        <v>0</v>
      </c>
      <c r="Y1453" s="655">
        <v>0</v>
      </c>
      <c r="Z1453" s="655">
        <v>0</v>
      </c>
      <c r="AA1453" s="655">
        <v>0</v>
      </c>
      <c r="AB1453" s="655">
        <v>0</v>
      </c>
      <c r="AC1453" s="655">
        <v>0</v>
      </c>
      <c r="AD1453" s="655">
        <v>12622</v>
      </c>
      <c r="AE1453" s="655">
        <v>1198652</v>
      </c>
      <c r="AF1453" s="655">
        <v>19773</v>
      </c>
      <c r="AG1453" s="655">
        <v>66996</v>
      </c>
      <c r="AH1453" s="655">
        <v>0</v>
      </c>
      <c r="AI1453" s="655">
        <v>0</v>
      </c>
      <c r="AJ1453" s="655">
        <v>1075485</v>
      </c>
      <c r="AK1453" s="655">
        <v>2360906</v>
      </c>
      <c r="AL1453" s="655">
        <v>0</v>
      </c>
      <c r="AM1453" s="655">
        <v>2360906</v>
      </c>
    </row>
    <row r="1454" spans="1:39" x14ac:dyDescent="0.2">
      <c r="A1454" s="648">
        <v>2017</v>
      </c>
      <c r="B1454" s="648">
        <v>7</v>
      </c>
      <c r="C1454" s="657" t="s">
        <v>196</v>
      </c>
      <c r="D1454" s="648">
        <v>2502</v>
      </c>
      <c r="E1454" s="648" t="s">
        <v>1116</v>
      </c>
      <c r="F1454" s="655">
        <v>3928286</v>
      </c>
      <c r="G1454" s="655">
        <v>0</v>
      </c>
      <c r="H1454" s="655">
        <v>178690</v>
      </c>
      <c r="I1454" s="655">
        <v>518151</v>
      </c>
      <c r="J1454" s="655">
        <v>362611</v>
      </c>
      <c r="K1454" s="655">
        <v>37293</v>
      </c>
      <c r="L1454" s="655">
        <v>31645</v>
      </c>
      <c r="M1454" s="655">
        <v>0</v>
      </c>
      <c r="N1454" s="655">
        <v>194750</v>
      </c>
      <c r="O1454" s="655">
        <v>13865</v>
      </c>
      <c r="P1454" s="655">
        <v>31996</v>
      </c>
      <c r="Q1454" s="655">
        <v>35730</v>
      </c>
      <c r="R1454" s="655">
        <v>0</v>
      </c>
      <c r="S1454" s="655">
        <v>24694</v>
      </c>
      <c r="T1454" s="655">
        <v>2838</v>
      </c>
      <c r="U1454" s="655">
        <v>98417</v>
      </c>
      <c r="V1454" s="655">
        <v>0</v>
      </c>
      <c r="W1454" s="655">
        <v>172108</v>
      </c>
      <c r="X1454" s="655">
        <v>0</v>
      </c>
      <c r="Y1454" s="655">
        <v>0</v>
      </c>
      <c r="Z1454" s="655">
        <v>0</v>
      </c>
      <c r="AA1454" s="655">
        <v>0</v>
      </c>
      <c r="AB1454" s="655">
        <v>0</v>
      </c>
      <c r="AC1454" s="655">
        <v>0</v>
      </c>
      <c r="AD1454" s="655">
        <v>44583</v>
      </c>
      <c r="AE1454" s="655">
        <v>5586491</v>
      </c>
      <c r="AF1454" s="655">
        <v>0</v>
      </c>
      <c r="AG1454" s="655">
        <v>327069</v>
      </c>
      <c r="AH1454" s="655">
        <v>0</v>
      </c>
      <c r="AI1454" s="655">
        <v>0</v>
      </c>
      <c r="AJ1454" s="655">
        <v>1624748</v>
      </c>
      <c r="AK1454" s="655">
        <v>7538308</v>
      </c>
      <c r="AL1454" s="655">
        <v>0</v>
      </c>
      <c r="AM1454" s="655">
        <v>7538308</v>
      </c>
    </row>
    <row r="1455" spans="1:39" x14ac:dyDescent="0.2">
      <c r="A1455" s="648">
        <v>2017</v>
      </c>
      <c r="B1455" s="648">
        <v>13</v>
      </c>
      <c r="C1455" s="657" t="s">
        <v>197</v>
      </c>
      <c r="D1455" s="648">
        <v>2511</v>
      </c>
      <c r="E1455" s="648" t="s">
        <v>1117</v>
      </c>
      <c r="F1455" s="655">
        <v>13175409</v>
      </c>
      <c r="G1455" s="655">
        <v>0</v>
      </c>
      <c r="H1455" s="655">
        <v>121505</v>
      </c>
      <c r="I1455" s="655">
        <v>1379958</v>
      </c>
      <c r="J1455" s="655">
        <v>1086696</v>
      </c>
      <c r="K1455" s="655">
        <v>117481</v>
      </c>
      <c r="L1455" s="655">
        <v>134533</v>
      </c>
      <c r="M1455" s="655">
        <v>639120</v>
      </c>
      <c r="N1455" s="655">
        <v>639853</v>
      </c>
      <c r="O1455" s="655">
        <v>0</v>
      </c>
      <c r="P1455" s="655">
        <v>109046</v>
      </c>
      <c r="Q1455" s="655">
        <v>120592</v>
      </c>
      <c r="R1455" s="655">
        <v>0</v>
      </c>
      <c r="S1455" s="655">
        <v>65699</v>
      </c>
      <c r="T1455" s="655">
        <v>7001</v>
      </c>
      <c r="U1455" s="655">
        <v>290864</v>
      </c>
      <c r="V1455" s="655">
        <v>0</v>
      </c>
      <c r="W1455" s="655">
        <v>161150</v>
      </c>
      <c r="X1455" s="655">
        <v>0</v>
      </c>
      <c r="Y1455" s="655">
        <v>0</v>
      </c>
      <c r="Z1455" s="655">
        <v>0</v>
      </c>
      <c r="AA1455" s="655">
        <v>0</v>
      </c>
      <c r="AB1455" s="655">
        <v>0</v>
      </c>
      <c r="AC1455" s="655">
        <v>0</v>
      </c>
      <c r="AD1455" s="655">
        <v>103960</v>
      </c>
      <c r="AE1455" s="655">
        <v>17944947</v>
      </c>
      <c r="AF1455" s="655">
        <v>197730</v>
      </c>
      <c r="AG1455" s="655">
        <v>836691</v>
      </c>
      <c r="AH1455" s="655">
        <v>0</v>
      </c>
      <c r="AI1455" s="655">
        <v>0</v>
      </c>
      <c r="AJ1455" s="655">
        <v>6948709.129999999</v>
      </c>
      <c r="AK1455" s="655">
        <v>25928077.129999999</v>
      </c>
      <c r="AL1455" s="655">
        <v>0</v>
      </c>
      <c r="AM1455" s="655">
        <v>25928077.129999999</v>
      </c>
    </row>
    <row r="1456" spans="1:39" x14ac:dyDescent="0.2">
      <c r="A1456" s="648">
        <v>2017</v>
      </c>
      <c r="B1456" s="648">
        <v>11</v>
      </c>
      <c r="C1456" s="657" t="s">
        <v>198</v>
      </c>
      <c r="D1456" s="648">
        <v>2520</v>
      </c>
      <c r="E1456" s="648" t="s">
        <v>1118</v>
      </c>
      <c r="F1456" s="655">
        <v>1780380</v>
      </c>
      <c r="G1456" s="655">
        <v>17343</v>
      </c>
      <c r="H1456" s="655">
        <v>164263</v>
      </c>
      <c r="I1456" s="655">
        <v>175598</v>
      </c>
      <c r="J1456" s="655">
        <v>167678</v>
      </c>
      <c r="K1456" s="655">
        <v>17694</v>
      </c>
      <c r="L1456" s="655">
        <v>18071</v>
      </c>
      <c r="M1456" s="655">
        <v>0</v>
      </c>
      <c r="N1456" s="655">
        <v>83555</v>
      </c>
      <c r="O1456" s="655">
        <v>14475</v>
      </c>
      <c r="P1456" s="655">
        <v>15279</v>
      </c>
      <c r="Q1456" s="655">
        <v>16773</v>
      </c>
      <c r="R1456" s="655">
        <v>0</v>
      </c>
      <c r="S1456" s="655">
        <v>6892</v>
      </c>
      <c r="T1456" s="655">
        <v>877</v>
      </c>
      <c r="U1456" s="655">
        <v>35880</v>
      </c>
      <c r="V1456" s="655">
        <v>0</v>
      </c>
      <c r="W1456" s="655">
        <v>32230</v>
      </c>
      <c r="X1456" s="655">
        <v>0</v>
      </c>
      <c r="Y1456" s="655">
        <v>0</v>
      </c>
      <c r="Z1456" s="655">
        <v>0</v>
      </c>
      <c r="AA1456" s="655">
        <v>0</v>
      </c>
      <c r="AB1456" s="655">
        <v>0</v>
      </c>
      <c r="AC1456" s="655">
        <v>0</v>
      </c>
      <c r="AD1456" s="655">
        <v>20326</v>
      </c>
      <c r="AE1456" s="655">
        <v>2526662</v>
      </c>
      <c r="AF1456" s="655">
        <v>75797</v>
      </c>
      <c r="AG1456" s="655">
        <v>152608</v>
      </c>
      <c r="AH1456" s="655">
        <v>0</v>
      </c>
      <c r="AI1456" s="655">
        <v>0</v>
      </c>
      <c r="AJ1456" s="655">
        <v>2920660.3900000006</v>
      </c>
      <c r="AK1456" s="655">
        <v>5675727.3900000006</v>
      </c>
      <c r="AL1456" s="655">
        <v>0</v>
      </c>
      <c r="AM1456" s="655">
        <v>5675727.3900000006</v>
      </c>
    </row>
    <row r="1457" spans="1:39" x14ac:dyDescent="0.2">
      <c r="A1457" s="648">
        <v>2017</v>
      </c>
      <c r="B1457" s="648">
        <v>5</v>
      </c>
      <c r="C1457" s="657" t="s">
        <v>199</v>
      </c>
      <c r="D1457" s="648">
        <v>2556</v>
      </c>
      <c r="E1457" s="648" t="s">
        <v>630</v>
      </c>
      <c r="F1457" s="655">
        <v>2345130</v>
      </c>
      <c r="G1457" s="655">
        <v>43243</v>
      </c>
      <c r="H1457" s="655">
        <v>175759</v>
      </c>
      <c r="I1457" s="655">
        <v>264702</v>
      </c>
      <c r="J1457" s="655">
        <v>216255</v>
      </c>
      <c r="K1457" s="655">
        <v>20313</v>
      </c>
      <c r="L1457" s="655">
        <v>25027</v>
      </c>
      <c r="M1457" s="655">
        <v>0</v>
      </c>
      <c r="N1457" s="655">
        <v>118399</v>
      </c>
      <c r="O1457" s="655">
        <v>4714</v>
      </c>
      <c r="P1457" s="655">
        <v>20029</v>
      </c>
      <c r="Q1457" s="655">
        <v>22487</v>
      </c>
      <c r="R1457" s="655">
        <v>345</v>
      </c>
      <c r="S1457" s="655">
        <v>12621</v>
      </c>
      <c r="T1457" s="655">
        <v>1503</v>
      </c>
      <c r="U1457" s="655">
        <v>40982</v>
      </c>
      <c r="V1457" s="655">
        <v>0</v>
      </c>
      <c r="W1457" s="655">
        <v>138726</v>
      </c>
      <c r="X1457" s="655">
        <v>0</v>
      </c>
      <c r="Y1457" s="655">
        <v>0</v>
      </c>
      <c r="Z1457" s="655">
        <v>0</v>
      </c>
      <c r="AA1457" s="655">
        <v>0</v>
      </c>
      <c r="AB1457" s="655">
        <v>0</v>
      </c>
      <c r="AC1457" s="655">
        <v>0</v>
      </c>
      <c r="AD1457" s="655">
        <v>27321</v>
      </c>
      <c r="AE1457" s="655">
        <v>3422914</v>
      </c>
      <c r="AF1457" s="655">
        <v>95570</v>
      </c>
      <c r="AG1457" s="655">
        <v>208720</v>
      </c>
      <c r="AH1457" s="655">
        <v>0</v>
      </c>
      <c r="AI1457" s="655">
        <v>0</v>
      </c>
      <c r="AJ1457" s="655">
        <v>1616393.5499999998</v>
      </c>
      <c r="AK1457" s="655">
        <v>5343597.55</v>
      </c>
      <c r="AL1457" s="655">
        <v>0</v>
      </c>
      <c r="AM1457" s="655">
        <v>5343597.55</v>
      </c>
    </row>
    <row r="1458" spans="1:39" x14ac:dyDescent="0.2">
      <c r="A1458" s="648">
        <v>2017</v>
      </c>
      <c r="B1458" s="648">
        <v>13</v>
      </c>
      <c r="C1458" s="657" t="s">
        <v>200</v>
      </c>
      <c r="D1458" s="648">
        <v>2673</v>
      </c>
      <c r="E1458" s="648" t="s">
        <v>2009</v>
      </c>
      <c r="F1458" s="655">
        <v>4376468</v>
      </c>
      <c r="G1458" s="655">
        <v>1411</v>
      </c>
      <c r="H1458" s="655">
        <v>191788</v>
      </c>
      <c r="I1458" s="655">
        <v>464424</v>
      </c>
      <c r="J1458" s="655">
        <v>400366</v>
      </c>
      <c r="K1458" s="655">
        <v>45864</v>
      </c>
      <c r="L1458" s="655">
        <v>45019</v>
      </c>
      <c r="M1458" s="655">
        <v>211111</v>
      </c>
      <c r="N1458" s="655">
        <v>211617</v>
      </c>
      <c r="O1458" s="655">
        <v>462</v>
      </c>
      <c r="P1458" s="655">
        <v>35917</v>
      </c>
      <c r="Q1458" s="655">
        <v>39720</v>
      </c>
      <c r="R1458" s="655">
        <v>0</v>
      </c>
      <c r="S1458" s="655">
        <v>21729</v>
      </c>
      <c r="T1458" s="655">
        <v>2315</v>
      </c>
      <c r="U1458" s="655">
        <v>72259</v>
      </c>
      <c r="V1458" s="655">
        <v>0</v>
      </c>
      <c r="W1458" s="655">
        <v>71489</v>
      </c>
      <c r="X1458" s="655">
        <v>0</v>
      </c>
      <c r="Y1458" s="655">
        <v>0</v>
      </c>
      <c r="Z1458" s="655">
        <v>0</v>
      </c>
      <c r="AA1458" s="655">
        <v>0</v>
      </c>
      <c r="AB1458" s="655">
        <v>0</v>
      </c>
      <c r="AC1458" s="655">
        <v>0</v>
      </c>
      <c r="AD1458" s="655">
        <v>46167</v>
      </c>
      <c r="AE1458" s="655">
        <v>6145792</v>
      </c>
      <c r="AF1458" s="655">
        <v>108752</v>
      </c>
      <c r="AG1458" s="655">
        <v>344014</v>
      </c>
      <c r="AH1458" s="655">
        <v>0</v>
      </c>
      <c r="AI1458" s="655">
        <v>0</v>
      </c>
      <c r="AJ1458" s="655">
        <v>515285.04999999981</v>
      </c>
      <c r="AK1458" s="655">
        <v>7113843.0499999998</v>
      </c>
      <c r="AL1458" s="655">
        <v>0</v>
      </c>
      <c r="AM1458" s="655">
        <v>7113843.0499999998</v>
      </c>
    </row>
    <row r="1459" spans="1:39" x14ac:dyDescent="0.2">
      <c r="A1459" s="648">
        <v>2017</v>
      </c>
      <c r="B1459" s="648">
        <v>7</v>
      </c>
      <c r="C1459" s="657" t="s">
        <v>201</v>
      </c>
      <c r="D1459" s="648">
        <v>2682</v>
      </c>
      <c r="E1459" s="648" t="s">
        <v>1119</v>
      </c>
      <c r="F1459" s="655">
        <v>1972027</v>
      </c>
      <c r="G1459" s="655">
        <v>10408</v>
      </c>
      <c r="H1459" s="655">
        <v>143473</v>
      </c>
      <c r="I1459" s="655">
        <v>221128</v>
      </c>
      <c r="J1459" s="655">
        <v>199246</v>
      </c>
      <c r="K1459" s="655">
        <v>23586</v>
      </c>
      <c r="L1459" s="655">
        <v>23646</v>
      </c>
      <c r="M1459" s="655">
        <v>0</v>
      </c>
      <c r="N1459" s="655">
        <v>97516</v>
      </c>
      <c r="O1459" s="655">
        <v>7859</v>
      </c>
      <c r="P1459" s="655">
        <v>16269</v>
      </c>
      <c r="Q1459" s="655">
        <v>18168</v>
      </c>
      <c r="R1459" s="655">
        <v>0</v>
      </c>
      <c r="S1459" s="655">
        <v>12365</v>
      </c>
      <c r="T1459" s="655">
        <v>1421</v>
      </c>
      <c r="U1459" s="655">
        <v>96432</v>
      </c>
      <c r="V1459" s="655">
        <v>0</v>
      </c>
      <c r="W1459" s="655">
        <v>32230</v>
      </c>
      <c r="X1459" s="655">
        <v>0</v>
      </c>
      <c r="Y1459" s="655">
        <v>0</v>
      </c>
      <c r="Z1459" s="655">
        <v>0</v>
      </c>
      <c r="AA1459" s="655">
        <v>0</v>
      </c>
      <c r="AB1459" s="655">
        <v>0</v>
      </c>
      <c r="AC1459" s="655">
        <v>0</v>
      </c>
      <c r="AD1459" s="655">
        <v>20287</v>
      </c>
      <c r="AE1459" s="655">
        <v>2855487</v>
      </c>
      <c r="AF1459" s="655">
        <v>85683</v>
      </c>
      <c r="AG1459" s="655">
        <v>165058</v>
      </c>
      <c r="AH1459" s="655">
        <v>0</v>
      </c>
      <c r="AI1459" s="655">
        <v>0</v>
      </c>
      <c r="AJ1459" s="655">
        <v>2261729.9700000007</v>
      </c>
      <c r="AK1459" s="655">
        <v>5367957.9700000007</v>
      </c>
      <c r="AL1459" s="655">
        <v>0</v>
      </c>
      <c r="AM1459" s="655">
        <v>5367957.9700000007</v>
      </c>
    </row>
    <row r="1460" spans="1:39" x14ac:dyDescent="0.2">
      <c r="A1460" s="648">
        <v>2017</v>
      </c>
      <c r="B1460" s="648">
        <v>7</v>
      </c>
      <c r="C1460" s="657" t="s">
        <v>202</v>
      </c>
      <c r="D1460" s="648">
        <v>2709</v>
      </c>
      <c r="E1460" s="648" t="s">
        <v>1120</v>
      </c>
      <c r="F1460" s="655">
        <v>10600919</v>
      </c>
      <c r="G1460" s="655">
        <v>0</v>
      </c>
      <c r="H1460" s="655">
        <v>119283</v>
      </c>
      <c r="I1460" s="655">
        <v>1546155</v>
      </c>
      <c r="J1460" s="655">
        <v>895516</v>
      </c>
      <c r="K1460" s="655">
        <v>97899</v>
      </c>
      <c r="L1460" s="655">
        <v>108974</v>
      </c>
      <c r="M1460" s="655">
        <v>0</v>
      </c>
      <c r="N1460" s="655">
        <v>538225</v>
      </c>
      <c r="O1460" s="655">
        <v>0</v>
      </c>
      <c r="P1460" s="655">
        <v>89642</v>
      </c>
      <c r="Q1460" s="655">
        <v>100106</v>
      </c>
      <c r="R1460" s="655">
        <v>0</v>
      </c>
      <c r="S1460" s="655">
        <v>68247</v>
      </c>
      <c r="T1460" s="655">
        <v>7842</v>
      </c>
      <c r="U1460" s="655">
        <v>475190</v>
      </c>
      <c r="V1460" s="655">
        <v>0</v>
      </c>
      <c r="W1460" s="655">
        <v>111732</v>
      </c>
      <c r="X1460" s="655">
        <v>0</v>
      </c>
      <c r="Y1460" s="655">
        <v>0</v>
      </c>
      <c r="Z1460" s="655">
        <v>0</v>
      </c>
      <c r="AA1460" s="655">
        <v>0</v>
      </c>
      <c r="AB1460" s="655">
        <v>0</v>
      </c>
      <c r="AC1460" s="655">
        <v>0</v>
      </c>
      <c r="AD1460" s="655">
        <v>95668</v>
      </c>
      <c r="AE1460" s="655">
        <v>14664062</v>
      </c>
      <c r="AF1460" s="655">
        <v>303186</v>
      </c>
      <c r="AG1460" s="655">
        <v>808850</v>
      </c>
      <c r="AH1460" s="655">
        <v>0</v>
      </c>
      <c r="AI1460" s="655">
        <v>0</v>
      </c>
      <c r="AJ1460" s="655">
        <v>5481731.9699999988</v>
      </c>
      <c r="AK1460" s="655">
        <v>21257829.969999999</v>
      </c>
      <c r="AL1460" s="655">
        <v>0</v>
      </c>
      <c r="AM1460" s="655">
        <v>21257829.969999999</v>
      </c>
    </row>
    <row r="1461" spans="1:39" x14ac:dyDescent="0.2">
      <c r="A1461" s="648">
        <v>2017</v>
      </c>
      <c r="B1461" s="648">
        <v>13</v>
      </c>
      <c r="C1461" s="657" t="s">
        <v>203</v>
      </c>
      <c r="D1461" s="648">
        <v>2718</v>
      </c>
      <c r="E1461" s="648" t="s">
        <v>1121</v>
      </c>
      <c r="F1461" s="655">
        <v>3520358</v>
      </c>
      <c r="G1461" s="655">
        <v>73487</v>
      </c>
      <c r="H1461" s="655">
        <v>115595</v>
      </c>
      <c r="I1461" s="655">
        <v>420925</v>
      </c>
      <c r="J1461" s="655">
        <v>297427</v>
      </c>
      <c r="K1461" s="655">
        <v>30823</v>
      </c>
      <c r="L1461" s="655">
        <v>31003</v>
      </c>
      <c r="M1461" s="655">
        <v>0</v>
      </c>
      <c r="N1461" s="655">
        <v>171567</v>
      </c>
      <c r="O1461" s="655">
        <v>10580</v>
      </c>
      <c r="P1461" s="655">
        <v>28529</v>
      </c>
      <c r="Q1461" s="655">
        <v>31550</v>
      </c>
      <c r="R1461" s="655">
        <v>0</v>
      </c>
      <c r="S1461" s="655">
        <v>17728</v>
      </c>
      <c r="T1461" s="655">
        <v>1882</v>
      </c>
      <c r="U1461" s="655">
        <v>151840</v>
      </c>
      <c r="V1461" s="655">
        <v>0</v>
      </c>
      <c r="W1461" s="655">
        <v>70906</v>
      </c>
      <c r="X1461" s="655">
        <v>0</v>
      </c>
      <c r="Y1461" s="655">
        <v>0</v>
      </c>
      <c r="Z1461" s="655">
        <v>0</v>
      </c>
      <c r="AA1461" s="655">
        <v>0</v>
      </c>
      <c r="AB1461" s="655">
        <v>0</v>
      </c>
      <c r="AC1461" s="655">
        <v>0</v>
      </c>
      <c r="AD1461" s="655">
        <v>36254</v>
      </c>
      <c r="AE1461" s="655">
        <v>4937946</v>
      </c>
      <c r="AF1461" s="655">
        <v>62615</v>
      </c>
      <c r="AG1461" s="655">
        <v>301560</v>
      </c>
      <c r="AH1461" s="655">
        <v>0</v>
      </c>
      <c r="AI1461" s="655">
        <v>0</v>
      </c>
      <c r="AJ1461" s="655">
        <v>884270.99000000022</v>
      </c>
      <c r="AK1461" s="655">
        <v>6186391.9900000002</v>
      </c>
      <c r="AL1461" s="655">
        <v>0</v>
      </c>
      <c r="AM1461" s="655">
        <v>6186391.9900000002</v>
      </c>
    </row>
    <row r="1462" spans="1:39" x14ac:dyDescent="0.2">
      <c r="A1462" s="648">
        <v>2017</v>
      </c>
      <c r="B1462" s="648">
        <v>7</v>
      </c>
      <c r="C1462" s="657" t="s">
        <v>204</v>
      </c>
      <c r="D1462" s="648">
        <v>2727</v>
      </c>
      <c r="E1462" s="648" t="s">
        <v>1122</v>
      </c>
      <c r="F1462" s="655">
        <v>4181990</v>
      </c>
      <c r="G1462" s="655">
        <v>0</v>
      </c>
      <c r="H1462" s="655">
        <v>175868</v>
      </c>
      <c r="I1462" s="655">
        <v>600111</v>
      </c>
      <c r="J1462" s="655">
        <v>393815</v>
      </c>
      <c r="K1462" s="655">
        <v>42080</v>
      </c>
      <c r="L1462" s="655">
        <v>37778</v>
      </c>
      <c r="M1462" s="655">
        <v>0</v>
      </c>
      <c r="N1462" s="655">
        <v>212630</v>
      </c>
      <c r="O1462" s="655">
        <v>0</v>
      </c>
      <c r="P1462" s="655">
        <v>34816</v>
      </c>
      <c r="Q1462" s="655">
        <v>38880</v>
      </c>
      <c r="R1462" s="655">
        <v>0</v>
      </c>
      <c r="S1462" s="655">
        <v>26961</v>
      </c>
      <c r="T1462" s="655">
        <v>3098</v>
      </c>
      <c r="U1462" s="655">
        <v>141265</v>
      </c>
      <c r="V1462" s="655">
        <v>0</v>
      </c>
      <c r="W1462" s="655">
        <v>158184</v>
      </c>
      <c r="X1462" s="655">
        <v>0</v>
      </c>
      <c r="Y1462" s="655">
        <v>0</v>
      </c>
      <c r="Z1462" s="655">
        <v>0</v>
      </c>
      <c r="AA1462" s="655">
        <v>0</v>
      </c>
      <c r="AB1462" s="655">
        <v>0</v>
      </c>
      <c r="AC1462" s="655">
        <v>0</v>
      </c>
      <c r="AD1462" s="655">
        <v>34409</v>
      </c>
      <c r="AE1462" s="655">
        <v>6013067</v>
      </c>
      <c r="AF1462" s="655">
        <v>125229</v>
      </c>
      <c r="AG1462" s="655">
        <v>315531</v>
      </c>
      <c r="AH1462" s="655">
        <v>0</v>
      </c>
      <c r="AI1462" s="655">
        <v>0</v>
      </c>
      <c r="AJ1462" s="655">
        <v>1134244.2000000002</v>
      </c>
      <c r="AK1462" s="655">
        <v>7588071.2000000002</v>
      </c>
      <c r="AL1462" s="655">
        <v>0</v>
      </c>
      <c r="AM1462" s="655">
        <v>7588071.2000000002</v>
      </c>
    </row>
    <row r="1463" spans="1:39" x14ac:dyDescent="0.2">
      <c r="A1463" s="648">
        <v>2017</v>
      </c>
      <c r="B1463" s="648">
        <v>11</v>
      </c>
      <c r="C1463" s="657" t="s">
        <v>205</v>
      </c>
      <c r="D1463" s="648">
        <v>2754</v>
      </c>
      <c r="E1463" s="648" t="s">
        <v>1123</v>
      </c>
      <c r="F1463" s="655">
        <v>3003210</v>
      </c>
      <c r="G1463" s="655">
        <v>0</v>
      </c>
      <c r="H1463" s="655">
        <v>159236</v>
      </c>
      <c r="I1463" s="655">
        <v>326318</v>
      </c>
      <c r="J1463" s="655">
        <v>270480</v>
      </c>
      <c r="K1463" s="655">
        <v>27562</v>
      </c>
      <c r="L1463" s="655">
        <v>32906</v>
      </c>
      <c r="M1463" s="655">
        <v>0</v>
      </c>
      <c r="N1463" s="655">
        <v>141778</v>
      </c>
      <c r="O1463" s="655">
        <v>8102</v>
      </c>
      <c r="P1463" s="655">
        <v>24425</v>
      </c>
      <c r="Q1463" s="655">
        <v>26813</v>
      </c>
      <c r="R1463" s="655">
        <v>0</v>
      </c>
      <c r="S1463" s="655">
        <v>11682</v>
      </c>
      <c r="T1463" s="655">
        <v>1485</v>
      </c>
      <c r="U1463" s="655">
        <v>49891</v>
      </c>
      <c r="V1463" s="655">
        <v>0</v>
      </c>
      <c r="W1463" s="655">
        <v>65884</v>
      </c>
      <c r="X1463" s="655">
        <v>0</v>
      </c>
      <c r="Y1463" s="655">
        <v>0</v>
      </c>
      <c r="Z1463" s="655">
        <v>0</v>
      </c>
      <c r="AA1463" s="655">
        <v>0</v>
      </c>
      <c r="AB1463" s="655">
        <v>0</v>
      </c>
      <c r="AC1463" s="655">
        <v>0</v>
      </c>
      <c r="AD1463" s="655">
        <v>25286</v>
      </c>
      <c r="AE1463" s="655">
        <v>4124486</v>
      </c>
      <c r="AF1463" s="655">
        <v>102161</v>
      </c>
      <c r="AG1463" s="655">
        <v>230466</v>
      </c>
      <c r="AH1463" s="655">
        <v>0</v>
      </c>
      <c r="AI1463" s="655">
        <v>0</v>
      </c>
      <c r="AJ1463" s="655">
        <v>905359.46</v>
      </c>
      <c r="AK1463" s="655">
        <v>5362472.46</v>
      </c>
      <c r="AL1463" s="655">
        <v>0</v>
      </c>
      <c r="AM1463" s="655">
        <v>5362472.46</v>
      </c>
    </row>
    <row r="1464" spans="1:39" x14ac:dyDescent="0.2">
      <c r="A1464" s="648">
        <v>2017</v>
      </c>
      <c r="B1464" s="648">
        <v>1</v>
      </c>
      <c r="C1464" s="657" t="s">
        <v>206</v>
      </c>
      <c r="D1464" s="648">
        <v>2763</v>
      </c>
      <c r="E1464" s="648" t="s">
        <v>1056</v>
      </c>
      <c r="F1464" s="655">
        <v>3926263</v>
      </c>
      <c r="G1464" s="655">
        <v>27181</v>
      </c>
      <c r="H1464" s="655">
        <v>67498</v>
      </c>
      <c r="I1464" s="655">
        <v>439474</v>
      </c>
      <c r="J1464" s="655">
        <v>336209</v>
      </c>
      <c r="K1464" s="655">
        <v>38052</v>
      </c>
      <c r="L1464" s="655">
        <v>34016</v>
      </c>
      <c r="M1464" s="655">
        <v>0</v>
      </c>
      <c r="N1464" s="655">
        <v>198552</v>
      </c>
      <c r="O1464" s="655">
        <v>6270</v>
      </c>
      <c r="P1464" s="655">
        <v>35447</v>
      </c>
      <c r="Q1464" s="655">
        <v>39547</v>
      </c>
      <c r="R1464" s="655">
        <v>0</v>
      </c>
      <c r="S1464" s="655">
        <v>19552</v>
      </c>
      <c r="T1464" s="655">
        <v>2097</v>
      </c>
      <c r="U1464" s="655">
        <v>25330</v>
      </c>
      <c r="V1464" s="655">
        <v>0</v>
      </c>
      <c r="W1464" s="655">
        <v>27254</v>
      </c>
      <c r="X1464" s="655">
        <v>0</v>
      </c>
      <c r="Y1464" s="655">
        <v>0</v>
      </c>
      <c r="Z1464" s="655">
        <v>0</v>
      </c>
      <c r="AA1464" s="655">
        <v>0</v>
      </c>
      <c r="AB1464" s="655">
        <v>0</v>
      </c>
      <c r="AC1464" s="655">
        <v>-2877</v>
      </c>
      <c r="AD1464" s="655">
        <v>45884</v>
      </c>
      <c r="AE1464" s="655">
        <v>5173981</v>
      </c>
      <c r="AF1464" s="655">
        <v>105456</v>
      </c>
      <c r="AG1464" s="655">
        <v>334935</v>
      </c>
      <c r="AH1464" s="655">
        <v>0</v>
      </c>
      <c r="AI1464" s="655">
        <v>0</v>
      </c>
      <c r="AJ1464" s="655">
        <v>1423382.7400000002</v>
      </c>
      <c r="AK1464" s="655">
        <v>7037754.7400000002</v>
      </c>
      <c r="AL1464" s="655">
        <v>0</v>
      </c>
      <c r="AM1464" s="655">
        <v>7037754.7400000002</v>
      </c>
    </row>
    <row r="1465" spans="1:39" x14ac:dyDescent="0.2">
      <c r="A1465" s="648">
        <v>2017</v>
      </c>
      <c r="B1465" s="648">
        <v>10</v>
      </c>
      <c r="C1465" s="657" t="s">
        <v>207</v>
      </c>
      <c r="D1465" s="648">
        <v>2766</v>
      </c>
      <c r="E1465" s="648" t="s">
        <v>920</v>
      </c>
      <c r="F1465" s="655">
        <v>2339843</v>
      </c>
      <c r="G1465" s="655">
        <v>0</v>
      </c>
      <c r="H1465" s="655">
        <v>176294</v>
      </c>
      <c r="I1465" s="655">
        <v>265499</v>
      </c>
      <c r="J1465" s="655">
        <v>207432</v>
      </c>
      <c r="K1465" s="655">
        <v>21363</v>
      </c>
      <c r="L1465" s="655">
        <v>21664</v>
      </c>
      <c r="M1465" s="655">
        <v>0</v>
      </c>
      <c r="N1465" s="655">
        <v>112445</v>
      </c>
      <c r="O1465" s="655">
        <v>0</v>
      </c>
      <c r="P1465" s="655">
        <v>18872</v>
      </c>
      <c r="Q1465" s="655">
        <v>20734</v>
      </c>
      <c r="R1465" s="655">
        <v>0</v>
      </c>
      <c r="S1465" s="655">
        <v>10505</v>
      </c>
      <c r="T1465" s="655">
        <v>1223</v>
      </c>
      <c r="U1465" s="655">
        <v>96130</v>
      </c>
      <c r="V1465" s="655">
        <v>131242</v>
      </c>
      <c r="W1465" s="655">
        <v>45122</v>
      </c>
      <c r="X1465" s="655">
        <v>0</v>
      </c>
      <c r="Y1465" s="655">
        <v>0</v>
      </c>
      <c r="Z1465" s="655">
        <v>0</v>
      </c>
      <c r="AA1465" s="655">
        <v>0</v>
      </c>
      <c r="AB1465" s="655">
        <v>0</v>
      </c>
      <c r="AC1465" s="655">
        <v>0</v>
      </c>
      <c r="AD1465" s="655">
        <v>23113</v>
      </c>
      <c r="AE1465" s="655">
        <v>3445255</v>
      </c>
      <c r="AF1465" s="655">
        <v>65910</v>
      </c>
      <c r="AG1465" s="655">
        <v>192499</v>
      </c>
      <c r="AH1465" s="655">
        <v>0</v>
      </c>
      <c r="AI1465" s="655">
        <v>0</v>
      </c>
      <c r="AJ1465" s="655">
        <v>1195761.17</v>
      </c>
      <c r="AK1465" s="655">
        <v>4899425.17</v>
      </c>
      <c r="AL1465" s="655">
        <v>0</v>
      </c>
      <c r="AM1465" s="655">
        <v>4899425.17</v>
      </c>
    </row>
    <row r="1466" spans="1:39" x14ac:dyDescent="0.2">
      <c r="A1466" s="648">
        <v>2017</v>
      </c>
      <c r="B1466" s="648">
        <v>13</v>
      </c>
      <c r="C1466" s="657" t="s">
        <v>208</v>
      </c>
      <c r="D1466" s="648">
        <v>2772</v>
      </c>
      <c r="E1466" s="648" t="s">
        <v>1124</v>
      </c>
      <c r="F1466" s="655">
        <v>1670882</v>
      </c>
      <c r="G1466" s="655">
        <v>0</v>
      </c>
      <c r="H1466" s="655">
        <v>316788</v>
      </c>
      <c r="I1466" s="655">
        <v>216905</v>
      </c>
      <c r="J1466" s="655">
        <v>144351</v>
      </c>
      <c r="K1466" s="655">
        <v>14872</v>
      </c>
      <c r="L1466" s="655">
        <v>16825</v>
      </c>
      <c r="M1466" s="655">
        <v>0</v>
      </c>
      <c r="N1466" s="655">
        <v>81249</v>
      </c>
      <c r="O1466" s="655">
        <v>2488</v>
      </c>
      <c r="P1466" s="655">
        <v>13375</v>
      </c>
      <c r="Q1466" s="655">
        <v>14791</v>
      </c>
      <c r="R1466" s="655">
        <v>0</v>
      </c>
      <c r="S1466" s="655">
        <v>8342</v>
      </c>
      <c r="T1466" s="655">
        <v>889</v>
      </c>
      <c r="U1466" s="655">
        <v>64869</v>
      </c>
      <c r="V1466" s="655">
        <v>0</v>
      </c>
      <c r="W1466" s="655">
        <v>53049</v>
      </c>
      <c r="X1466" s="655">
        <v>0</v>
      </c>
      <c r="Y1466" s="655">
        <v>0</v>
      </c>
      <c r="Z1466" s="655">
        <v>0</v>
      </c>
      <c r="AA1466" s="655">
        <v>0</v>
      </c>
      <c r="AB1466" s="655">
        <v>0</v>
      </c>
      <c r="AC1466" s="655">
        <v>-196</v>
      </c>
      <c r="AD1466" s="655">
        <v>17488</v>
      </c>
      <c r="AE1466" s="655">
        <v>2601991</v>
      </c>
      <c r="AF1466" s="655">
        <v>39546</v>
      </c>
      <c r="AG1466" s="655">
        <v>142225</v>
      </c>
      <c r="AH1466" s="655">
        <v>0</v>
      </c>
      <c r="AI1466" s="655">
        <v>0</v>
      </c>
      <c r="AJ1466" s="655">
        <v>423901.98</v>
      </c>
      <c r="AK1466" s="655">
        <v>3207663.98</v>
      </c>
      <c r="AL1466" s="655">
        <v>0</v>
      </c>
      <c r="AM1466" s="655">
        <v>3207663.98</v>
      </c>
    </row>
    <row r="1467" spans="1:39" x14ac:dyDescent="0.2">
      <c r="A1467" s="648">
        <v>2017</v>
      </c>
      <c r="B1467" s="648">
        <v>7</v>
      </c>
      <c r="C1467" s="657" t="s">
        <v>209</v>
      </c>
      <c r="D1467" s="648">
        <v>2781</v>
      </c>
      <c r="E1467" s="648" t="s">
        <v>1125</v>
      </c>
      <c r="F1467" s="655">
        <v>7976428</v>
      </c>
      <c r="G1467" s="655">
        <v>37948</v>
      </c>
      <c r="H1467" s="655">
        <v>529383</v>
      </c>
      <c r="I1467" s="655">
        <v>1298097</v>
      </c>
      <c r="J1467" s="655">
        <v>717286</v>
      </c>
      <c r="K1467" s="655">
        <v>77622</v>
      </c>
      <c r="L1467" s="655">
        <v>92568</v>
      </c>
      <c r="M1467" s="655">
        <v>386925</v>
      </c>
      <c r="N1467" s="655">
        <v>412379</v>
      </c>
      <c r="O1467" s="655">
        <v>1091</v>
      </c>
      <c r="P1467" s="655">
        <v>66161</v>
      </c>
      <c r="Q1467" s="655">
        <v>73883</v>
      </c>
      <c r="R1467" s="655">
        <v>0</v>
      </c>
      <c r="S1467" s="655">
        <v>52655</v>
      </c>
      <c r="T1467" s="655">
        <v>6043</v>
      </c>
      <c r="U1467" s="655">
        <v>234028</v>
      </c>
      <c r="V1467" s="655">
        <v>0</v>
      </c>
      <c r="W1467" s="655">
        <v>137765</v>
      </c>
      <c r="X1467" s="655">
        <v>0</v>
      </c>
      <c r="Y1467" s="655">
        <v>0</v>
      </c>
      <c r="Z1467" s="655">
        <v>0</v>
      </c>
      <c r="AA1467" s="655">
        <v>0</v>
      </c>
      <c r="AB1467" s="655">
        <v>0</v>
      </c>
      <c r="AC1467" s="655">
        <v>-9282</v>
      </c>
      <c r="AD1467" s="655">
        <v>65560</v>
      </c>
      <c r="AE1467" s="655">
        <v>12025420</v>
      </c>
      <c r="AF1467" s="655">
        <v>174662</v>
      </c>
      <c r="AG1467" s="655">
        <v>568861</v>
      </c>
      <c r="AH1467" s="655">
        <v>0</v>
      </c>
      <c r="AI1467" s="655">
        <v>0</v>
      </c>
      <c r="AJ1467" s="655">
        <v>3338909</v>
      </c>
      <c r="AK1467" s="655">
        <v>16107852</v>
      </c>
      <c r="AL1467" s="655">
        <v>0</v>
      </c>
      <c r="AM1467" s="655">
        <v>16107852</v>
      </c>
    </row>
    <row r="1468" spans="1:39" x14ac:dyDescent="0.2">
      <c r="A1468" s="648">
        <v>2017</v>
      </c>
      <c r="B1468" s="648">
        <v>13</v>
      </c>
      <c r="C1468" s="657" t="s">
        <v>210</v>
      </c>
      <c r="D1468" s="648">
        <v>2826</v>
      </c>
      <c r="E1468" s="648" t="s">
        <v>1126</v>
      </c>
      <c r="F1468" s="655">
        <v>9362309</v>
      </c>
      <c r="G1468" s="655">
        <v>0</v>
      </c>
      <c r="H1468" s="655">
        <v>297712</v>
      </c>
      <c r="I1468" s="655">
        <v>1166459</v>
      </c>
      <c r="J1468" s="655">
        <v>802185</v>
      </c>
      <c r="K1468" s="655">
        <v>94273</v>
      </c>
      <c r="L1468" s="655">
        <v>93185</v>
      </c>
      <c r="M1468" s="655">
        <v>0</v>
      </c>
      <c r="N1468" s="655">
        <v>460052</v>
      </c>
      <c r="O1468" s="655">
        <v>0</v>
      </c>
      <c r="P1468" s="655">
        <v>81650</v>
      </c>
      <c r="Q1468" s="655">
        <v>90295</v>
      </c>
      <c r="R1468" s="655">
        <v>0</v>
      </c>
      <c r="S1468" s="655">
        <v>47237</v>
      </c>
      <c r="T1468" s="655">
        <v>5033</v>
      </c>
      <c r="U1468" s="655">
        <v>457879</v>
      </c>
      <c r="V1468" s="655">
        <v>0</v>
      </c>
      <c r="W1468" s="655">
        <v>75451</v>
      </c>
      <c r="X1468" s="655">
        <v>0</v>
      </c>
      <c r="Y1468" s="655">
        <v>0</v>
      </c>
      <c r="Z1468" s="655">
        <v>0</v>
      </c>
      <c r="AA1468" s="655">
        <v>0</v>
      </c>
      <c r="AB1468" s="655">
        <v>0</v>
      </c>
      <c r="AC1468" s="655">
        <v>0</v>
      </c>
      <c r="AD1468" s="655">
        <v>88062</v>
      </c>
      <c r="AE1468" s="655">
        <v>12945658</v>
      </c>
      <c r="AF1468" s="655">
        <v>197730</v>
      </c>
      <c r="AG1468" s="655">
        <v>720430</v>
      </c>
      <c r="AH1468" s="655">
        <v>0</v>
      </c>
      <c r="AI1468" s="655">
        <v>0</v>
      </c>
      <c r="AJ1468" s="655">
        <v>5913463.2400000021</v>
      </c>
      <c r="AK1468" s="655">
        <v>19777281.240000002</v>
      </c>
      <c r="AL1468" s="655">
        <v>0</v>
      </c>
      <c r="AM1468" s="655">
        <v>19777281.240000002</v>
      </c>
    </row>
    <row r="1469" spans="1:39" x14ac:dyDescent="0.2">
      <c r="A1469" s="648">
        <v>2017</v>
      </c>
      <c r="B1469" s="648">
        <v>15</v>
      </c>
      <c r="C1469" s="657" t="s">
        <v>211</v>
      </c>
      <c r="D1469" s="648">
        <v>2834</v>
      </c>
      <c r="E1469" s="648" t="s">
        <v>1127</v>
      </c>
      <c r="F1469" s="655">
        <v>2399124</v>
      </c>
      <c r="G1469" s="655">
        <v>0</v>
      </c>
      <c r="H1469" s="655">
        <v>190289</v>
      </c>
      <c r="I1469" s="655">
        <v>299693</v>
      </c>
      <c r="J1469" s="655">
        <v>203374</v>
      </c>
      <c r="K1469" s="655">
        <v>19576</v>
      </c>
      <c r="L1469" s="655">
        <v>24814</v>
      </c>
      <c r="M1469" s="655">
        <v>0</v>
      </c>
      <c r="N1469" s="655">
        <v>117559</v>
      </c>
      <c r="O1469" s="655">
        <v>3120</v>
      </c>
      <c r="P1469" s="655">
        <v>19889</v>
      </c>
      <c r="Q1469" s="655">
        <v>21848</v>
      </c>
      <c r="R1469" s="655">
        <v>0</v>
      </c>
      <c r="S1469" s="655">
        <v>11776</v>
      </c>
      <c r="T1469" s="655">
        <v>1278</v>
      </c>
      <c r="U1469" s="655">
        <v>96800</v>
      </c>
      <c r="V1469" s="655">
        <v>0</v>
      </c>
      <c r="W1469" s="655">
        <v>122474</v>
      </c>
      <c r="X1469" s="655">
        <v>0</v>
      </c>
      <c r="Y1469" s="655">
        <v>0</v>
      </c>
      <c r="Z1469" s="655">
        <v>0</v>
      </c>
      <c r="AA1469" s="655">
        <v>0</v>
      </c>
      <c r="AB1469" s="655">
        <v>0</v>
      </c>
      <c r="AC1469" s="655">
        <v>0</v>
      </c>
      <c r="AD1469" s="655">
        <v>26973</v>
      </c>
      <c r="AE1469" s="655">
        <v>3504641</v>
      </c>
      <c r="AF1469" s="655">
        <v>92274</v>
      </c>
      <c r="AG1469" s="655">
        <v>169018</v>
      </c>
      <c r="AH1469" s="655">
        <v>0</v>
      </c>
      <c r="AI1469" s="655">
        <v>0</v>
      </c>
      <c r="AJ1469" s="655">
        <v>-342181.08999999985</v>
      </c>
      <c r="AK1469" s="655">
        <v>3423751.91</v>
      </c>
      <c r="AL1469" s="655">
        <v>0</v>
      </c>
      <c r="AM1469" s="655">
        <v>3423751.91</v>
      </c>
    </row>
    <row r="1470" spans="1:39" x14ac:dyDescent="0.2">
      <c r="A1470" s="648">
        <v>2017</v>
      </c>
      <c r="B1470" s="648">
        <v>5</v>
      </c>
      <c r="C1470" s="657" t="s">
        <v>212</v>
      </c>
      <c r="D1470" s="648">
        <v>2846</v>
      </c>
      <c r="E1470" s="648" t="s">
        <v>1128</v>
      </c>
      <c r="F1470" s="655">
        <v>2194463</v>
      </c>
      <c r="G1470" s="655">
        <v>0</v>
      </c>
      <c r="H1470" s="655">
        <v>63389</v>
      </c>
      <c r="I1470" s="655">
        <v>176077</v>
      </c>
      <c r="J1470" s="655">
        <v>196069</v>
      </c>
      <c r="K1470" s="655">
        <v>20410</v>
      </c>
      <c r="L1470" s="655">
        <v>26576</v>
      </c>
      <c r="M1470" s="655">
        <v>0</v>
      </c>
      <c r="N1470" s="655">
        <v>106639</v>
      </c>
      <c r="O1470" s="655">
        <v>0</v>
      </c>
      <c r="P1470" s="655">
        <v>17858</v>
      </c>
      <c r="Q1470" s="655">
        <v>20049</v>
      </c>
      <c r="R1470" s="655">
        <v>312</v>
      </c>
      <c r="S1470" s="655">
        <v>11347</v>
      </c>
      <c r="T1470" s="655">
        <v>1352</v>
      </c>
      <c r="U1470" s="655">
        <v>39000</v>
      </c>
      <c r="V1470" s="655">
        <v>0</v>
      </c>
      <c r="W1470" s="655">
        <v>0</v>
      </c>
      <c r="X1470" s="655">
        <v>0</v>
      </c>
      <c r="Y1470" s="655">
        <v>0</v>
      </c>
      <c r="Z1470" s="655">
        <v>0</v>
      </c>
      <c r="AA1470" s="655">
        <v>0</v>
      </c>
      <c r="AB1470" s="655">
        <v>0</v>
      </c>
      <c r="AC1470" s="655">
        <v>0</v>
      </c>
      <c r="AD1470" s="655">
        <v>18080</v>
      </c>
      <c r="AE1470" s="655">
        <v>2855461</v>
      </c>
      <c r="AF1470" s="655">
        <v>42842</v>
      </c>
      <c r="AG1470" s="655">
        <v>193793</v>
      </c>
      <c r="AH1470" s="655">
        <v>0</v>
      </c>
      <c r="AI1470" s="655">
        <v>0</v>
      </c>
      <c r="AJ1470" s="655">
        <v>3481506.2300000004</v>
      </c>
      <c r="AK1470" s="655">
        <v>6573602.2300000004</v>
      </c>
      <c r="AL1470" s="655">
        <v>0</v>
      </c>
      <c r="AM1470" s="655">
        <v>6573602.2300000004</v>
      </c>
    </row>
    <row r="1471" spans="1:39" x14ac:dyDescent="0.2">
      <c r="A1471" s="648">
        <v>2017</v>
      </c>
      <c r="B1471" s="648">
        <v>12</v>
      </c>
      <c r="C1471" s="657" t="s">
        <v>213</v>
      </c>
      <c r="D1471" s="648">
        <v>2862</v>
      </c>
      <c r="E1471" s="648" t="s">
        <v>1129</v>
      </c>
      <c r="F1471" s="655">
        <v>4211811</v>
      </c>
      <c r="G1471" s="655">
        <v>0</v>
      </c>
      <c r="H1471" s="655">
        <v>57784</v>
      </c>
      <c r="I1471" s="655">
        <v>763304</v>
      </c>
      <c r="J1471" s="655">
        <v>382001</v>
      </c>
      <c r="K1471" s="655">
        <v>41173</v>
      </c>
      <c r="L1471" s="655">
        <v>38254</v>
      </c>
      <c r="M1471" s="655">
        <v>0</v>
      </c>
      <c r="N1471" s="655">
        <v>222089</v>
      </c>
      <c r="O1471" s="655">
        <v>0</v>
      </c>
      <c r="P1471" s="655">
        <v>39628</v>
      </c>
      <c r="Q1471" s="655">
        <v>44474</v>
      </c>
      <c r="R1471" s="655">
        <v>0</v>
      </c>
      <c r="S1471" s="655">
        <v>22312</v>
      </c>
      <c r="T1471" s="655">
        <v>2668</v>
      </c>
      <c r="U1471" s="655">
        <v>205990</v>
      </c>
      <c r="V1471" s="655">
        <v>0</v>
      </c>
      <c r="W1471" s="655">
        <v>95220</v>
      </c>
      <c r="X1471" s="655">
        <v>0</v>
      </c>
      <c r="Y1471" s="655">
        <v>0</v>
      </c>
      <c r="Z1471" s="655">
        <v>0</v>
      </c>
      <c r="AA1471" s="655">
        <v>0</v>
      </c>
      <c r="AB1471" s="655">
        <v>0</v>
      </c>
      <c r="AC1471" s="655">
        <v>-9999</v>
      </c>
      <c r="AD1471" s="655">
        <v>48824</v>
      </c>
      <c r="AE1471" s="655">
        <v>6067885</v>
      </c>
      <c r="AF1471" s="655">
        <v>59319</v>
      </c>
      <c r="AG1471" s="655">
        <v>354171</v>
      </c>
      <c r="AH1471" s="655">
        <v>0</v>
      </c>
      <c r="AI1471" s="655">
        <v>0</v>
      </c>
      <c r="AJ1471" s="655">
        <v>1566675.42</v>
      </c>
      <c r="AK1471" s="655">
        <v>8048050.4199999999</v>
      </c>
      <c r="AL1471" s="655">
        <v>0</v>
      </c>
      <c r="AM1471" s="655">
        <v>8048050.4199999999</v>
      </c>
    </row>
    <row r="1472" spans="1:39" x14ac:dyDescent="0.2">
      <c r="A1472" s="648">
        <v>2017</v>
      </c>
      <c r="B1472" s="648">
        <v>10</v>
      </c>
      <c r="C1472" s="657" t="s">
        <v>214</v>
      </c>
      <c r="D1472" s="648">
        <v>2977</v>
      </c>
      <c r="E1472" s="648" t="s">
        <v>1130</v>
      </c>
      <c r="F1472" s="655">
        <v>4065988</v>
      </c>
      <c r="G1472" s="655">
        <v>180785</v>
      </c>
      <c r="H1472" s="655">
        <v>225867</v>
      </c>
      <c r="I1472" s="655">
        <v>479693</v>
      </c>
      <c r="J1472" s="655">
        <v>383552</v>
      </c>
      <c r="K1472" s="655">
        <v>40423</v>
      </c>
      <c r="L1472" s="655">
        <v>45152</v>
      </c>
      <c r="M1472" s="655">
        <v>0</v>
      </c>
      <c r="N1472" s="655">
        <v>199166</v>
      </c>
      <c r="O1472" s="655">
        <v>5208</v>
      </c>
      <c r="P1472" s="655">
        <v>33592</v>
      </c>
      <c r="Q1472" s="655">
        <v>36907</v>
      </c>
      <c r="R1472" s="655">
        <v>0</v>
      </c>
      <c r="S1472" s="655">
        <v>19054</v>
      </c>
      <c r="T1472" s="655">
        <v>2214</v>
      </c>
      <c r="U1472" s="655">
        <v>108240</v>
      </c>
      <c r="V1472" s="655">
        <v>0</v>
      </c>
      <c r="W1472" s="655">
        <v>190986</v>
      </c>
      <c r="X1472" s="655">
        <v>0</v>
      </c>
      <c r="Y1472" s="655">
        <v>0</v>
      </c>
      <c r="Z1472" s="655">
        <v>0</v>
      </c>
      <c r="AA1472" s="655">
        <v>0</v>
      </c>
      <c r="AB1472" s="655">
        <v>0</v>
      </c>
      <c r="AC1472" s="655">
        <v>0</v>
      </c>
      <c r="AD1472" s="655">
        <v>33568</v>
      </c>
      <c r="AE1472" s="655">
        <v>5983259</v>
      </c>
      <c r="AF1472" s="655">
        <v>151593</v>
      </c>
      <c r="AG1472" s="655">
        <v>353119</v>
      </c>
      <c r="AH1472" s="655">
        <v>0</v>
      </c>
      <c r="AI1472" s="655">
        <v>0</v>
      </c>
      <c r="AJ1472" s="655">
        <v>91420.769999999553</v>
      </c>
      <c r="AK1472" s="655">
        <v>6579391.7699999996</v>
      </c>
      <c r="AL1472" s="655">
        <v>0</v>
      </c>
      <c r="AM1472" s="655">
        <v>6579391.7699999996</v>
      </c>
    </row>
    <row r="1473" spans="1:39" x14ac:dyDescent="0.2">
      <c r="A1473" s="648">
        <v>2017</v>
      </c>
      <c r="B1473" s="648">
        <v>12</v>
      </c>
      <c r="C1473" s="657" t="s">
        <v>215</v>
      </c>
      <c r="D1473" s="648">
        <v>2988</v>
      </c>
      <c r="E1473" s="648" t="s">
        <v>1131</v>
      </c>
      <c r="F1473" s="655">
        <v>3453684</v>
      </c>
      <c r="G1473" s="655">
        <v>0</v>
      </c>
      <c r="H1473" s="655">
        <v>35400</v>
      </c>
      <c r="I1473" s="655">
        <v>314193</v>
      </c>
      <c r="J1473" s="655">
        <v>309831</v>
      </c>
      <c r="K1473" s="655">
        <v>34783</v>
      </c>
      <c r="L1473" s="655">
        <v>37440</v>
      </c>
      <c r="M1473" s="655">
        <v>167533</v>
      </c>
      <c r="N1473" s="655">
        <v>169397</v>
      </c>
      <c r="O1473" s="655">
        <v>1158</v>
      </c>
      <c r="P1473" s="655">
        <v>29761</v>
      </c>
      <c r="Q1473" s="655">
        <v>33401</v>
      </c>
      <c r="R1473" s="655">
        <v>0</v>
      </c>
      <c r="S1473" s="655">
        <v>17019</v>
      </c>
      <c r="T1473" s="655">
        <v>2035</v>
      </c>
      <c r="U1473" s="655">
        <v>106422</v>
      </c>
      <c r="V1473" s="655">
        <v>0</v>
      </c>
      <c r="W1473" s="655">
        <v>92274</v>
      </c>
      <c r="X1473" s="655">
        <v>0</v>
      </c>
      <c r="Y1473" s="655">
        <v>0</v>
      </c>
      <c r="Z1473" s="655">
        <v>0</v>
      </c>
      <c r="AA1473" s="655">
        <v>0</v>
      </c>
      <c r="AB1473" s="655">
        <v>0</v>
      </c>
      <c r="AC1473" s="655">
        <v>0</v>
      </c>
      <c r="AD1473" s="655">
        <v>30284</v>
      </c>
      <c r="AE1473" s="655">
        <v>4774047</v>
      </c>
      <c r="AF1473" s="655">
        <v>128525</v>
      </c>
      <c r="AG1473" s="655">
        <v>274153</v>
      </c>
      <c r="AH1473" s="655">
        <v>0</v>
      </c>
      <c r="AI1473" s="655">
        <v>0</v>
      </c>
      <c r="AJ1473" s="655">
        <v>1180913.120000001</v>
      </c>
      <c r="AK1473" s="655">
        <v>6357638.120000001</v>
      </c>
      <c r="AL1473" s="655">
        <v>0</v>
      </c>
      <c r="AM1473" s="655">
        <v>6357638.120000001</v>
      </c>
    </row>
    <row r="1474" spans="1:39" x14ac:dyDescent="0.2">
      <c r="A1474" s="648">
        <v>2017</v>
      </c>
      <c r="B1474" s="648">
        <v>1</v>
      </c>
      <c r="C1474" s="657" t="s">
        <v>216</v>
      </c>
      <c r="D1474" s="648">
        <v>3029</v>
      </c>
      <c r="E1474" s="648" t="s">
        <v>1132</v>
      </c>
      <c r="F1474" s="655">
        <v>8040015</v>
      </c>
      <c r="G1474" s="655">
        <v>213539</v>
      </c>
      <c r="H1474" s="655">
        <v>178337</v>
      </c>
      <c r="I1474" s="655">
        <v>977088</v>
      </c>
      <c r="J1474" s="655">
        <v>718721</v>
      </c>
      <c r="K1474" s="655">
        <v>77190</v>
      </c>
      <c r="L1474" s="655">
        <v>75498</v>
      </c>
      <c r="M1474" s="655">
        <v>0</v>
      </c>
      <c r="N1474" s="655">
        <v>408201</v>
      </c>
      <c r="O1474" s="655">
        <v>23729</v>
      </c>
      <c r="P1474" s="655">
        <v>76530</v>
      </c>
      <c r="Q1474" s="655">
        <v>85384</v>
      </c>
      <c r="R1474" s="655">
        <v>0</v>
      </c>
      <c r="S1474" s="655">
        <v>40836</v>
      </c>
      <c r="T1474" s="655">
        <v>4365</v>
      </c>
      <c r="U1474" s="655">
        <v>352699</v>
      </c>
      <c r="V1474" s="655">
        <v>0</v>
      </c>
      <c r="W1474" s="655">
        <v>93198</v>
      </c>
      <c r="X1474" s="655">
        <v>0</v>
      </c>
      <c r="Y1474" s="655">
        <v>0</v>
      </c>
      <c r="Z1474" s="655">
        <v>0</v>
      </c>
      <c r="AA1474" s="655">
        <v>0</v>
      </c>
      <c r="AB1474" s="655">
        <v>0</v>
      </c>
      <c r="AC1474" s="655">
        <v>0</v>
      </c>
      <c r="AD1474" s="655">
        <v>87358</v>
      </c>
      <c r="AE1474" s="655">
        <v>11277972</v>
      </c>
      <c r="AF1474" s="655">
        <v>207617</v>
      </c>
      <c r="AG1474" s="655">
        <v>672087</v>
      </c>
      <c r="AH1474" s="655">
        <v>0</v>
      </c>
      <c r="AI1474" s="655">
        <v>0</v>
      </c>
      <c r="AJ1474" s="655">
        <v>2300180.8599999994</v>
      </c>
      <c r="AK1474" s="655">
        <v>14457856.859999999</v>
      </c>
      <c r="AL1474" s="655">
        <v>0</v>
      </c>
      <c r="AM1474" s="655">
        <v>14457856.859999999</v>
      </c>
    </row>
    <row r="1475" spans="1:39" x14ac:dyDescent="0.2">
      <c r="A1475" s="648">
        <v>2017</v>
      </c>
      <c r="B1475" s="648">
        <v>7</v>
      </c>
      <c r="C1475" s="657" t="s">
        <v>217</v>
      </c>
      <c r="D1475" s="648">
        <v>3033</v>
      </c>
      <c r="E1475" s="648" t="s">
        <v>640</v>
      </c>
      <c r="F1475" s="655">
        <v>2997582</v>
      </c>
      <c r="G1475" s="655">
        <v>0</v>
      </c>
      <c r="H1475" s="655">
        <v>88305</v>
      </c>
      <c r="I1475" s="655">
        <v>382808</v>
      </c>
      <c r="J1475" s="655">
        <v>251747</v>
      </c>
      <c r="K1475" s="655">
        <v>21381</v>
      </c>
      <c r="L1475" s="655">
        <v>24860</v>
      </c>
      <c r="M1475" s="655">
        <v>0</v>
      </c>
      <c r="N1475" s="655">
        <v>147793</v>
      </c>
      <c r="O1475" s="655">
        <v>0</v>
      </c>
      <c r="P1475" s="655">
        <v>24241</v>
      </c>
      <c r="Q1475" s="655">
        <v>27070</v>
      </c>
      <c r="R1475" s="655">
        <v>0</v>
      </c>
      <c r="S1475" s="655">
        <v>18740</v>
      </c>
      <c r="T1475" s="655">
        <v>2153</v>
      </c>
      <c r="U1475" s="655">
        <v>146637</v>
      </c>
      <c r="V1475" s="655">
        <v>0</v>
      </c>
      <c r="W1475" s="655">
        <v>200620</v>
      </c>
      <c r="X1475" s="655">
        <v>0</v>
      </c>
      <c r="Y1475" s="655">
        <v>0</v>
      </c>
      <c r="Z1475" s="655">
        <v>0</v>
      </c>
      <c r="AA1475" s="655">
        <v>0</v>
      </c>
      <c r="AB1475" s="655">
        <v>0</v>
      </c>
      <c r="AC1475" s="655">
        <v>0</v>
      </c>
      <c r="AD1475" s="655">
        <v>27878</v>
      </c>
      <c r="AE1475" s="655">
        <v>4306059</v>
      </c>
      <c r="AF1475" s="655">
        <v>72501</v>
      </c>
      <c r="AG1475" s="655">
        <v>255843</v>
      </c>
      <c r="AH1475" s="655">
        <v>0</v>
      </c>
      <c r="AI1475" s="655">
        <v>0</v>
      </c>
      <c r="AJ1475" s="655">
        <v>1785237.67</v>
      </c>
      <c r="AK1475" s="655">
        <v>6419640.6699999999</v>
      </c>
      <c r="AL1475" s="655">
        <v>0</v>
      </c>
      <c r="AM1475" s="655">
        <v>6419640.6699999999</v>
      </c>
    </row>
    <row r="1476" spans="1:39" x14ac:dyDescent="0.2">
      <c r="A1476" s="648">
        <v>2017</v>
      </c>
      <c r="B1476" s="648">
        <v>7</v>
      </c>
      <c r="C1476" s="657" t="s">
        <v>218</v>
      </c>
      <c r="D1476" s="648">
        <v>3042</v>
      </c>
      <c r="E1476" s="648" t="s">
        <v>1134</v>
      </c>
      <c r="F1476" s="655">
        <v>4595467</v>
      </c>
      <c r="G1476" s="655">
        <v>0</v>
      </c>
      <c r="H1476" s="655">
        <v>83939</v>
      </c>
      <c r="I1476" s="655">
        <v>615774</v>
      </c>
      <c r="J1476" s="655">
        <v>417497</v>
      </c>
      <c r="K1476" s="655">
        <v>47259</v>
      </c>
      <c r="L1476" s="655">
        <v>36514</v>
      </c>
      <c r="M1476" s="655">
        <v>217154</v>
      </c>
      <c r="N1476" s="655">
        <v>225718</v>
      </c>
      <c r="O1476" s="655">
        <v>0</v>
      </c>
      <c r="P1476" s="655">
        <v>37473</v>
      </c>
      <c r="Q1476" s="655">
        <v>41847</v>
      </c>
      <c r="R1476" s="655">
        <v>0</v>
      </c>
      <c r="S1476" s="655">
        <v>28621</v>
      </c>
      <c r="T1476" s="655">
        <v>3289</v>
      </c>
      <c r="U1476" s="655">
        <v>88204</v>
      </c>
      <c r="V1476" s="655">
        <v>0</v>
      </c>
      <c r="W1476" s="655">
        <v>65948</v>
      </c>
      <c r="X1476" s="655">
        <v>0</v>
      </c>
      <c r="Y1476" s="655">
        <v>0</v>
      </c>
      <c r="Z1476" s="655">
        <v>0</v>
      </c>
      <c r="AA1476" s="655">
        <v>0</v>
      </c>
      <c r="AB1476" s="655">
        <v>0</v>
      </c>
      <c r="AC1476" s="655">
        <v>1258</v>
      </c>
      <c r="AD1476" s="655">
        <v>40287</v>
      </c>
      <c r="AE1476" s="655">
        <v>6465675</v>
      </c>
      <c r="AF1476" s="655">
        <v>0</v>
      </c>
      <c r="AG1476" s="655">
        <v>335377</v>
      </c>
      <c r="AH1476" s="655">
        <v>0</v>
      </c>
      <c r="AI1476" s="655">
        <v>0</v>
      </c>
      <c r="AJ1476" s="655">
        <v>2174185.3000000007</v>
      </c>
      <c r="AK1476" s="655">
        <v>8975237.3000000007</v>
      </c>
      <c r="AL1476" s="655">
        <v>0</v>
      </c>
      <c r="AM1476" s="655">
        <v>8975237.3000000007</v>
      </c>
    </row>
    <row r="1477" spans="1:39" x14ac:dyDescent="0.2">
      <c r="A1477" s="648">
        <v>2017</v>
      </c>
      <c r="B1477" s="648">
        <v>5</v>
      </c>
      <c r="C1477" s="657" t="s">
        <v>219</v>
      </c>
      <c r="D1477" s="648">
        <v>3060</v>
      </c>
      <c r="E1477" s="648" t="s">
        <v>1135</v>
      </c>
      <c r="F1477" s="655">
        <v>7974451</v>
      </c>
      <c r="G1477" s="655">
        <v>0</v>
      </c>
      <c r="H1477" s="655">
        <v>324310</v>
      </c>
      <c r="I1477" s="655">
        <v>918917</v>
      </c>
      <c r="J1477" s="655">
        <v>705468</v>
      </c>
      <c r="K1477" s="655">
        <v>77167</v>
      </c>
      <c r="L1477" s="655">
        <v>85734</v>
      </c>
      <c r="M1477" s="655">
        <v>386829</v>
      </c>
      <c r="N1477" s="655">
        <v>404378</v>
      </c>
      <c r="O1477" s="655">
        <v>0</v>
      </c>
      <c r="P1477" s="655">
        <v>72898</v>
      </c>
      <c r="Q1477" s="655">
        <v>81842</v>
      </c>
      <c r="R1477" s="655">
        <v>1181</v>
      </c>
      <c r="S1477" s="655">
        <v>43030</v>
      </c>
      <c r="T1477" s="655">
        <v>5127</v>
      </c>
      <c r="U1477" s="655">
        <v>378601</v>
      </c>
      <c r="V1477" s="655">
        <v>0</v>
      </c>
      <c r="W1477" s="655">
        <v>91045</v>
      </c>
      <c r="X1477" s="655">
        <v>0</v>
      </c>
      <c r="Y1477" s="655">
        <v>0</v>
      </c>
      <c r="Z1477" s="655">
        <v>0</v>
      </c>
      <c r="AA1477" s="655">
        <v>0</v>
      </c>
      <c r="AB1477" s="655">
        <v>0</v>
      </c>
      <c r="AC1477" s="655">
        <v>-2836</v>
      </c>
      <c r="AD1477" s="655">
        <v>72253</v>
      </c>
      <c r="AE1477" s="655">
        <v>11475889</v>
      </c>
      <c r="AF1477" s="655">
        <v>201026</v>
      </c>
      <c r="AG1477" s="655">
        <v>604543</v>
      </c>
      <c r="AH1477" s="655">
        <v>0</v>
      </c>
      <c r="AI1477" s="655">
        <v>0</v>
      </c>
      <c r="AJ1477" s="655">
        <v>1650570.2300000004</v>
      </c>
      <c r="AK1477" s="655">
        <v>13932028.23</v>
      </c>
      <c r="AL1477" s="655">
        <v>0</v>
      </c>
      <c r="AM1477" s="655">
        <v>13932028.23</v>
      </c>
    </row>
    <row r="1478" spans="1:39" x14ac:dyDescent="0.2">
      <c r="A1478" s="648">
        <v>2017</v>
      </c>
      <c r="B1478" s="648">
        <v>7</v>
      </c>
      <c r="C1478" s="657" t="s">
        <v>220</v>
      </c>
      <c r="D1478" s="648">
        <v>3105</v>
      </c>
      <c r="E1478" s="648" t="s">
        <v>1136</v>
      </c>
      <c r="F1478" s="655">
        <v>9428426</v>
      </c>
      <c r="G1478" s="655">
        <v>0</v>
      </c>
      <c r="H1478" s="655">
        <v>135630</v>
      </c>
      <c r="I1478" s="655">
        <v>1428665</v>
      </c>
      <c r="J1478" s="655">
        <v>850776</v>
      </c>
      <c r="K1478" s="655">
        <v>100221</v>
      </c>
      <c r="L1478" s="655">
        <v>94556</v>
      </c>
      <c r="M1478" s="655">
        <v>0</v>
      </c>
      <c r="N1478" s="655">
        <v>482746</v>
      </c>
      <c r="O1478" s="655">
        <v>0</v>
      </c>
      <c r="P1478" s="655">
        <v>84382</v>
      </c>
      <c r="Q1478" s="655">
        <v>94231</v>
      </c>
      <c r="R1478" s="655">
        <v>0</v>
      </c>
      <c r="S1478" s="655">
        <v>61212</v>
      </c>
      <c r="T1478" s="655">
        <v>7034</v>
      </c>
      <c r="U1478" s="655">
        <v>461050</v>
      </c>
      <c r="V1478" s="655">
        <v>0</v>
      </c>
      <c r="W1478" s="655">
        <v>87021</v>
      </c>
      <c r="X1478" s="655">
        <v>0</v>
      </c>
      <c r="Y1478" s="655">
        <v>0</v>
      </c>
      <c r="Z1478" s="655">
        <v>0</v>
      </c>
      <c r="AA1478" s="655">
        <v>0</v>
      </c>
      <c r="AB1478" s="655">
        <v>0</v>
      </c>
      <c r="AC1478" s="655">
        <v>0</v>
      </c>
      <c r="AD1478" s="655">
        <v>86232</v>
      </c>
      <c r="AE1478" s="655">
        <v>13229718</v>
      </c>
      <c r="AF1478" s="655">
        <v>286709</v>
      </c>
      <c r="AG1478" s="655">
        <v>690821</v>
      </c>
      <c r="AH1478" s="655">
        <v>0</v>
      </c>
      <c r="AI1478" s="655">
        <v>0</v>
      </c>
      <c r="AJ1478" s="655">
        <v>1932008.1700000018</v>
      </c>
      <c r="AK1478" s="655">
        <v>16139256.170000002</v>
      </c>
      <c r="AL1478" s="655">
        <v>0</v>
      </c>
      <c r="AM1478" s="655">
        <v>16139256.170000002</v>
      </c>
    </row>
    <row r="1479" spans="1:39" x14ac:dyDescent="0.2">
      <c r="A1479" s="648">
        <v>2017</v>
      </c>
      <c r="B1479" s="648">
        <v>11</v>
      </c>
      <c r="C1479" s="657" t="s">
        <v>221</v>
      </c>
      <c r="D1479" s="648">
        <v>3114</v>
      </c>
      <c r="E1479" s="648" t="s">
        <v>1137</v>
      </c>
      <c r="F1479" s="655">
        <v>22880657</v>
      </c>
      <c r="G1479" s="655">
        <v>0</v>
      </c>
      <c r="H1479" s="655">
        <v>340669</v>
      </c>
      <c r="I1479" s="655">
        <v>1987121</v>
      </c>
      <c r="J1479" s="655">
        <v>1827016</v>
      </c>
      <c r="K1479" s="655">
        <v>216795</v>
      </c>
      <c r="L1479" s="655">
        <v>207110</v>
      </c>
      <c r="M1479" s="655">
        <v>1109908</v>
      </c>
      <c r="N1479" s="655">
        <v>1062776</v>
      </c>
      <c r="O1479" s="655">
        <v>0</v>
      </c>
      <c r="P1479" s="655">
        <v>187762</v>
      </c>
      <c r="Q1479" s="655">
        <v>206119</v>
      </c>
      <c r="R1479" s="655">
        <v>0</v>
      </c>
      <c r="S1479" s="655">
        <v>87571</v>
      </c>
      <c r="T1479" s="655">
        <v>11130</v>
      </c>
      <c r="U1479" s="655">
        <v>1118864</v>
      </c>
      <c r="V1479" s="655">
        <v>0</v>
      </c>
      <c r="W1479" s="655">
        <v>144388</v>
      </c>
      <c r="X1479" s="655">
        <v>0</v>
      </c>
      <c r="Y1479" s="655">
        <v>0</v>
      </c>
      <c r="Z1479" s="655">
        <v>0</v>
      </c>
      <c r="AA1479" s="655">
        <v>0</v>
      </c>
      <c r="AB1479" s="655">
        <v>0</v>
      </c>
      <c r="AC1479" s="655">
        <v>0</v>
      </c>
      <c r="AD1479" s="655">
        <v>162314</v>
      </c>
      <c r="AE1479" s="655">
        <v>31225572</v>
      </c>
      <c r="AF1479" s="655">
        <v>322959</v>
      </c>
      <c r="AG1479" s="655">
        <v>1476947</v>
      </c>
      <c r="AH1479" s="655">
        <v>0</v>
      </c>
      <c r="AI1479" s="655">
        <v>0</v>
      </c>
      <c r="AJ1479" s="655">
        <v>6864625.9800000042</v>
      </c>
      <c r="AK1479" s="655">
        <v>39890103.980000004</v>
      </c>
      <c r="AL1479" s="655">
        <v>0</v>
      </c>
      <c r="AM1479" s="655">
        <v>39890103.980000004</v>
      </c>
    </row>
    <row r="1480" spans="1:39" x14ac:dyDescent="0.2">
      <c r="A1480" s="648">
        <v>2017</v>
      </c>
      <c r="B1480" s="648">
        <v>11</v>
      </c>
      <c r="C1480" s="657" t="s">
        <v>222</v>
      </c>
      <c r="D1480" s="648">
        <v>3119</v>
      </c>
      <c r="E1480" s="648" t="s">
        <v>1138</v>
      </c>
      <c r="F1480" s="655">
        <v>5724943</v>
      </c>
      <c r="G1480" s="655">
        <v>104522</v>
      </c>
      <c r="H1480" s="655">
        <v>112792</v>
      </c>
      <c r="I1480" s="655">
        <v>475079</v>
      </c>
      <c r="J1480" s="655">
        <v>506438</v>
      </c>
      <c r="K1480" s="655">
        <v>46462</v>
      </c>
      <c r="L1480" s="655">
        <v>53151</v>
      </c>
      <c r="M1480" s="655">
        <v>0</v>
      </c>
      <c r="N1480" s="655">
        <v>264971</v>
      </c>
      <c r="O1480" s="655">
        <v>2848</v>
      </c>
      <c r="P1480" s="655">
        <v>46914</v>
      </c>
      <c r="Q1480" s="655">
        <v>51500</v>
      </c>
      <c r="R1480" s="655">
        <v>0</v>
      </c>
      <c r="S1480" s="655">
        <v>21946</v>
      </c>
      <c r="T1480" s="655">
        <v>2792</v>
      </c>
      <c r="U1480" s="655">
        <v>207163</v>
      </c>
      <c r="V1480" s="655">
        <v>0</v>
      </c>
      <c r="W1480" s="655">
        <v>133401</v>
      </c>
      <c r="X1480" s="655">
        <v>0</v>
      </c>
      <c r="Y1480" s="655">
        <v>0</v>
      </c>
      <c r="Z1480" s="655">
        <v>0</v>
      </c>
      <c r="AA1480" s="655">
        <v>0</v>
      </c>
      <c r="AB1480" s="655">
        <v>0</v>
      </c>
      <c r="AC1480" s="655">
        <v>0</v>
      </c>
      <c r="AD1480" s="655">
        <v>39199</v>
      </c>
      <c r="AE1480" s="655">
        <v>7715723</v>
      </c>
      <c r="AF1480" s="655">
        <v>151593</v>
      </c>
      <c r="AG1480" s="655">
        <v>389292</v>
      </c>
      <c r="AH1480" s="655">
        <v>0</v>
      </c>
      <c r="AI1480" s="655">
        <v>0</v>
      </c>
      <c r="AJ1480" s="655">
        <v>2123221.9000000004</v>
      </c>
      <c r="AK1480" s="655">
        <v>10379829.9</v>
      </c>
      <c r="AL1480" s="655">
        <v>0</v>
      </c>
      <c r="AM1480" s="655">
        <v>10379829.9</v>
      </c>
    </row>
    <row r="1481" spans="1:39" x14ac:dyDescent="0.2">
      <c r="A1481" s="648">
        <v>2017</v>
      </c>
      <c r="B1481" s="648">
        <v>10</v>
      </c>
      <c r="C1481" s="657" t="s">
        <v>223</v>
      </c>
      <c r="D1481" s="648">
        <v>3141</v>
      </c>
      <c r="E1481" s="648" t="s">
        <v>1139</v>
      </c>
      <c r="F1481" s="655">
        <v>90339290</v>
      </c>
      <c r="G1481" s="655">
        <v>0</v>
      </c>
      <c r="H1481" s="655">
        <v>2155411</v>
      </c>
      <c r="I1481" s="655">
        <v>9373712</v>
      </c>
      <c r="J1481" s="655">
        <v>7461331</v>
      </c>
      <c r="K1481" s="655">
        <v>923900</v>
      </c>
      <c r="L1481" s="655">
        <v>946184</v>
      </c>
      <c r="M1481" s="655">
        <v>4370956</v>
      </c>
      <c r="N1481" s="655">
        <v>4357615</v>
      </c>
      <c r="O1481" s="655">
        <v>0</v>
      </c>
      <c r="P1481" s="655">
        <v>791438</v>
      </c>
      <c r="Q1481" s="655">
        <v>869525</v>
      </c>
      <c r="R1481" s="655">
        <v>0</v>
      </c>
      <c r="S1481" s="655">
        <v>407121</v>
      </c>
      <c r="T1481" s="655">
        <v>47382</v>
      </c>
      <c r="U1481" s="655">
        <v>4417848</v>
      </c>
      <c r="V1481" s="655">
        <v>0</v>
      </c>
      <c r="W1481" s="655">
        <v>2272094</v>
      </c>
      <c r="X1481" s="655">
        <v>0</v>
      </c>
      <c r="Y1481" s="655">
        <v>0</v>
      </c>
      <c r="Z1481" s="655">
        <v>0</v>
      </c>
      <c r="AA1481" s="655">
        <v>0</v>
      </c>
      <c r="AB1481" s="655">
        <v>0</v>
      </c>
      <c r="AC1481" s="655">
        <v>-646</v>
      </c>
      <c r="AD1481" s="655">
        <v>566309</v>
      </c>
      <c r="AE1481" s="655">
        <v>128166852</v>
      </c>
      <c r="AF1481" s="655">
        <v>1272063</v>
      </c>
      <c r="AG1481" s="655">
        <v>7238887</v>
      </c>
      <c r="AH1481" s="655">
        <v>0</v>
      </c>
      <c r="AI1481" s="655">
        <v>0</v>
      </c>
      <c r="AJ1481" s="655">
        <v>9857408.6800000072</v>
      </c>
      <c r="AK1481" s="655">
        <v>146535210.68000001</v>
      </c>
      <c r="AL1481" s="655">
        <v>0</v>
      </c>
      <c r="AM1481" s="655">
        <v>146535210.68000001</v>
      </c>
    </row>
    <row r="1482" spans="1:39" x14ac:dyDescent="0.2">
      <c r="A1482" s="648">
        <v>2017</v>
      </c>
      <c r="B1482" s="648">
        <v>7</v>
      </c>
      <c r="C1482" s="657" t="s">
        <v>224</v>
      </c>
      <c r="D1482" s="648">
        <v>3150</v>
      </c>
      <c r="E1482" s="648" t="s">
        <v>1140</v>
      </c>
      <c r="F1482" s="655">
        <v>7168533</v>
      </c>
      <c r="G1482" s="655">
        <v>0</v>
      </c>
      <c r="H1482" s="655">
        <v>230484</v>
      </c>
      <c r="I1482" s="655">
        <v>925155</v>
      </c>
      <c r="J1482" s="655">
        <v>627812</v>
      </c>
      <c r="K1482" s="655">
        <v>73044</v>
      </c>
      <c r="L1482" s="655">
        <v>78771</v>
      </c>
      <c r="M1482" s="655">
        <v>347472</v>
      </c>
      <c r="N1482" s="655">
        <v>359602</v>
      </c>
      <c r="O1482" s="655">
        <v>0</v>
      </c>
      <c r="P1482" s="655">
        <v>59165</v>
      </c>
      <c r="Q1482" s="655">
        <v>66071</v>
      </c>
      <c r="R1482" s="655">
        <v>0</v>
      </c>
      <c r="S1482" s="655">
        <v>45598</v>
      </c>
      <c r="T1482" s="655">
        <v>5240</v>
      </c>
      <c r="U1482" s="655">
        <v>350547</v>
      </c>
      <c r="V1482" s="655">
        <v>0</v>
      </c>
      <c r="W1482" s="655">
        <v>88151</v>
      </c>
      <c r="X1482" s="655">
        <v>0</v>
      </c>
      <c r="Y1482" s="655">
        <v>0</v>
      </c>
      <c r="Z1482" s="655">
        <v>0</v>
      </c>
      <c r="AA1482" s="655">
        <v>0</v>
      </c>
      <c r="AB1482" s="655">
        <v>0</v>
      </c>
      <c r="AC1482" s="655">
        <v>0</v>
      </c>
      <c r="AD1482" s="655">
        <v>58003</v>
      </c>
      <c r="AE1482" s="655">
        <v>10367642</v>
      </c>
      <c r="AF1482" s="655">
        <v>105456</v>
      </c>
      <c r="AG1482" s="655">
        <v>513769</v>
      </c>
      <c r="AH1482" s="655">
        <v>0</v>
      </c>
      <c r="AI1482" s="655">
        <v>0</v>
      </c>
      <c r="AJ1482" s="655">
        <v>4069931.8900000006</v>
      </c>
      <c r="AK1482" s="655">
        <v>15056798.890000001</v>
      </c>
      <c r="AL1482" s="655">
        <v>0</v>
      </c>
      <c r="AM1482" s="655">
        <v>15056798.890000001</v>
      </c>
    </row>
    <row r="1483" spans="1:39" x14ac:dyDescent="0.2">
      <c r="A1483" s="648">
        <v>2017</v>
      </c>
      <c r="B1483" s="648">
        <v>10</v>
      </c>
      <c r="C1483" s="657" t="s">
        <v>225</v>
      </c>
      <c r="D1483" s="648">
        <v>3154</v>
      </c>
      <c r="E1483" s="648" t="s">
        <v>1141</v>
      </c>
      <c r="F1483" s="655">
        <v>3475434</v>
      </c>
      <c r="G1483" s="655">
        <v>91647</v>
      </c>
      <c r="H1483" s="655">
        <v>123746</v>
      </c>
      <c r="I1483" s="655">
        <v>341677</v>
      </c>
      <c r="J1483" s="655">
        <v>289472</v>
      </c>
      <c r="K1483" s="655">
        <v>33794</v>
      </c>
      <c r="L1483" s="655">
        <v>28261</v>
      </c>
      <c r="M1483" s="655">
        <v>171317</v>
      </c>
      <c r="N1483" s="655">
        <v>167244</v>
      </c>
      <c r="O1483" s="655">
        <v>20364</v>
      </c>
      <c r="P1483" s="655">
        <v>28416</v>
      </c>
      <c r="Q1483" s="655">
        <v>31219</v>
      </c>
      <c r="R1483" s="655">
        <v>0</v>
      </c>
      <c r="S1483" s="655">
        <v>15976</v>
      </c>
      <c r="T1483" s="655">
        <v>1857</v>
      </c>
      <c r="U1483" s="655">
        <v>122247</v>
      </c>
      <c r="V1483" s="655">
        <v>0</v>
      </c>
      <c r="W1483" s="655">
        <v>92669</v>
      </c>
      <c r="X1483" s="655">
        <v>0</v>
      </c>
      <c r="Y1483" s="655">
        <v>0</v>
      </c>
      <c r="Z1483" s="655">
        <v>0</v>
      </c>
      <c r="AA1483" s="655">
        <v>0</v>
      </c>
      <c r="AB1483" s="655">
        <v>0</v>
      </c>
      <c r="AC1483" s="655">
        <v>0</v>
      </c>
      <c r="AD1483" s="655">
        <v>36090</v>
      </c>
      <c r="AE1483" s="655">
        <v>4999250</v>
      </c>
      <c r="AF1483" s="655">
        <v>121934</v>
      </c>
      <c r="AG1483" s="655">
        <v>256758</v>
      </c>
      <c r="AH1483" s="655">
        <v>0</v>
      </c>
      <c r="AI1483" s="655">
        <v>0</v>
      </c>
      <c r="AJ1483" s="655">
        <v>627172</v>
      </c>
      <c r="AK1483" s="655">
        <v>6005114</v>
      </c>
      <c r="AL1483" s="655">
        <v>0</v>
      </c>
      <c r="AM1483" s="655">
        <v>6005114</v>
      </c>
    </row>
    <row r="1484" spans="1:39" x14ac:dyDescent="0.2">
      <c r="A1484" s="648">
        <v>2017</v>
      </c>
      <c r="B1484" s="648">
        <v>13</v>
      </c>
      <c r="C1484" s="657" t="s">
        <v>1484</v>
      </c>
      <c r="D1484" s="648">
        <v>3168</v>
      </c>
      <c r="E1484" s="648" t="s">
        <v>1481</v>
      </c>
      <c r="F1484" s="655">
        <v>4587366</v>
      </c>
      <c r="G1484" s="655">
        <v>32105</v>
      </c>
      <c r="H1484" s="655">
        <v>175056</v>
      </c>
      <c r="I1484" s="655">
        <v>562596</v>
      </c>
      <c r="J1484" s="655">
        <v>424612</v>
      </c>
      <c r="K1484" s="655">
        <v>48636</v>
      </c>
      <c r="L1484" s="655">
        <v>43639</v>
      </c>
      <c r="M1484" s="655">
        <v>0</v>
      </c>
      <c r="N1484" s="655">
        <v>222975</v>
      </c>
      <c r="O1484" s="655">
        <v>9275</v>
      </c>
      <c r="P1484" s="655">
        <v>37535</v>
      </c>
      <c r="Q1484" s="655">
        <v>41509</v>
      </c>
      <c r="R1484" s="655">
        <v>0</v>
      </c>
      <c r="S1484" s="655">
        <v>22895</v>
      </c>
      <c r="T1484" s="655">
        <v>2440</v>
      </c>
      <c r="U1484" s="655">
        <v>63172</v>
      </c>
      <c r="V1484" s="655">
        <v>0</v>
      </c>
      <c r="W1484" s="655">
        <v>86742</v>
      </c>
      <c r="X1484" s="655">
        <v>0</v>
      </c>
      <c r="Y1484" s="655">
        <v>0</v>
      </c>
      <c r="Z1484" s="655">
        <v>0</v>
      </c>
      <c r="AA1484" s="655">
        <v>0</v>
      </c>
      <c r="AB1484" s="655">
        <v>0</v>
      </c>
      <c r="AC1484" s="655">
        <v>0</v>
      </c>
      <c r="AD1484" s="655">
        <v>52558</v>
      </c>
      <c r="AE1484" s="655">
        <v>6307995</v>
      </c>
      <c r="AF1484" s="655">
        <v>112047</v>
      </c>
      <c r="AG1484" s="655">
        <v>390345</v>
      </c>
      <c r="AH1484" s="655">
        <v>0</v>
      </c>
      <c r="AI1484" s="655">
        <v>0</v>
      </c>
      <c r="AJ1484" s="655">
        <v>2274512.92</v>
      </c>
      <c r="AK1484" s="655">
        <v>9084899.9199999999</v>
      </c>
      <c r="AL1484" s="655">
        <v>0</v>
      </c>
      <c r="AM1484" s="655">
        <v>9084899.9199999999</v>
      </c>
    </row>
    <row r="1485" spans="1:39" x14ac:dyDescent="0.2">
      <c r="A1485" s="648">
        <v>2017</v>
      </c>
      <c r="B1485" s="648">
        <v>7</v>
      </c>
      <c r="C1485" s="657" t="s">
        <v>226</v>
      </c>
      <c r="D1485" s="648">
        <v>3186</v>
      </c>
      <c r="E1485" s="648" t="s">
        <v>1142</v>
      </c>
      <c r="F1485" s="655">
        <v>2507083</v>
      </c>
      <c r="G1485" s="655">
        <v>0</v>
      </c>
      <c r="H1485" s="655">
        <v>18338</v>
      </c>
      <c r="I1485" s="655">
        <v>244776</v>
      </c>
      <c r="J1485" s="655">
        <v>209747</v>
      </c>
      <c r="K1485" s="655">
        <v>20042</v>
      </c>
      <c r="L1485" s="655">
        <v>17632</v>
      </c>
      <c r="M1485" s="655">
        <v>0</v>
      </c>
      <c r="N1485" s="655">
        <v>120981</v>
      </c>
      <c r="O1485" s="655">
        <v>0</v>
      </c>
      <c r="P1485" s="655">
        <v>20987</v>
      </c>
      <c r="Q1485" s="655">
        <v>23437</v>
      </c>
      <c r="R1485" s="655">
        <v>0</v>
      </c>
      <c r="S1485" s="655">
        <v>15388</v>
      </c>
      <c r="T1485" s="655">
        <v>1766</v>
      </c>
      <c r="U1485" s="655">
        <v>38692</v>
      </c>
      <c r="V1485" s="655">
        <v>0</v>
      </c>
      <c r="W1485" s="655">
        <v>87324</v>
      </c>
      <c r="X1485" s="655">
        <v>0</v>
      </c>
      <c r="Y1485" s="655">
        <v>0</v>
      </c>
      <c r="Z1485" s="655">
        <v>0</v>
      </c>
      <c r="AA1485" s="655">
        <v>0</v>
      </c>
      <c r="AB1485" s="655">
        <v>0</v>
      </c>
      <c r="AC1485" s="655">
        <v>0</v>
      </c>
      <c r="AD1485" s="655">
        <v>18599</v>
      </c>
      <c r="AE1485" s="655">
        <v>3307594</v>
      </c>
      <c r="AF1485" s="655">
        <v>92274</v>
      </c>
      <c r="AG1485" s="655">
        <v>194875</v>
      </c>
      <c r="AH1485" s="655">
        <v>0</v>
      </c>
      <c r="AI1485" s="655">
        <v>0</v>
      </c>
      <c r="AJ1485" s="655">
        <v>2746087.3</v>
      </c>
      <c r="AK1485" s="655">
        <v>6340830.2999999998</v>
      </c>
      <c r="AL1485" s="655">
        <v>0</v>
      </c>
      <c r="AM1485" s="655">
        <v>6340830.2999999998</v>
      </c>
    </row>
    <row r="1486" spans="1:39" x14ac:dyDescent="0.2">
      <c r="A1486" s="648">
        <v>2017</v>
      </c>
      <c r="B1486" s="648">
        <v>5</v>
      </c>
      <c r="C1486" s="657" t="s">
        <v>227</v>
      </c>
      <c r="D1486" s="648">
        <v>3195</v>
      </c>
      <c r="E1486" s="648" t="s">
        <v>1638</v>
      </c>
      <c r="F1486" s="655">
        <v>8656502</v>
      </c>
      <c r="G1486" s="655">
        <v>0</v>
      </c>
      <c r="H1486" s="655">
        <v>303051</v>
      </c>
      <c r="I1486" s="655">
        <v>1082729</v>
      </c>
      <c r="J1486" s="655">
        <v>750343</v>
      </c>
      <c r="K1486" s="655">
        <v>85370</v>
      </c>
      <c r="L1486" s="655">
        <v>92436</v>
      </c>
      <c r="M1486" s="655">
        <v>415252</v>
      </c>
      <c r="N1486" s="655">
        <v>437922</v>
      </c>
      <c r="O1486" s="655">
        <v>0</v>
      </c>
      <c r="P1486" s="655">
        <v>70510</v>
      </c>
      <c r="Q1486" s="655">
        <v>79161</v>
      </c>
      <c r="R1486" s="655">
        <v>1277</v>
      </c>
      <c r="S1486" s="655">
        <v>46599</v>
      </c>
      <c r="T1486" s="655">
        <v>5553</v>
      </c>
      <c r="U1486" s="655">
        <v>423295</v>
      </c>
      <c r="V1486" s="655">
        <v>208041</v>
      </c>
      <c r="W1486" s="655">
        <v>87198</v>
      </c>
      <c r="X1486" s="655">
        <v>0</v>
      </c>
      <c r="Y1486" s="655">
        <v>0</v>
      </c>
      <c r="Z1486" s="655">
        <v>0</v>
      </c>
      <c r="AA1486" s="655">
        <v>0</v>
      </c>
      <c r="AB1486" s="655">
        <v>0</v>
      </c>
      <c r="AC1486" s="655">
        <v>0</v>
      </c>
      <c r="AD1486" s="655">
        <v>92445</v>
      </c>
      <c r="AE1486" s="655">
        <v>12652794</v>
      </c>
      <c r="AF1486" s="655">
        <v>247163</v>
      </c>
      <c r="AG1486" s="655">
        <v>680141</v>
      </c>
      <c r="AH1486" s="655">
        <v>0</v>
      </c>
      <c r="AI1486" s="655">
        <v>0</v>
      </c>
      <c r="AJ1486" s="655">
        <v>-208040.86999999918</v>
      </c>
      <c r="AK1486" s="655">
        <v>13372057.130000001</v>
      </c>
      <c r="AL1486" s="655">
        <v>0</v>
      </c>
      <c r="AM1486" s="655">
        <v>13372057.130000001</v>
      </c>
    </row>
    <row r="1487" spans="1:39" x14ac:dyDescent="0.2">
      <c r="A1487" s="648">
        <v>2017</v>
      </c>
      <c r="B1487" s="648">
        <v>7</v>
      </c>
      <c r="C1487" s="657" t="s">
        <v>228</v>
      </c>
      <c r="D1487" s="648">
        <v>3204</v>
      </c>
      <c r="E1487" s="648" t="s">
        <v>1146</v>
      </c>
      <c r="F1487" s="655">
        <v>5829080</v>
      </c>
      <c r="G1487" s="655">
        <v>0</v>
      </c>
      <c r="H1487" s="655">
        <v>142893</v>
      </c>
      <c r="I1487" s="655">
        <v>595629</v>
      </c>
      <c r="J1487" s="655">
        <v>455519</v>
      </c>
      <c r="K1487" s="655">
        <v>49350</v>
      </c>
      <c r="L1487" s="655">
        <v>60413</v>
      </c>
      <c r="M1487" s="655">
        <v>0</v>
      </c>
      <c r="N1487" s="655">
        <v>285666</v>
      </c>
      <c r="O1487" s="655">
        <v>0</v>
      </c>
      <c r="P1487" s="655">
        <v>55260</v>
      </c>
      <c r="Q1487" s="655">
        <v>61711</v>
      </c>
      <c r="R1487" s="655">
        <v>0</v>
      </c>
      <c r="S1487" s="655">
        <v>36222</v>
      </c>
      <c r="T1487" s="655">
        <v>4162</v>
      </c>
      <c r="U1487" s="655">
        <v>44617</v>
      </c>
      <c r="V1487" s="655">
        <v>0</v>
      </c>
      <c r="W1487" s="655">
        <v>102061</v>
      </c>
      <c r="X1487" s="655">
        <v>0</v>
      </c>
      <c r="Y1487" s="655">
        <v>0</v>
      </c>
      <c r="Z1487" s="655">
        <v>0</v>
      </c>
      <c r="AA1487" s="655">
        <v>0</v>
      </c>
      <c r="AB1487" s="655">
        <v>0</v>
      </c>
      <c r="AC1487" s="655">
        <v>0</v>
      </c>
      <c r="AD1487" s="655">
        <v>47879</v>
      </c>
      <c r="AE1487" s="655">
        <v>7674704</v>
      </c>
      <c r="AF1487" s="655">
        <v>0</v>
      </c>
      <c r="AG1487" s="655">
        <v>0</v>
      </c>
      <c r="AH1487" s="655">
        <v>0</v>
      </c>
      <c r="AI1487" s="655">
        <v>0</v>
      </c>
      <c r="AJ1487" s="655">
        <v>2665234.7699999996</v>
      </c>
      <c r="AK1487" s="655">
        <v>10339938.77</v>
      </c>
      <c r="AL1487" s="655">
        <v>0</v>
      </c>
      <c r="AM1487" s="655">
        <v>10339938.77</v>
      </c>
    </row>
    <row r="1488" spans="1:39" x14ac:dyDescent="0.2">
      <c r="A1488" s="648">
        <v>2017</v>
      </c>
      <c r="B1488" s="648">
        <v>11</v>
      </c>
      <c r="C1488" s="657" t="s">
        <v>229</v>
      </c>
      <c r="D1488" s="648">
        <v>3231</v>
      </c>
      <c r="E1488" s="648" t="s">
        <v>1147</v>
      </c>
      <c r="F1488" s="655">
        <v>44529455</v>
      </c>
      <c r="G1488" s="655">
        <v>0</v>
      </c>
      <c r="H1488" s="655">
        <v>823565</v>
      </c>
      <c r="I1488" s="655">
        <v>3697024</v>
      </c>
      <c r="J1488" s="655">
        <v>3569991</v>
      </c>
      <c r="K1488" s="655">
        <v>395975</v>
      </c>
      <c r="L1488" s="655">
        <v>387192</v>
      </c>
      <c r="M1488" s="655">
        <v>2160060</v>
      </c>
      <c r="N1488" s="655">
        <v>2061058</v>
      </c>
      <c r="O1488" s="655">
        <v>0</v>
      </c>
      <c r="P1488" s="655">
        <v>380474</v>
      </c>
      <c r="Q1488" s="655">
        <v>417672</v>
      </c>
      <c r="R1488" s="655">
        <v>0</v>
      </c>
      <c r="S1488" s="655">
        <v>169828</v>
      </c>
      <c r="T1488" s="655">
        <v>21585</v>
      </c>
      <c r="U1488" s="655">
        <v>1437144</v>
      </c>
      <c r="V1488" s="655">
        <v>0</v>
      </c>
      <c r="W1488" s="655">
        <v>1056669</v>
      </c>
      <c r="X1488" s="655">
        <v>0</v>
      </c>
      <c r="Y1488" s="655">
        <v>0</v>
      </c>
      <c r="Z1488" s="655">
        <v>0</v>
      </c>
      <c r="AA1488" s="655">
        <v>0</v>
      </c>
      <c r="AB1488" s="655">
        <v>0</v>
      </c>
      <c r="AC1488" s="655">
        <v>-11087</v>
      </c>
      <c r="AD1488" s="655">
        <v>209696</v>
      </c>
      <c r="AE1488" s="655">
        <v>60886909</v>
      </c>
      <c r="AF1488" s="655">
        <v>870012</v>
      </c>
      <c r="AG1488" s="655">
        <v>3249315</v>
      </c>
      <c r="AH1488" s="655">
        <v>0</v>
      </c>
      <c r="AI1488" s="655">
        <v>0</v>
      </c>
      <c r="AJ1488" s="655">
        <v>9368422.5600000024</v>
      </c>
      <c r="AK1488" s="655">
        <v>74374658.560000002</v>
      </c>
      <c r="AL1488" s="655">
        <v>0</v>
      </c>
      <c r="AM1488" s="655">
        <v>74374658.560000002</v>
      </c>
    </row>
    <row r="1489" spans="1:39" x14ac:dyDescent="0.2">
      <c r="A1489" s="648">
        <v>2017</v>
      </c>
      <c r="B1489" s="648">
        <v>15</v>
      </c>
      <c r="C1489" s="657" t="s">
        <v>230</v>
      </c>
      <c r="D1489" s="648">
        <v>3312</v>
      </c>
      <c r="E1489" s="648" t="s">
        <v>1148</v>
      </c>
      <c r="F1489" s="655">
        <v>12598697</v>
      </c>
      <c r="G1489" s="655">
        <v>185893</v>
      </c>
      <c r="H1489" s="655">
        <v>321654</v>
      </c>
      <c r="I1489" s="655">
        <v>2172723</v>
      </c>
      <c r="J1489" s="655">
        <v>1070334</v>
      </c>
      <c r="K1489" s="655">
        <v>127523</v>
      </c>
      <c r="L1489" s="655">
        <v>137577</v>
      </c>
      <c r="M1489" s="655">
        <v>0</v>
      </c>
      <c r="N1489" s="655">
        <v>643434</v>
      </c>
      <c r="O1489" s="655">
        <v>13571</v>
      </c>
      <c r="P1489" s="655">
        <v>106776</v>
      </c>
      <c r="Q1489" s="655">
        <v>117295</v>
      </c>
      <c r="R1489" s="655">
        <v>0</v>
      </c>
      <c r="S1489" s="655">
        <v>65078</v>
      </c>
      <c r="T1489" s="655">
        <v>7038</v>
      </c>
      <c r="U1489" s="655">
        <v>585945</v>
      </c>
      <c r="V1489" s="655">
        <v>0</v>
      </c>
      <c r="W1489" s="655">
        <v>238835</v>
      </c>
      <c r="X1489" s="655">
        <v>0</v>
      </c>
      <c r="Y1489" s="655">
        <v>0</v>
      </c>
      <c r="Z1489" s="655">
        <v>0</v>
      </c>
      <c r="AA1489" s="655">
        <v>0</v>
      </c>
      <c r="AB1489" s="655">
        <v>0</v>
      </c>
      <c r="AC1489" s="655">
        <v>0</v>
      </c>
      <c r="AD1489" s="655">
        <v>121877</v>
      </c>
      <c r="AE1489" s="655">
        <v>18270496</v>
      </c>
      <c r="AF1489" s="655">
        <v>290004</v>
      </c>
      <c r="AG1489" s="655">
        <v>780627</v>
      </c>
      <c r="AH1489" s="655">
        <v>0</v>
      </c>
      <c r="AI1489" s="655">
        <v>0</v>
      </c>
      <c r="AJ1489" s="655">
        <v>6656291.4499999993</v>
      </c>
      <c r="AK1489" s="655">
        <v>25997418.449999999</v>
      </c>
      <c r="AL1489" s="655">
        <v>0</v>
      </c>
      <c r="AM1489" s="655">
        <v>25997418.449999999</v>
      </c>
    </row>
    <row r="1490" spans="1:39" x14ac:dyDescent="0.2">
      <c r="A1490" s="648">
        <v>2017</v>
      </c>
      <c r="B1490" s="648">
        <v>15</v>
      </c>
      <c r="C1490" s="657" t="s">
        <v>231</v>
      </c>
      <c r="D1490" s="648">
        <v>3330</v>
      </c>
      <c r="E1490" s="648" t="s">
        <v>1149</v>
      </c>
      <c r="F1490" s="655">
        <v>2135807</v>
      </c>
      <c r="G1490" s="655">
        <v>85649</v>
      </c>
      <c r="H1490" s="655">
        <v>162339</v>
      </c>
      <c r="I1490" s="655">
        <v>213382</v>
      </c>
      <c r="J1490" s="655">
        <v>202601</v>
      </c>
      <c r="K1490" s="655">
        <v>21151</v>
      </c>
      <c r="L1490" s="655">
        <v>19300</v>
      </c>
      <c r="M1490" s="655">
        <v>0</v>
      </c>
      <c r="N1490" s="655">
        <v>101651</v>
      </c>
      <c r="O1490" s="655">
        <v>3488</v>
      </c>
      <c r="P1490" s="655">
        <v>17518</v>
      </c>
      <c r="Q1490" s="655">
        <v>19243</v>
      </c>
      <c r="R1490" s="655">
        <v>0</v>
      </c>
      <c r="S1490" s="655">
        <v>10528</v>
      </c>
      <c r="T1490" s="655">
        <v>1139</v>
      </c>
      <c r="U1490" s="655">
        <v>25834</v>
      </c>
      <c r="V1490" s="655">
        <v>0</v>
      </c>
      <c r="W1490" s="655">
        <v>179809</v>
      </c>
      <c r="X1490" s="655">
        <v>0</v>
      </c>
      <c r="Y1490" s="655">
        <v>0</v>
      </c>
      <c r="Z1490" s="655">
        <v>0</v>
      </c>
      <c r="AA1490" s="655">
        <v>0</v>
      </c>
      <c r="AB1490" s="655">
        <v>0</v>
      </c>
      <c r="AC1490" s="655">
        <v>0</v>
      </c>
      <c r="AD1490" s="655">
        <v>20751</v>
      </c>
      <c r="AE1490" s="655">
        <v>3178688</v>
      </c>
      <c r="AF1490" s="655">
        <v>75797</v>
      </c>
      <c r="AG1490" s="655">
        <v>186114</v>
      </c>
      <c r="AH1490" s="655">
        <v>0</v>
      </c>
      <c r="AI1490" s="655">
        <v>0</v>
      </c>
      <c r="AJ1490" s="655">
        <v>997419.74000000022</v>
      </c>
      <c r="AK1490" s="655">
        <v>4438018.74</v>
      </c>
      <c r="AL1490" s="655">
        <v>0</v>
      </c>
      <c r="AM1490" s="655">
        <v>4438018.74</v>
      </c>
    </row>
    <row r="1491" spans="1:39" x14ac:dyDescent="0.2">
      <c r="A1491" s="648">
        <v>2017</v>
      </c>
      <c r="B1491" s="648">
        <v>12</v>
      </c>
      <c r="C1491" s="657" t="s">
        <v>232</v>
      </c>
      <c r="D1491" s="648">
        <v>3348</v>
      </c>
      <c r="E1491" s="648" t="s">
        <v>1150</v>
      </c>
      <c r="F1491" s="655">
        <v>3241235</v>
      </c>
      <c r="G1491" s="655">
        <v>0</v>
      </c>
      <c r="H1491" s="655">
        <v>111201</v>
      </c>
      <c r="I1491" s="655">
        <v>446088</v>
      </c>
      <c r="J1491" s="655">
        <v>294142</v>
      </c>
      <c r="K1491" s="655">
        <v>34112</v>
      </c>
      <c r="L1491" s="655">
        <v>37196</v>
      </c>
      <c r="M1491" s="655">
        <v>0</v>
      </c>
      <c r="N1491" s="655">
        <v>163225</v>
      </c>
      <c r="O1491" s="655">
        <v>0</v>
      </c>
      <c r="P1491" s="655">
        <v>26346</v>
      </c>
      <c r="Q1491" s="655">
        <v>29568</v>
      </c>
      <c r="R1491" s="655">
        <v>0</v>
      </c>
      <c r="S1491" s="655">
        <v>16399</v>
      </c>
      <c r="T1491" s="655">
        <v>1961</v>
      </c>
      <c r="U1491" s="655">
        <v>91848</v>
      </c>
      <c r="V1491" s="655">
        <v>0</v>
      </c>
      <c r="W1491" s="655">
        <v>51568</v>
      </c>
      <c r="X1491" s="655">
        <v>0</v>
      </c>
      <c r="Y1491" s="655">
        <v>0</v>
      </c>
      <c r="Z1491" s="655">
        <v>0</v>
      </c>
      <c r="AA1491" s="655">
        <v>0</v>
      </c>
      <c r="AB1491" s="655">
        <v>0</v>
      </c>
      <c r="AC1491" s="655">
        <v>0</v>
      </c>
      <c r="AD1491" s="655">
        <v>25389</v>
      </c>
      <c r="AE1491" s="655">
        <v>4519500</v>
      </c>
      <c r="AF1491" s="655">
        <v>0</v>
      </c>
      <c r="AG1491" s="655">
        <v>254599</v>
      </c>
      <c r="AH1491" s="655">
        <v>0</v>
      </c>
      <c r="AI1491" s="655">
        <v>0</v>
      </c>
      <c r="AJ1491" s="655">
        <v>441067</v>
      </c>
      <c r="AK1491" s="655">
        <v>5215166</v>
      </c>
      <c r="AL1491" s="655">
        <v>0</v>
      </c>
      <c r="AM1491" s="655">
        <v>5215166</v>
      </c>
    </row>
    <row r="1492" spans="1:39" x14ac:dyDescent="0.2">
      <c r="A1492" s="648">
        <v>2017</v>
      </c>
      <c r="B1492" s="648">
        <v>11</v>
      </c>
      <c r="C1492" s="657" t="s">
        <v>233</v>
      </c>
      <c r="D1492" s="648">
        <v>3375</v>
      </c>
      <c r="E1492" s="648" t="s">
        <v>1151</v>
      </c>
      <c r="F1492" s="655">
        <v>11710230</v>
      </c>
      <c r="G1492" s="655">
        <v>56125</v>
      </c>
      <c r="H1492" s="655">
        <v>319288</v>
      </c>
      <c r="I1492" s="655">
        <v>1409485</v>
      </c>
      <c r="J1492" s="655">
        <v>1014638</v>
      </c>
      <c r="K1492" s="655">
        <v>108414</v>
      </c>
      <c r="L1492" s="655">
        <v>119945</v>
      </c>
      <c r="M1492" s="655">
        <v>0</v>
      </c>
      <c r="N1492" s="655">
        <v>560698</v>
      </c>
      <c r="O1492" s="655">
        <v>2405</v>
      </c>
      <c r="P1492" s="655">
        <v>96732</v>
      </c>
      <c r="Q1492" s="655">
        <v>106190</v>
      </c>
      <c r="R1492" s="655">
        <v>0</v>
      </c>
      <c r="S1492" s="655">
        <v>46201</v>
      </c>
      <c r="T1492" s="655">
        <v>5872</v>
      </c>
      <c r="U1492" s="655">
        <v>366483</v>
      </c>
      <c r="V1492" s="655">
        <v>0</v>
      </c>
      <c r="W1492" s="655">
        <v>140361</v>
      </c>
      <c r="X1492" s="655">
        <v>0</v>
      </c>
      <c r="Y1492" s="655">
        <v>0</v>
      </c>
      <c r="Z1492" s="655">
        <v>0</v>
      </c>
      <c r="AA1492" s="655">
        <v>0</v>
      </c>
      <c r="AB1492" s="655">
        <v>0</v>
      </c>
      <c r="AC1492" s="655">
        <v>-8380</v>
      </c>
      <c r="AD1492" s="655">
        <v>104554</v>
      </c>
      <c r="AE1492" s="655">
        <v>15950133</v>
      </c>
      <c r="AF1492" s="655">
        <v>283413</v>
      </c>
      <c r="AG1492" s="655">
        <v>757165</v>
      </c>
      <c r="AH1492" s="655">
        <v>0</v>
      </c>
      <c r="AI1492" s="655">
        <v>0</v>
      </c>
      <c r="AJ1492" s="655">
        <v>4223877.8100000024</v>
      </c>
      <c r="AK1492" s="655">
        <v>21214588.810000002</v>
      </c>
      <c r="AL1492" s="655">
        <v>0</v>
      </c>
      <c r="AM1492" s="655">
        <v>21214588.810000002</v>
      </c>
    </row>
    <row r="1493" spans="1:39" x14ac:dyDescent="0.2">
      <c r="A1493" s="648">
        <v>2017</v>
      </c>
      <c r="B1493" s="648">
        <v>7</v>
      </c>
      <c r="C1493" s="657" t="s">
        <v>234</v>
      </c>
      <c r="D1493" s="648">
        <v>3420</v>
      </c>
      <c r="E1493" s="648" t="s">
        <v>1152</v>
      </c>
      <c r="F1493" s="655">
        <v>4097625</v>
      </c>
      <c r="G1493" s="655">
        <v>0</v>
      </c>
      <c r="H1493" s="655">
        <v>45221</v>
      </c>
      <c r="I1493" s="655">
        <v>538287</v>
      </c>
      <c r="J1493" s="655">
        <v>375675</v>
      </c>
      <c r="K1493" s="655">
        <v>38521</v>
      </c>
      <c r="L1493" s="655">
        <v>44184</v>
      </c>
      <c r="M1493" s="655">
        <v>0</v>
      </c>
      <c r="N1493" s="655">
        <v>206130</v>
      </c>
      <c r="O1493" s="655">
        <v>0</v>
      </c>
      <c r="P1493" s="655">
        <v>33731</v>
      </c>
      <c r="Q1493" s="655">
        <v>37668</v>
      </c>
      <c r="R1493" s="655">
        <v>0</v>
      </c>
      <c r="S1493" s="655">
        <v>26137</v>
      </c>
      <c r="T1493" s="655">
        <v>3003</v>
      </c>
      <c r="U1493" s="655">
        <v>108202</v>
      </c>
      <c r="V1493" s="655">
        <v>0</v>
      </c>
      <c r="W1493" s="655">
        <v>46893</v>
      </c>
      <c r="X1493" s="655">
        <v>0</v>
      </c>
      <c r="Y1493" s="655">
        <v>0</v>
      </c>
      <c r="Z1493" s="655">
        <v>0</v>
      </c>
      <c r="AA1493" s="655">
        <v>0</v>
      </c>
      <c r="AB1493" s="655">
        <v>0</v>
      </c>
      <c r="AC1493" s="655">
        <v>0</v>
      </c>
      <c r="AD1493" s="655">
        <v>38433</v>
      </c>
      <c r="AE1493" s="655">
        <v>5562844</v>
      </c>
      <c r="AF1493" s="655">
        <v>105456</v>
      </c>
      <c r="AG1493" s="655">
        <v>326704</v>
      </c>
      <c r="AH1493" s="655">
        <v>0</v>
      </c>
      <c r="AI1493" s="655">
        <v>0</v>
      </c>
      <c r="AJ1493" s="655">
        <v>1968830.2599999998</v>
      </c>
      <c r="AK1493" s="655">
        <v>7963834.2599999998</v>
      </c>
      <c r="AL1493" s="655">
        <v>0</v>
      </c>
      <c r="AM1493" s="655">
        <v>7963834.2599999998</v>
      </c>
    </row>
    <row r="1494" spans="1:39" x14ac:dyDescent="0.2">
      <c r="A1494" s="648">
        <v>2017</v>
      </c>
      <c r="B1494" s="648">
        <v>13</v>
      </c>
      <c r="C1494" s="657" t="s">
        <v>235</v>
      </c>
      <c r="D1494" s="648">
        <v>3465</v>
      </c>
      <c r="E1494" s="648" t="s">
        <v>1153</v>
      </c>
      <c r="F1494" s="655">
        <v>1876458</v>
      </c>
      <c r="G1494" s="655">
        <v>65612</v>
      </c>
      <c r="H1494" s="655">
        <v>64704</v>
      </c>
      <c r="I1494" s="655">
        <v>290268</v>
      </c>
      <c r="J1494" s="655">
        <v>189737</v>
      </c>
      <c r="K1494" s="655">
        <v>20404</v>
      </c>
      <c r="L1494" s="655">
        <v>20434</v>
      </c>
      <c r="M1494" s="655">
        <v>0</v>
      </c>
      <c r="N1494" s="655">
        <v>95249</v>
      </c>
      <c r="O1494" s="655">
        <v>10995</v>
      </c>
      <c r="P1494" s="655">
        <v>15370</v>
      </c>
      <c r="Q1494" s="655">
        <v>16997</v>
      </c>
      <c r="R1494" s="655">
        <v>0</v>
      </c>
      <c r="S1494" s="655">
        <v>10105</v>
      </c>
      <c r="T1494" s="655">
        <v>1073</v>
      </c>
      <c r="U1494" s="655">
        <v>40165</v>
      </c>
      <c r="V1494" s="655">
        <v>0</v>
      </c>
      <c r="W1494" s="655">
        <v>100183</v>
      </c>
      <c r="X1494" s="655">
        <v>0</v>
      </c>
      <c r="Y1494" s="655">
        <v>0</v>
      </c>
      <c r="Z1494" s="655">
        <v>0</v>
      </c>
      <c r="AA1494" s="655">
        <v>0</v>
      </c>
      <c r="AB1494" s="655">
        <v>0</v>
      </c>
      <c r="AC1494" s="655">
        <v>0</v>
      </c>
      <c r="AD1494" s="655">
        <v>19706</v>
      </c>
      <c r="AE1494" s="655">
        <v>2798048</v>
      </c>
      <c r="AF1494" s="655">
        <v>65910</v>
      </c>
      <c r="AG1494" s="655">
        <v>96344</v>
      </c>
      <c r="AH1494" s="655">
        <v>0</v>
      </c>
      <c r="AI1494" s="655">
        <v>0</v>
      </c>
      <c r="AJ1494" s="655">
        <v>1584269.8900000006</v>
      </c>
      <c r="AK1494" s="655">
        <v>4544571.8900000006</v>
      </c>
      <c r="AL1494" s="655">
        <v>0</v>
      </c>
      <c r="AM1494" s="655">
        <v>4544571.8900000006</v>
      </c>
    </row>
    <row r="1495" spans="1:39" x14ac:dyDescent="0.2">
      <c r="A1495" s="648">
        <v>2017</v>
      </c>
      <c r="B1495" s="648">
        <v>5</v>
      </c>
      <c r="C1495" s="657" t="s">
        <v>236</v>
      </c>
      <c r="D1495" s="648">
        <v>3537</v>
      </c>
      <c r="E1495" s="648" t="s">
        <v>1154</v>
      </c>
      <c r="F1495" s="655">
        <v>2084074</v>
      </c>
      <c r="G1495" s="655">
        <v>3830</v>
      </c>
      <c r="H1495" s="655">
        <v>198363</v>
      </c>
      <c r="I1495" s="655">
        <v>310700</v>
      </c>
      <c r="J1495" s="655">
        <v>200885</v>
      </c>
      <c r="K1495" s="655">
        <v>21897</v>
      </c>
      <c r="L1495" s="655">
        <v>20559</v>
      </c>
      <c r="M1495" s="655">
        <v>0</v>
      </c>
      <c r="N1495" s="655">
        <v>108889</v>
      </c>
      <c r="O1495" s="655">
        <v>3376</v>
      </c>
      <c r="P1495" s="655">
        <v>17152</v>
      </c>
      <c r="Q1495" s="655">
        <v>19257</v>
      </c>
      <c r="R1495" s="655">
        <v>318</v>
      </c>
      <c r="S1495" s="655">
        <v>11587</v>
      </c>
      <c r="T1495" s="655">
        <v>1381</v>
      </c>
      <c r="U1495" s="655">
        <v>95797</v>
      </c>
      <c r="V1495" s="655">
        <v>0</v>
      </c>
      <c r="W1495" s="655">
        <v>60914</v>
      </c>
      <c r="X1495" s="655">
        <v>0</v>
      </c>
      <c r="Y1495" s="655">
        <v>0</v>
      </c>
      <c r="Z1495" s="655">
        <v>0</v>
      </c>
      <c r="AA1495" s="655">
        <v>0</v>
      </c>
      <c r="AB1495" s="655">
        <v>0</v>
      </c>
      <c r="AC1495" s="655">
        <v>-1934</v>
      </c>
      <c r="AD1495" s="655">
        <v>25409</v>
      </c>
      <c r="AE1495" s="655">
        <v>3131636</v>
      </c>
      <c r="AF1495" s="655">
        <v>46137</v>
      </c>
      <c r="AG1495" s="655">
        <v>176052</v>
      </c>
      <c r="AH1495" s="655">
        <v>0</v>
      </c>
      <c r="AI1495" s="655">
        <v>0</v>
      </c>
      <c r="AJ1495" s="655">
        <v>524992.37000000011</v>
      </c>
      <c r="AK1495" s="655">
        <v>3878817.37</v>
      </c>
      <c r="AL1495" s="655">
        <v>0</v>
      </c>
      <c r="AM1495" s="655">
        <v>3878817.37</v>
      </c>
    </row>
    <row r="1496" spans="1:39" x14ac:dyDescent="0.2">
      <c r="A1496" s="648">
        <v>2017</v>
      </c>
      <c r="B1496" s="648">
        <v>12</v>
      </c>
      <c r="C1496" s="657" t="s">
        <v>237</v>
      </c>
      <c r="D1496" s="648">
        <v>3555</v>
      </c>
      <c r="E1496" s="648" t="s">
        <v>1155</v>
      </c>
      <c r="F1496" s="655">
        <v>3943395</v>
      </c>
      <c r="G1496" s="655">
        <v>37100</v>
      </c>
      <c r="H1496" s="655">
        <v>155778</v>
      </c>
      <c r="I1496" s="655">
        <v>395065</v>
      </c>
      <c r="J1496" s="655">
        <v>334456</v>
      </c>
      <c r="K1496" s="655">
        <v>35437</v>
      </c>
      <c r="L1496" s="655">
        <v>34007</v>
      </c>
      <c r="M1496" s="655">
        <v>0</v>
      </c>
      <c r="N1496" s="655">
        <v>195050</v>
      </c>
      <c r="O1496" s="655">
        <v>0</v>
      </c>
      <c r="P1496" s="655">
        <v>33448</v>
      </c>
      <c r="Q1496" s="655">
        <v>37538</v>
      </c>
      <c r="R1496" s="655">
        <v>0</v>
      </c>
      <c r="S1496" s="655">
        <v>19596</v>
      </c>
      <c r="T1496" s="655">
        <v>2343</v>
      </c>
      <c r="U1496" s="655">
        <v>153115</v>
      </c>
      <c r="V1496" s="655">
        <v>0</v>
      </c>
      <c r="W1496" s="655">
        <v>85248</v>
      </c>
      <c r="X1496" s="655">
        <v>0</v>
      </c>
      <c r="Y1496" s="655">
        <v>0</v>
      </c>
      <c r="Z1496" s="655">
        <v>0</v>
      </c>
      <c r="AA1496" s="655">
        <v>0</v>
      </c>
      <c r="AB1496" s="655">
        <v>0</v>
      </c>
      <c r="AC1496" s="655">
        <v>-7864</v>
      </c>
      <c r="AD1496" s="655">
        <v>32902</v>
      </c>
      <c r="AE1496" s="655">
        <v>5420810</v>
      </c>
      <c r="AF1496" s="655">
        <v>128525</v>
      </c>
      <c r="AG1496" s="655">
        <v>305862</v>
      </c>
      <c r="AH1496" s="655">
        <v>0</v>
      </c>
      <c r="AI1496" s="655">
        <v>0</v>
      </c>
      <c r="AJ1496" s="655">
        <v>430350.59999999963</v>
      </c>
      <c r="AK1496" s="655">
        <v>6285547.5999999996</v>
      </c>
      <c r="AL1496" s="655">
        <v>0</v>
      </c>
      <c r="AM1496" s="655">
        <v>6285547.5999999996</v>
      </c>
    </row>
    <row r="1497" spans="1:39" x14ac:dyDescent="0.2">
      <c r="A1497" s="648">
        <v>2017</v>
      </c>
      <c r="B1497" s="648">
        <v>7</v>
      </c>
      <c r="C1497" s="657" t="s">
        <v>238</v>
      </c>
      <c r="D1497" s="648">
        <v>1968</v>
      </c>
      <c r="E1497" s="648" t="s">
        <v>1157</v>
      </c>
      <c r="F1497" s="655">
        <v>3802080</v>
      </c>
      <c r="G1497" s="655">
        <v>37704</v>
      </c>
      <c r="H1497" s="655">
        <v>70208</v>
      </c>
      <c r="I1497" s="655">
        <v>478397</v>
      </c>
      <c r="J1497" s="655">
        <v>351794</v>
      </c>
      <c r="K1497" s="655">
        <v>39991</v>
      </c>
      <c r="L1497" s="655">
        <v>40145</v>
      </c>
      <c r="M1497" s="655">
        <v>182113</v>
      </c>
      <c r="N1497" s="655">
        <v>187931</v>
      </c>
      <c r="O1497" s="655">
        <v>27672</v>
      </c>
      <c r="P1497" s="655">
        <v>31074</v>
      </c>
      <c r="Q1497" s="655">
        <v>34701</v>
      </c>
      <c r="R1497" s="655">
        <v>0</v>
      </c>
      <c r="S1497" s="655">
        <v>24095</v>
      </c>
      <c r="T1497" s="655">
        <v>2765</v>
      </c>
      <c r="U1497" s="655">
        <v>145912</v>
      </c>
      <c r="V1497" s="655">
        <v>0</v>
      </c>
      <c r="W1497" s="655">
        <v>67397</v>
      </c>
      <c r="X1497" s="655">
        <v>0</v>
      </c>
      <c r="Y1497" s="655">
        <v>0</v>
      </c>
      <c r="Z1497" s="655">
        <v>0</v>
      </c>
      <c r="AA1497" s="655">
        <v>0</v>
      </c>
      <c r="AB1497" s="655">
        <v>0</v>
      </c>
      <c r="AC1497" s="655">
        <v>0</v>
      </c>
      <c r="AD1497" s="655">
        <v>42752</v>
      </c>
      <c r="AE1497" s="655">
        <v>5481227</v>
      </c>
      <c r="AF1497" s="655">
        <v>148298</v>
      </c>
      <c r="AG1497" s="655">
        <v>308834</v>
      </c>
      <c r="AH1497" s="655">
        <v>0</v>
      </c>
      <c r="AI1497" s="655">
        <v>0</v>
      </c>
      <c r="AJ1497" s="655">
        <v>1924360</v>
      </c>
      <c r="AK1497" s="655">
        <v>7862719</v>
      </c>
      <c r="AL1497" s="655">
        <v>0</v>
      </c>
      <c r="AM1497" s="655">
        <v>7862719</v>
      </c>
    </row>
    <row r="1498" spans="1:39" x14ac:dyDescent="0.2">
      <c r="A1498" s="648">
        <v>2017</v>
      </c>
      <c r="B1498" s="648">
        <v>12</v>
      </c>
      <c r="C1498" s="657" t="s">
        <v>239</v>
      </c>
      <c r="D1498" s="648">
        <v>3600</v>
      </c>
      <c r="E1498" s="648" t="s">
        <v>1158</v>
      </c>
      <c r="F1498" s="655">
        <v>13990057</v>
      </c>
      <c r="G1498" s="655">
        <v>0</v>
      </c>
      <c r="H1498" s="655">
        <v>291494</v>
      </c>
      <c r="I1498" s="655">
        <v>1987516</v>
      </c>
      <c r="J1498" s="655">
        <v>1159237</v>
      </c>
      <c r="K1498" s="655">
        <v>134785</v>
      </c>
      <c r="L1498" s="655">
        <v>126698</v>
      </c>
      <c r="M1498" s="655">
        <v>678638</v>
      </c>
      <c r="N1498" s="655">
        <v>718324</v>
      </c>
      <c r="O1498" s="655">
        <v>0</v>
      </c>
      <c r="P1498" s="655">
        <v>138181</v>
      </c>
      <c r="Q1498" s="655">
        <v>155081</v>
      </c>
      <c r="R1498" s="655">
        <v>0</v>
      </c>
      <c r="S1498" s="655">
        <v>72167</v>
      </c>
      <c r="T1498" s="655">
        <v>8630</v>
      </c>
      <c r="U1498" s="655">
        <v>214970</v>
      </c>
      <c r="V1498" s="655">
        <v>0</v>
      </c>
      <c r="W1498" s="655">
        <v>331000</v>
      </c>
      <c r="X1498" s="655">
        <v>0</v>
      </c>
      <c r="Y1498" s="655">
        <v>0</v>
      </c>
      <c r="Z1498" s="655">
        <v>0</v>
      </c>
      <c r="AA1498" s="655">
        <v>0</v>
      </c>
      <c r="AB1498" s="655">
        <v>0</v>
      </c>
      <c r="AC1498" s="655">
        <v>17920</v>
      </c>
      <c r="AD1498" s="655">
        <v>122683</v>
      </c>
      <c r="AE1498" s="655">
        <v>19902015</v>
      </c>
      <c r="AF1498" s="655">
        <v>257049</v>
      </c>
      <c r="AG1498" s="655">
        <v>532602</v>
      </c>
      <c r="AH1498" s="655">
        <v>0</v>
      </c>
      <c r="AI1498" s="655">
        <v>0</v>
      </c>
      <c r="AJ1498" s="655">
        <v>4458722.1099999994</v>
      </c>
      <c r="AK1498" s="655">
        <v>25150388.109999999</v>
      </c>
      <c r="AL1498" s="655">
        <v>0</v>
      </c>
      <c r="AM1498" s="655">
        <v>25150388.109999999</v>
      </c>
    </row>
    <row r="1499" spans="1:39" x14ac:dyDescent="0.2">
      <c r="A1499" s="648">
        <v>2017</v>
      </c>
      <c r="B1499" s="648">
        <v>13</v>
      </c>
      <c r="C1499" s="657" t="s">
        <v>240</v>
      </c>
      <c r="D1499" s="648">
        <v>3609</v>
      </c>
      <c r="E1499" s="648" t="s">
        <v>1159</v>
      </c>
      <c r="F1499" s="655">
        <v>3117543</v>
      </c>
      <c r="G1499" s="655">
        <v>0</v>
      </c>
      <c r="H1499" s="655">
        <v>102167</v>
      </c>
      <c r="I1499" s="655">
        <v>257379</v>
      </c>
      <c r="J1499" s="655">
        <v>297602</v>
      </c>
      <c r="K1499" s="655">
        <v>34359</v>
      </c>
      <c r="L1499" s="655">
        <v>39429</v>
      </c>
      <c r="M1499" s="655">
        <v>0</v>
      </c>
      <c r="N1499" s="655">
        <v>148361</v>
      </c>
      <c r="O1499" s="655">
        <v>0</v>
      </c>
      <c r="P1499" s="655">
        <v>25671</v>
      </c>
      <c r="Q1499" s="655">
        <v>28389</v>
      </c>
      <c r="R1499" s="655">
        <v>0</v>
      </c>
      <c r="S1499" s="655">
        <v>15233</v>
      </c>
      <c r="T1499" s="655">
        <v>1623</v>
      </c>
      <c r="U1499" s="655">
        <v>52097</v>
      </c>
      <c r="V1499" s="655">
        <v>0</v>
      </c>
      <c r="W1499" s="655">
        <v>58976</v>
      </c>
      <c r="X1499" s="655">
        <v>0</v>
      </c>
      <c r="Y1499" s="655">
        <v>0</v>
      </c>
      <c r="Z1499" s="655">
        <v>0</v>
      </c>
      <c r="AA1499" s="655">
        <v>0</v>
      </c>
      <c r="AB1499" s="655">
        <v>0</v>
      </c>
      <c r="AC1499" s="655">
        <v>0</v>
      </c>
      <c r="AD1499" s="655">
        <v>25461</v>
      </c>
      <c r="AE1499" s="655">
        <v>4153368</v>
      </c>
      <c r="AF1499" s="655">
        <v>85683</v>
      </c>
      <c r="AG1499" s="655">
        <v>226957</v>
      </c>
      <c r="AH1499" s="655">
        <v>0</v>
      </c>
      <c r="AI1499" s="655">
        <v>0</v>
      </c>
      <c r="AJ1499" s="655">
        <v>1972223.1799999997</v>
      </c>
      <c r="AK1499" s="655">
        <v>6438231.1799999997</v>
      </c>
      <c r="AL1499" s="655">
        <v>0</v>
      </c>
      <c r="AM1499" s="655">
        <v>6438231.1799999997</v>
      </c>
    </row>
    <row r="1500" spans="1:39" x14ac:dyDescent="0.2">
      <c r="A1500" s="648">
        <v>2017</v>
      </c>
      <c r="B1500" s="648">
        <v>13</v>
      </c>
      <c r="C1500" s="657" t="s">
        <v>241</v>
      </c>
      <c r="D1500" s="648">
        <v>3645</v>
      </c>
      <c r="E1500" s="648" t="s">
        <v>1160</v>
      </c>
      <c r="F1500" s="655">
        <v>17052894</v>
      </c>
      <c r="G1500" s="655">
        <v>0</v>
      </c>
      <c r="H1500" s="655">
        <v>225926</v>
      </c>
      <c r="I1500" s="655">
        <v>2012891</v>
      </c>
      <c r="J1500" s="655">
        <v>1424412</v>
      </c>
      <c r="K1500" s="655">
        <v>166984</v>
      </c>
      <c r="L1500" s="655">
        <v>213452</v>
      </c>
      <c r="M1500" s="655">
        <v>827212</v>
      </c>
      <c r="N1500" s="655">
        <v>838131</v>
      </c>
      <c r="O1500" s="655">
        <v>0</v>
      </c>
      <c r="P1500" s="655">
        <v>150249</v>
      </c>
      <c r="Q1500" s="655">
        <v>166157</v>
      </c>
      <c r="R1500" s="655">
        <v>0</v>
      </c>
      <c r="S1500" s="655">
        <v>86058</v>
      </c>
      <c r="T1500" s="655">
        <v>9170</v>
      </c>
      <c r="U1500" s="655">
        <v>456316</v>
      </c>
      <c r="V1500" s="655">
        <v>0</v>
      </c>
      <c r="W1500" s="655">
        <v>442190</v>
      </c>
      <c r="X1500" s="655">
        <v>0</v>
      </c>
      <c r="Y1500" s="655">
        <v>0</v>
      </c>
      <c r="Z1500" s="655">
        <v>0</v>
      </c>
      <c r="AA1500" s="655">
        <v>0</v>
      </c>
      <c r="AB1500" s="655">
        <v>0</v>
      </c>
      <c r="AC1500" s="655">
        <v>0</v>
      </c>
      <c r="AD1500" s="655">
        <v>131532</v>
      </c>
      <c r="AE1500" s="655">
        <v>23940510</v>
      </c>
      <c r="AF1500" s="655">
        <v>191139</v>
      </c>
      <c r="AG1500" s="655">
        <v>1398678</v>
      </c>
      <c r="AH1500" s="655">
        <v>0</v>
      </c>
      <c r="AI1500" s="655">
        <v>0</v>
      </c>
      <c r="AJ1500" s="655">
        <v>5257627.4800000042</v>
      </c>
      <c r="AK1500" s="655">
        <v>30787954.480000004</v>
      </c>
      <c r="AL1500" s="655">
        <v>0</v>
      </c>
      <c r="AM1500" s="655">
        <v>30787954.480000004</v>
      </c>
    </row>
    <row r="1501" spans="1:39" x14ac:dyDescent="0.2">
      <c r="A1501" s="648">
        <v>2017</v>
      </c>
      <c r="B1501" s="648">
        <v>10</v>
      </c>
      <c r="C1501" s="657" t="s">
        <v>242</v>
      </c>
      <c r="D1501" s="648">
        <v>3691</v>
      </c>
      <c r="E1501" s="648" t="s">
        <v>1161</v>
      </c>
      <c r="F1501" s="655">
        <v>5470737</v>
      </c>
      <c r="G1501" s="655">
        <v>189423</v>
      </c>
      <c r="H1501" s="655">
        <v>92298</v>
      </c>
      <c r="I1501" s="655">
        <v>830525</v>
      </c>
      <c r="J1501" s="655">
        <v>478333</v>
      </c>
      <c r="K1501" s="655">
        <v>51100</v>
      </c>
      <c r="L1501" s="655">
        <v>49588</v>
      </c>
      <c r="M1501" s="655">
        <v>270124</v>
      </c>
      <c r="N1501" s="655">
        <v>274379</v>
      </c>
      <c r="O1501" s="655">
        <v>6645</v>
      </c>
      <c r="P1501" s="655">
        <v>44592</v>
      </c>
      <c r="Q1501" s="655">
        <v>48991</v>
      </c>
      <c r="R1501" s="655">
        <v>0</v>
      </c>
      <c r="S1501" s="655">
        <v>26016</v>
      </c>
      <c r="T1501" s="655">
        <v>3024</v>
      </c>
      <c r="U1501" s="655">
        <v>35802</v>
      </c>
      <c r="V1501" s="655">
        <v>0</v>
      </c>
      <c r="W1501" s="655">
        <v>270732</v>
      </c>
      <c r="X1501" s="655">
        <v>0</v>
      </c>
      <c r="Y1501" s="655">
        <v>0</v>
      </c>
      <c r="Z1501" s="655">
        <v>0</v>
      </c>
      <c r="AA1501" s="655">
        <v>0</v>
      </c>
      <c r="AB1501" s="655">
        <v>0</v>
      </c>
      <c r="AC1501" s="655">
        <v>0</v>
      </c>
      <c r="AD1501" s="655">
        <v>51906</v>
      </c>
      <c r="AE1501" s="655">
        <v>8090403</v>
      </c>
      <c r="AF1501" s="655">
        <v>141707</v>
      </c>
      <c r="AG1501" s="655">
        <v>451171</v>
      </c>
      <c r="AH1501" s="655">
        <v>0</v>
      </c>
      <c r="AI1501" s="655">
        <v>0</v>
      </c>
      <c r="AJ1501" s="655">
        <v>2212473.3099999987</v>
      </c>
      <c r="AK1501" s="655">
        <v>10895754.309999999</v>
      </c>
      <c r="AL1501" s="655">
        <v>0</v>
      </c>
      <c r="AM1501" s="655">
        <v>10895754.309999999</v>
      </c>
    </row>
    <row r="1502" spans="1:39" x14ac:dyDescent="0.2">
      <c r="A1502" s="648">
        <v>2017</v>
      </c>
      <c r="B1502" s="648">
        <v>10</v>
      </c>
      <c r="C1502" s="657" t="s">
        <v>243</v>
      </c>
      <c r="D1502" s="648">
        <v>3715</v>
      </c>
      <c r="E1502" s="648" t="s">
        <v>1162</v>
      </c>
      <c r="F1502" s="655">
        <v>47448557</v>
      </c>
      <c r="G1502" s="655">
        <v>0</v>
      </c>
      <c r="H1502" s="655">
        <v>512844</v>
      </c>
      <c r="I1502" s="655">
        <v>4307938</v>
      </c>
      <c r="J1502" s="655">
        <v>3820141</v>
      </c>
      <c r="K1502" s="655">
        <v>426763</v>
      </c>
      <c r="L1502" s="655">
        <v>419710</v>
      </c>
      <c r="M1502" s="655">
        <v>2301313</v>
      </c>
      <c r="N1502" s="655">
        <v>2267330</v>
      </c>
      <c r="O1502" s="655">
        <v>0</v>
      </c>
      <c r="P1502" s="655">
        <v>413243</v>
      </c>
      <c r="Q1502" s="655">
        <v>454015</v>
      </c>
      <c r="R1502" s="655">
        <v>0</v>
      </c>
      <c r="S1502" s="655">
        <v>211831</v>
      </c>
      <c r="T1502" s="655">
        <v>24653</v>
      </c>
      <c r="U1502" s="655">
        <v>1160122</v>
      </c>
      <c r="V1502" s="655">
        <v>0</v>
      </c>
      <c r="W1502" s="655">
        <v>826670</v>
      </c>
      <c r="X1502" s="655">
        <v>0</v>
      </c>
      <c r="Y1502" s="655">
        <v>0</v>
      </c>
      <c r="Z1502" s="655">
        <v>0</v>
      </c>
      <c r="AA1502" s="655">
        <v>0</v>
      </c>
      <c r="AB1502" s="655">
        <v>0</v>
      </c>
      <c r="AC1502" s="655">
        <v>17923</v>
      </c>
      <c r="AD1502" s="655">
        <v>263943</v>
      </c>
      <c r="AE1502" s="655">
        <v>64349110</v>
      </c>
      <c r="AF1502" s="655">
        <v>738192</v>
      </c>
      <c r="AG1502" s="655">
        <v>3294354</v>
      </c>
      <c r="AH1502" s="655">
        <v>0</v>
      </c>
      <c r="AI1502" s="655">
        <v>0</v>
      </c>
      <c r="AJ1502" s="655">
        <v>13019521.469999999</v>
      </c>
      <c r="AK1502" s="655">
        <v>81401177.469999999</v>
      </c>
      <c r="AL1502" s="655">
        <v>0</v>
      </c>
      <c r="AM1502" s="655">
        <v>81401177.469999999</v>
      </c>
    </row>
    <row r="1503" spans="1:39" x14ac:dyDescent="0.2">
      <c r="A1503" s="648">
        <v>2017</v>
      </c>
      <c r="B1503" s="648">
        <v>10</v>
      </c>
      <c r="C1503" s="657" t="s">
        <v>244</v>
      </c>
      <c r="D1503" s="648">
        <v>3744</v>
      </c>
      <c r="E1503" s="648" t="s">
        <v>1163</v>
      </c>
      <c r="F1503" s="655">
        <v>4431129</v>
      </c>
      <c r="G1503" s="655">
        <v>0</v>
      </c>
      <c r="H1503" s="655">
        <v>167899</v>
      </c>
      <c r="I1503" s="655">
        <v>319466</v>
      </c>
      <c r="J1503" s="655">
        <v>360299</v>
      </c>
      <c r="K1503" s="655">
        <v>35632</v>
      </c>
      <c r="L1503" s="655">
        <v>34933</v>
      </c>
      <c r="M1503" s="655">
        <v>0</v>
      </c>
      <c r="N1503" s="655">
        <v>208144</v>
      </c>
      <c r="O1503" s="655">
        <v>0</v>
      </c>
      <c r="P1503" s="655">
        <v>36288</v>
      </c>
      <c r="Q1503" s="655">
        <v>39869</v>
      </c>
      <c r="R1503" s="655">
        <v>0</v>
      </c>
      <c r="S1503" s="655">
        <v>19446</v>
      </c>
      <c r="T1503" s="655">
        <v>2263</v>
      </c>
      <c r="U1503" s="655">
        <v>21837</v>
      </c>
      <c r="V1503" s="655">
        <v>0</v>
      </c>
      <c r="W1503" s="655">
        <v>148258</v>
      </c>
      <c r="X1503" s="655">
        <v>0</v>
      </c>
      <c r="Y1503" s="655">
        <v>0</v>
      </c>
      <c r="Z1503" s="655">
        <v>0</v>
      </c>
      <c r="AA1503" s="655">
        <v>0</v>
      </c>
      <c r="AB1503" s="655">
        <v>0</v>
      </c>
      <c r="AC1503" s="655">
        <v>0</v>
      </c>
      <c r="AD1503" s="655">
        <v>32123</v>
      </c>
      <c r="AE1503" s="655">
        <v>5793340</v>
      </c>
      <c r="AF1503" s="655">
        <v>118638</v>
      </c>
      <c r="AG1503" s="655">
        <v>284656</v>
      </c>
      <c r="AH1503" s="655">
        <v>0</v>
      </c>
      <c r="AI1503" s="655">
        <v>0</v>
      </c>
      <c r="AJ1503" s="655">
        <v>2284406.129999999</v>
      </c>
      <c r="AK1503" s="655">
        <v>8481040.129999999</v>
      </c>
      <c r="AL1503" s="655">
        <v>0</v>
      </c>
      <c r="AM1503" s="655">
        <v>8481040.129999999</v>
      </c>
    </row>
    <row r="1504" spans="1:39" x14ac:dyDescent="0.2">
      <c r="A1504" s="648">
        <v>2017</v>
      </c>
      <c r="B1504" s="648">
        <v>13</v>
      </c>
      <c r="C1504" s="657" t="s">
        <v>245</v>
      </c>
      <c r="D1504" s="648">
        <v>3798</v>
      </c>
      <c r="E1504" s="648" t="s">
        <v>1164</v>
      </c>
      <c r="F1504" s="655">
        <v>3661335</v>
      </c>
      <c r="G1504" s="655">
        <v>8769</v>
      </c>
      <c r="H1504" s="655">
        <v>104905</v>
      </c>
      <c r="I1504" s="655">
        <v>328926</v>
      </c>
      <c r="J1504" s="655">
        <v>317504</v>
      </c>
      <c r="K1504" s="655">
        <v>35392</v>
      </c>
      <c r="L1504" s="655">
        <v>35931</v>
      </c>
      <c r="M1504" s="655">
        <v>0</v>
      </c>
      <c r="N1504" s="655">
        <v>175252</v>
      </c>
      <c r="O1504" s="655">
        <v>5847</v>
      </c>
      <c r="P1504" s="655">
        <v>29931</v>
      </c>
      <c r="Q1504" s="655">
        <v>33100</v>
      </c>
      <c r="R1504" s="655">
        <v>0</v>
      </c>
      <c r="S1504" s="655">
        <v>18200</v>
      </c>
      <c r="T1504" s="655">
        <v>1933</v>
      </c>
      <c r="U1504" s="655">
        <v>56350</v>
      </c>
      <c r="V1504" s="655">
        <v>0</v>
      </c>
      <c r="W1504" s="655">
        <v>60916</v>
      </c>
      <c r="X1504" s="655">
        <v>0</v>
      </c>
      <c r="Y1504" s="655">
        <v>0</v>
      </c>
      <c r="Z1504" s="655">
        <v>0</v>
      </c>
      <c r="AA1504" s="655">
        <v>0</v>
      </c>
      <c r="AB1504" s="655">
        <v>0</v>
      </c>
      <c r="AC1504" s="655">
        <v>-6452</v>
      </c>
      <c r="AD1504" s="655">
        <v>33223</v>
      </c>
      <c r="AE1504" s="655">
        <v>4834616</v>
      </c>
      <c r="AF1504" s="655">
        <v>125229</v>
      </c>
      <c r="AG1504" s="655">
        <v>271624</v>
      </c>
      <c r="AH1504" s="655">
        <v>0</v>
      </c>
      <c r="AI1504" s="655">
        <v>0</v>
      </c>
      <c r="AJ1504" s="655">
        <v>1609115.62</v>
      </c>
      <c r="AK1504" s="655">
        <v>6840584.6200000001</v>
      </c>
      <c r="AL1504" s="655">
        <v>0</v>
      </c>
      <c r="AM1504" s="655">
        <v>6840584.6200000001</v>
      </c>
    </row>
    <row r="1505" spans="1:39" x14ac:dyDescent="0.2">
      <c r="A1505" s="648">
        <v>2017</v>
      </c>
      <c r="B1505" s="648">
        <v>10</v>
      </c>
      <c r="C1505" s="657" t="s">
        <v>246</v>
      </c>
      <c r="D1505" s="648">
        <v>3816</v>
      </c>
      <c r="E1505" s="648" t="s">
        <v>1165</v>
      </c>
      <c r="F1505" s="655">
        <v>2500625</v>
      </c>
      <c r="G1505" s="655">
        <v>91190</v>
      </c>
      <c r="H1505" s="655">
        <v>37391</v>
      </c>
      <c r="I1505" s="655">
        <v>250326</v>
      </c>
      <c r="J1505" s="655">
        <v>250528</v>
      </c>
      <c r="K1505" s="655">
        <v>25701</v>
      </c>
      <c r="L1505" s="655">
        <v>28217</v>
      </c>
      <c r="M1505" s="655">
        <v>0</v>
      </c>
      <c r="N1505" s="655">
        <v>120531</v>
      </c>
      <c r="O1505" s="655">
        <v>8067</v>
      </c>
      <c r="P1505" s="655">
        <v>20705</v>
      </c>
      <c r="Q1505" s="655">
        <v>22748</v>
      </c>
      <c r="R1505" s="655">
        <v>0</v>
      </c>
      <c r="S1505" s="655">
        <v>11476</v>
      </c>
      <c r="T1505" s="655">
        <v>1334</v>
      </c>
      <c r="U1505" s="655">
        <v>0</v>
      </c>
      <c r="V1505" s="655">
        <v>0</v>
      </c>
      <c r="W1505" s="655">
        <v>34808</v>
      </c>
      <c r="X1505" s="655">
        <v>0</v>
      </c>
      <c r="Y1505" s="655">
        <v>0</v>
      </c>
      <c r="Z1505" s="655">
        <v>0</v>
      </c>
      <c r="AA1505" s="655">
        <v>0</v>
      </c>
      <c r="AB1505" s="655">
        <v>0</v>
      </c>
      <c r="AC1505" s="655">
        <v>0</v>
      </c>
      <c r="AD1505" s="655">
        <v>21628</v>
      </c>
      <c r="AE1505" s="655">
        <v>3382019</v>
      </c>
      <c r="AF1505" s="655">
        <v>98865</v>
      </c>
      <c r="AG1505" s="655">
        <v>204287</v>
      </c>
      <c r="AH1505" s="655">
        <v>0</v>
      </c>
      <c r="AI1505" s="655">
        <v>0</v>
      </c>
      <c r="AJ1505" s="655">
        <v>2199087.3499999996</v>
      </c>
      <c r="AK1505" s="655">
        <v>5884258.3499999996</v>
      </c>
      <c r="AL1505" s="655">
        <v>0</v>
      </c>
      <c r="AM1505" s="655">
        <v>5884258.3499999996</v>
      </c>
    </row>
    <row r="1506" spans="1:39" x14ac:dyDescent="0.2">
      <c r="A1506" s="648">
        <v>2017</v>
      </c>
      <c r="B1506" s="648">
        <v>9</v>
      </c>
      <c r="C1506" s="657" t="s">
        <v>247</v>
      </c>
      <c r="D1506" s="648">
        <v>3841</v>
      </c>
      <c r="E1506" s="648" t="s">
        <v>1166</v>
      </c>
      <c r="F1506" s="655">
        <v>4854931</v>
      </c>
      <c r="G1506" s="655">
        <v>124919</v>
      </c>
      <c r="H1506" s="655">
        <v>85690</v>
      </c>
      <c r="I1506" s="655">
        <v>651652</v>
      </c>
      <c r="J1506" s="655">
        <v>462527</v>
      </c>
      <c r="K1506" s="655">
        <v>53604</v>
      </c>
      <c r="L1506" s="655">
        <v>48625</v>
      </c>
      <c r="M1506" s="655">
        <v>0</v>
      </c>
      <c r="N1506" s="655">
        <v>242871</v>
      </c>
      <c r="O1506" s="655">
        <v>4300</v>
      </c>
      <c r="P1506" s="655">
        <v>39606</v>
      </c>
      <c r="Q1506" s="655">
        <v>43218</v>
      </c>
      <c r="R1506" s="655">
        <v>0</v>
      </c>
      <c r="S1506" s="655">
        <v>22154</v>
      </c>
      <c r="T1506" s="655">
        <v>2598</v>
      </c>
      <c r="U1506" s="655">
        <v>146240</v>
      </c>
      <c r="V1506" s="655">
        <v>0</v>
      </c>
      <c r="W1506" s="655">
        <v>66393</v>
      </c>
      <c r="X1506" s="655">
        <v>0</v>
      </c>
      <c r="Y1506" s="655">
        <v>0</v>
      </c>
      <c r="Z1506" s="655">
        <v>0</v>
      </c>
      <c r="AA1506" s="655">
        <v>0</v>
      </c>
      <c r="AB1506" s="655">
        <v>0</v>
      </c>
      <c r="AC1506" s="655">
        <v>-8444</v>
      </c>
      <c r="AD1506" s="655">
        <v>45849</v>
      </c>
      <c r="AE1506" s="655">
        <v>6795035</v>
      </c>
      <c r="AF1506" s="655">
        <v>164775</v>
      </c>
      <c r="AG1506" s="655">
        <v>387532</v>
      </c>
      <c r="AH1506" s="655">
        <v>0</v>
      </c>
      <c r="AI1506" s="655">
        <v>0</v>
      </c>
      <c r="AJ1506" s="655">
        <v>2798797.620000001</v>
      </c>
      <c r="AK1506" s="655">
        <v>10146139.620000001</v>
      </c>
      <c r="AL1506" s="655">
        <v>0</v>
      </c>
      <c r="AM1506" s="655">
        <v>10146139.620000001</v>
      </c>
    </row>
    <row r="1507" spans="1:39" x14ac:dyDescent="0.2">
      <c r="A1507" s="648">
        <v>2017</v>
      </c>
      <c r="B1507" s="648">
        <v>5</v>
      </c>
      <c r="C1507" s="657" t="s">
        <v>248</v>
      </c>
      <c r="D1507" s="648">
        <v>3897</v>
      </c>
      <c r="E1507" s="648" t="s">
        <v>1167</v>
      </c>
      <c r="F1507" s="655">
        <v>1096769</v>
      </c>
      <c r="G1507" s="655">
        <v>0</v>
      </c>
      <c r="H1507" s="655">
        <v>107505</v>
      </c>
      <c r="I1507" s="655">
        <v>132343</v>
      </c>
      <c r="J1507" s="655">
        <v>105094</v>
      </c>
      <c r="K1507" s="655">
        <v>11164</v>
      </c>
      <c r="L1507" s="655">
        <v>1718</v>
      </c>
      <c r="M1507" s="655">
        <v>0</v>
      </c>
      <c r="N1507" s="655">
        <v>54442</v>
      </c>
      <c r="O1507" s="655">
        <v>0</v>
      </c>
      <c r="P1507" s="655">
        <v>8793</v>
      </c>
      <c r="Q1507" s="655">
        <v>9872</v>
      </c>
      <c r="R1507" s="655">
        <v>159</v>
      </c>
      <c r="S1507" s="655">
        <v>5793</v>
      </c>
      <c r="T1507" s="655">
        <v>690</v>
      </c>
      <c r="U1507" s="655">
        <v>0</v>
      </c>
      <c r="V1507" s="655">
        <v>0</v>
      </c>
      <c r="W1507" s="655">
        <v>21470</v>
      </c>
      <c r="X1507" s="655">
        <v>0</v>
      </c>
      <c r="Y1507" s="655">
        <v>0</v>
      </c>
      <c r="Z1507" s="655">
        <v>0</v>
      </c>
      <c r="AA1507" s="655">
        <v>0</v>
      </c>
      <c r="AB1507" s="655">
        <v>0</v>
      </c>
      <c r="AC1507" s="655">
        <v>0</v>
      </c>
      <c r="AD1507" s="655">
        <v>18846</v>
      </c>
      <c r="AE1507" s="655">
        <v>1536966</v>
      </c>
      <c r="AF1507" s="655">
        <v>19773</v>
      </c>
      <c r="AG1507" s="655">
        <v>101824</v>
      </c>
      <c r="AH1507" s="655">
        <v>274192</v>
      </c>
      <c r="AI1507" s="655">
        <v>0</v>
      </c>
      <c r="AJ1507" s="655">
        <v>397834.0700000003</v>
      </c>
      <c r="AK1507" s="655">
        <v>2330589.0700000003</v>
      </c>
      <c r="AL1507" s="655">
        <v>0</v>
      </c>
      <c r="AM1507" s="655">
        <v>2330589.0700000003</v>
      </c>
    </row>
    <row r="1508" spans="1:39" x14ac:dyDescent="0.2">
      <c r="A1508" s="648">
        <v>2017</v>
      </c>
      <c r="B1508" s="648">
        <v>11</v>
      </c>
      <c r="C1508" s="657" t="s">
        <v>249</v>
      </c>
      <c r="D1508" s="648">
        <v>3906</v>
      </c>
      <c r="E1508" s="648" t="s">
        <v>1168</v>
      </c>
      <c r="F1508" s="655">
        <v>2859835</v>
      </c>
      <c r="G1508" s="655">
        <v>0</v>
      </c>
      <c r="H1508" s="655">
        <v>60018</v>
      </c>
      <c r="I1508" s="655">
        <v>307800</v>
      </c>
      <c r="J1508" s="655">
        <v>251701</v>
      </c>
      <c r="K1508" s="655">
        <v>25175</v>
      </c>
      <c r="L1508" s="655">
        <v>25335</v>
      </c>
      <c r="M1508" s="655">
        <v>0</v>
      </c>
      <c r="N1508" s="655">
        <v>135375</v>
      </c>
      <c r="O1508" s="655">
        <v>0</v>
      </c>
      <c r="P1508" s="655">
        <v>26254</v>
      </c>
      <c r="Q1508" s="655">
        <v>28821</v>
      </c>
      <c r="R1508" s="655">
        <v>0</v>
      </c>
      <c r="S1508" s="655">
        <v>11155</v>
      </c>
      <c r="T1508" s="655">
        <v>1418</v>
      </c>
      <c r="U1508" s="655">
        <v>83908</v>
      </c>
      <c r="V1508" s="655">
        <v>0</v>
      </c>
      <c r="W1508" s="655">
        <v>121934</v>
      </c>
      <c r="X1508" s="655">
        <v>0</v>
      </c>
      <c r="Y1508" s="655">
        <v>0</v>
      </c>
      <c r="Z1508" s="655">
        <v>0</v>
      </c>
      <c r="AA1508" s="655">
        <v>0</v>
      </c>
      <c r="AB1508" s="655">
        <v>0</v>
      </c>
      <c r="AC1508" s="655">
        <v>0</v>
      </c>
      <c r="AD1508" s="655">
        <v>27086</v>
      </c>
      <c r="AE1508" s="655">
        <v>3911643</v>
      </c>
      <c r="AF1508" s="655">
        <v>141707</v>
      </c>
      <c r="AG1508" s="655">
        <v>230417</v>
      </c>
      <c r="AH1508" s="655">
        <v>0</v>
      </c>
      <c r="AI1508" s="655">
        <v>0</v>
      </c>
      <c r="AJ1508" s="655">
        <v>1405752.12</v>
      </c>
      <c r="AK1508" s="655">
        <v>5689519.1200000001</v>
      </c>
      <c r="AL1508" s="655">
        <v>0</v>
      </c>
      <c r="AM1508" s="655">
        <v>5689519.1200000001</v>
      </c>
    </row>
    <row r="1509" spans="1:39" x14ac:dyDescent="0.2">
      <c r="A1509" s="648">
        <v>2017</v>
      </c>
      <c r="B1509" s="648">
        <v>11</v>
      </c>
      <c r="C1509" s="657" t="s">
        <v>250</v>
      </c>
      <c r="D1509" s="648">
        <v>3942</v>
      </c>
      <c r="E1509" s="648" t="s">
        <v>1169</v>
      </c>
      <c r="F1509" s="655">
        <v>4660496</v>
      </c>
      <c r="G1509" s="655">
        <v>0</v>
      </c>
      <c r="H1509" s="655">
        <v>63603</v>
      </c>
      <c r="I1509" s="655">
        <v>458734</v>
      </c>
      <c r="J1509" s="655">
        <v>395460</v>
      </c>
      <c r="K1509" s="655">
        <v>43536</v>
      </c>
      <c r="L1509" s="655">
        <v>47560</v>
      </c>
      <c r="M1509" s="655">
        <v>0</v>
      </c>
      <c r="N1509" s="655">
        <v>218781</v>
      </c>
      <c r="O1509" s="655">
        <v>0</v>
      </c>
      <c r="P1509" s="655">
        <v>38144</v>
      </c>
      <c r="Q1509" s="655">
        <v>41874</v>
      </c>
      <c r="R1509" s="655">
        <v>0</v>
      </c>
      <c r="S1509" s="655">
        <v>18027</v>
      </c>
      <c r="T1509" s="655">
        <v>2291</v>
      </c>
      <c r="U1509" s="655">
        <v>52351</v>
      </c>
      <c r="V1509" s="655">
        <v>0</v>
      </c>
      <c r="W1509" s="655">
        <v>51568</v>
      </c>
      <c r="X1509" s="655">
        <v>0</v>
      </c>
      <c r="Y1509" s="655">
        <v>0</v>
      </c>
      <c r="Z1509" s="655">
        <v>0</v>
      </c>
      <c r="AA1509" s="655">
        <v>0</v>
      </c>
      <c r="AB1509" s="655">
        <v>0</v>
      </c>
      <c r="AC1509" s="655">
        <v>3803</v>
      </c>
      <c r="AD1509" s="655">
        <v>30083</v>
      </c>
      <c r="AE1509" s="655">
        <v>6066145</v>
      </c>
      <c r="AF1509" s="655">
        <v>128525</v>
      </c>
      <c r="AG1509" s="655">
        <v>249477</v>
      </c>
      <c r="AH1509" s="655">
        <v>0</v>
      </c>
      <c r="AI1509" s="655">
        <v>0</v>
      </c>
      <c r="AJ1509" s="655">
        <v>1970804.2400000002</v>
      </c>
      <c r="AK1509" s="655">
        <v>8414951.2400000002</v>
      </c>
      <c r="AL1509" s="655">
        <v>0</v>
      </c>
      <c r="AM1509" s="655">
        <v>8414951.2400000002</v>
      </c>
    </row>
    <row r="1510" spans="1:39" x14ac:dyDescent="0.2">
      <c r="A1510" s="648">
        <v>2017</v>
      </c>
      <c r="B1510" s="648">
        <v>13</v>
      </c>
      <c r="C1510" s="657" t="s">
        <v>251</v>
      </c>
      <c r="D1510" s="648">
        <v>3978</v>
      </c>
      <c r="E1510" s="648" t="s">
        <v>1480</v>
      </c>
      <c r="F1510" s="655">
        <v>3689532</v>
      </c>
      <c r="G1510" s="655">
        <v>0</v>
      </c>
      <c r="H1510" s="655">
        <v>173476</v>
      </c>
      <c r="I1510" s="655">
        <v>380733</v>
      </c>
      <c r="J1510" s="655">
        <v>345818</v>
      </c>
      <c r="K1510" s="655">
        <v>38481</v>
      </c>
      <c r="L1510" s="655">
        <v>34511</v>
      </c>
      <c r="M1510" s="655">
        <v>0</v>
      </c>
      <c r="N1510" s="655">
        <v>177208</v>
      </c>
      <c r="O1510" s="655">
        <v>239</v>
      </c>
      <c r="P1510" s="655">
        <v>30093</v>
      </c>
      <c r="Q1510" s="655">
        <v>33279</v>
      </c>
      <c r="R1510" s="655">
        <v>0</v>
      </c>
      <c r="S1510" s="655">
        <v>18195</v>
      </c>
      <c r="T1510" s="655">
        <v>1939</v>
      </c>
      <c r="U1510" s="655">
        <v>80099</v>
      </c>
      <c r="V1510" s="655">
        <v>0</v>
      </c>
      <c r="W1510" s="655">
        <v>161150</v>
      </c>
      <c r="X1510" s="655">
        <v>0</v>
      </c>
      <c r="Y1510" s="655">
        <v>0</v>
      </c>
      <c r="Z1510" s="655">
        <v>0</v>
      </c>
      <c r="AA1510" s="655">
        <v>0</v>
      </c>
      <c r="AB1510" s="655">
        <v>0</v>
      </c>
      <c r="AC1510" s="655">
        <v>0</v>
      </c>
      <c r="AD1510" s="655">
        <v>36575</v>
      </c>
      <c r="AE1510" s="655">
        <v>5128178</v>
      </c>
      <c r="AF1510" s="655">
        <v>62615</v>
      </c>
      <c r="AG1510" s="655">
        <v>317152</v>
      </c>
      <c r="AH1510" s="655">
        <v>0</v>
      </c>
      <c r="AI1510" s="655">
        <v>0</v>
      </c>
      <c r="AJ1510" s="655">
        <v>2839364.1100000003</v>
      </c>
      <c r="AK1510" s="655">
        <v>8347309.1100000003</v>
      </c>
      <c r="AL1510" s="655">
        <v>0</v>
      </c>
      <c r="AM1510" s="655">
        <v>8347309.1100000003</v>
      </c>
    </row>
    <row r="1511" spans="1:39" x14ac:dyDescent="0.2">
      <c r="A1511" s="648">
        <v>2017</v>
      </c>
      <c r="B1511" s="648">
        <v>5</v>
      </c>
      <c r="C1511" s="657" t="s">
        <v>252</v>
      </c>
      <c r="D1511" s="648">
        <v>4023</v>
      </c>
      <c r="E1511" s="648" t="s">
        <v>1170</v>
      </c>
      <c r="F1511" s="655">
        <v>4283244</v>
      </c>
      <c r="G1511" s="655">
        <v>0</v>
      </c>
      <c r="H1511" s="655">
        <v>68997</v>
      </c>
      <c r="I1511" s="655">
        <v>451004</v>
      </c>
      <c r="J1511" s="655">
        <v>386625</v>
      </c>
      <c r="K1511" s="655">
        <v>41912</v>
      </c>
      <c r="L1511" s="655">
        <v>33488</v>
      </c>
      <c r="M1511" s="655">
        <v>0</v>
      </c>
      <c r="N1511" s="655">
        <v>213322</v>
      </c>
      <c r="O1511" s="655">
        <v>0</v>
      </c>
      <c r="P1511" s="655">
        <v>37562</v>
      </c>
      <c r="Q1511" s="655">
        <v>42170</v>
      </c>
      <c r="R1511" s="655">
        <v>623</v>
      </c>
      <c r="S1511" s="655">
        <v>22700</v>
      </c>
      <c r="T1511" s="655">
        <v>2705</v>
      </c>
      <c r="U1511" s="655">
        <v>209493</v>
      </c>
      <c r="V1511" s="655">
        <v>0</v>
      </c>
      <c r="W1511" s="655">
        <v>71931</v>
      </c>
      <c r="X1511" s="655">
        <v>0</v>
      </c>
      <c r="Y1511" s="655">
        <v>0</v>
      </c>
      <c r="Z1511" s="655">
        <v>0</v>
      </c>
      <c r="AA1511" s="655">
        <v>0</v>
      </c>
      <c r="AB1511" s="655">
        <v>0</v>
      </c>
      <c r="AC1511" s="655">
        <v>0</v>
      </c>
      <c r="AD1511" s="655">
        <v>44318</v>
      </c>
      <c r="AE1511" s="655">
        <v>5821458</v>
      </c>
      <c r="AF1511" s="655">
        <v>148298</v>
      </c>
      <c r="AG1511" s="655">
        <v>360863</v>
      </c>
      <c r="AH1511" s="655">
        <v>0</v>
      </c>
      <c r="AI1511" s="655">
        <v>0</v>
      </c>
      <c r="AJ1511" s="655">
        <v>1158950.5099999998</v>
      </c>
      <c r="AK1511" s="655">
        <v>7489569.5099999998</v>
      </c>
      <c r="AL1511" s="655">
        <v>0</v>
      </c>
      <c r="AM1511" s="655">
        <v>7489569.5099999998</v>
      </c>
    </row>
    <row r="1512" spans="1:39" x14ac:dyDescent="0.2">
      <c r="A1512" s="648">
        <v>2017</v>
      </c>
      <c r="B1512" s="648">
        <v>12</v>
      </c>
      <c r="C1512" s="657" t="s">
        <v>253</v>
      </c>
      <c r="D1512" s="648">
        <v>4033</v>
      </c>
      <c r="E1512" s="648" t="s">
        <v>1494</v>
      </c>
      <c r="F1512" s="655">
        <v>4539235</v>
      </c>
      <c r="G1512" s="655">
        <v>0</v>
      </c>
      <c r="H1512" s="655">
        <v>173378</v>
      </c>
      <c r="I1512" s="655">
        <v>673886</v>
      </c>
      <c r="J1512" s="655">
        <v>392544</v>
      </c>
      <c r="K1512" s="655">
        <v>41062</v>
      </c>
      <c r="L1512" s="655">
        <v>38927</v>
      </c>
      <c r="M1512" s="655">
        <v>0</v>
      </c>
      <c r="N1512" s="655">
        <v>230629</v>
      </c>
      <c r="O1512" s="655">
        <v>4748</v>
      </c>
      <c r="P1512" s="655">
        <v>38869</v>
      </c>
      <c r="Q1512" s="655">
        <v>43622</v>
      </c>
      <c r="R1512" s="655">
        <v>0</v>
      </c>
      <c r="S1512" s="655">
        <v>23170</v>
      </c>
      <c r="T1512" s="655">
        <v>2771</v>
      </c>
      <c r="U1512" s="655">
        <v>161189</v>
      </c>
      <c r="V1512" s="655">
        <v>0</v>
      </c>
      <c r="W1512" s="655">
        <v>71334</v>
      </c>
      <c r="X1512" s="655">
        <v>0</v>
      </c>
      <c r="Y1512" s="655">
        <v>0</v>
      </c>
      <c r="Z1512" s="655">
        <v>0</v>
      </c>
      <c r="AA1512" s="655">
        <v>0</v>
      </c>
      <c r="AB1512" s="655">
        <v>0</v>
      </c>
      <c r="AC1512" s="655">
        <v>0</v>
      </c>
      <c r="AD1512" s="655">
        <v>49648</v>
      </c>
      <c r="AE1512" s="655">
        <v>6385716</v>
      </c>
      <c r="AF1512" s="655">
        <v>79092</v>
      </c>
      <c r="AG1512" s="655">
        <v>381886</v>
      </c>
      <c r="AH1512" s="655">
        <v>0</v>
      </c>
      <c r="AI1512" s="655">
        <v>0</v>
      </c>
      <c r="AJ1512" s="655">
        <v>1406265</v>
      </c>
      <c r="AK1512" s="655">
        <v>8252959</v>
      </c>
      <c r="AL1512" s="655">
        <v>0</v>
      </c>
      <c r="AM1512" s="655">
        <v>8252959</v>
      </c>
    </row>
    <row r="1513" spans="1:39" x14ac:dyDescent="0.2">
      <c r="A1513" s="648">
        <v>2017</v>
      </c>
      <c r="B1513" s="648">
        <v>9</v>
      </c>
      <c r="C1513" s="657" t="s">
        <v>254</v>
      </c>
      <c r="D1513" s="648">
        <v>4041</v>
      </c>
      <c r="E1513" s="648" t="s">
        <v>1171</v>
      </c>
      <c r="F1513" s="655">
        <v>8875441</v>
      </c>
      <c r="G1513" s="655">
        <v>0</v>
      </c>
      <c r="H1513" s="655">
        <v>231206</v>
      </c>
      <c r="I1513" s="655">
        <v>1826432</v>
      </c>
      <c r="J1513" s="655">
        <v>807112</v>
      </c>
      <c r="K1513" s="655">
        <v>94383</v>
      </c>
      <c r="L1513" s="655">
        <v>96794</v>
      </c>
      <c r="M1513" s="655">
        <v>0</v>
      </c>
      <c r="N1513" s="655">
        <v>472012</v>
      </c>
      <c r="O1513" s="655">
        <v>0</v>
      </c>
      <c r="P1513" s="655">
        <v>77332</v>
      </c>
      <c r="Q1513" s="655">
        <v>84383</v>
      </c>
      <c r="R1513" s="655">
        <v>0</v>
      </c>
      <c r="S1513" s="655">
        <v>42590</v>
      </c>
      <c r="T1513" s="655">
        <v>5001</v>
      </c>
      <c r="U1513" s="655">
        <v>217005</v>
      </c>
      <c r="V1513" s="655">
        <v>0</v>
      </c>
      <c r="W1513" s="655">
        <v>222419</v>
      </c>
      <c r="X1513" s="655">
        <v>0</v>
      </c>
      <c r="Y1513" s="655">
        <v>0</v>
      </c>
      <c r="Z1513" s="655">
        <v>0</v>
      </c>
      <c r="AA1513" s="655">
        <v>0</v>
      </c>
      <c r="AB1513" s="655">
        <v>0</v>
      </c>
      <c r="AC1513" s="655">
        <v>0</v>
      </c>
      <c r="AD1513" s="655">
        <v>86503</v>
      </c>
      <c r="AE1513" s="655">
        <v>12965607</v>
      </c>
      <c r="AF1513" s="655">
        <v>303186</v>
      </c>
      <c r="AG1513" s="655">
        <v>643736</v>
      </c>
      <c r="AH1513" s="655">
        <v>0</v>
      </c>
      <c r="AI1513" s="655">
        <v>0</v>
      </c>
      <c r="AJ1513" s="655">
        <v>3482721.7599999979</v>
      </c>
      <c r="AK1513" s="655">
        <v>17395250.759999998</v>
      </c>
      <c r="AL1513" s="655">
        <v>0</v>
      </c>
      <c r="AM1513" s="655">
        <v>17395250.759999998</v>
      </c>
    </row>
    <row r="1514" spans="1:39" x14ac:dyDescent="0.2">
      <c r="A1514" s="648">
        <v>2017</v>
      </c>
      <c r="B1514" s="648">
        <v>1</v>
      </c>
      <c r="C1514" s="657" t="s">
        <v>255</v>
      </c>
      <c r="D1514" s="648">
        <v>4043</v>
      </c>
      <c r="E1514" s="648" t="s">
        <v>1172</v>
      </c>
      <c r="F1514" s="655">
        <v>4642723</v>
      </c>
      <c r="G1514" s="655">
        <v>87707</v>
      </c>
      <c r="H1514" s="655">
        <v>168880</v>
      </c>
      <c r="I1514" s="655">
        <v>271742</v>
      </c>
      <c r="J1514" s="655">
        <v>410866</v>
      </c>
      <c r="K1514" s="655">
        <v>45253</v>
      </c>
      <c r="L1514" s="655">
        <v>43857</v>
      </c>
      <c r="M1514" s="655">
        <v>226068</v>
      </c>
      <c r="N1514" s="655">
        <v>225533</v>
      </c>
      <c r="O1514" s="655">
        <v>9267</v>
      </c>
      <c r="P1514" s="655">
        <v>39403</v>
      </c>
      <c r="Q1514" s="655">
        <v>43962</v>
      </c>
      <c r="R1514" s="655">
        <v>0</v>
      </c>
      <c r="S1514" s="655">
        <v>22936</v>
      </c>
      <c r="T1514" s="655">
        <v>2452</v>
      </c>
      <c r="U1514" s="655">
        <v>86995</v>
      </c>
      <c r="V1514" s="655">
        <v>0</v>
      </c>
      <c r="W1514" s="655">
        <v>73484</v>
      </c>
      <c r="X1514" s="655">
        <v>0</v>
      </c>
      <c r="Y1514" s="655">
        <v>0</v>
      </c>
      <c r="Z1514" s="655">
        <v>0</v>
      </c>
      <c r="AA1514" s="655">
        <v>0</v>
      </c>
      <c r="AB1514" s="655">
        <v>0</v>
      </c>
      <c r="AC1514" s="655">
        <v>0</v>
      </c>
      <c r="AD1514" s="655">
        <v>52664</v>
      </c>
      <c r="AE1514" s="655">
        <v>6348464</v>
      </c>
      <c r="AF1514" s="655">
        <v>121934</v>
      </c>
      <c r="AG1514" s="655">
        <v>388416</v>
      </c>
      <c r="AH1514" s="655">
        <v>0</v>
      </c>
      <c r="AI1514" s="655">
        <v>0</v>
      </c>
      <c r="AJ1514" s="655">
        <v>2349082.4600000009</v>
      </c>
      <c r="AK1514" s="655">
        <v>9207896.4600000009</v>
      </c>
      <c r="AL1514" s="655">
        <v>0</v>
      </c>
      <c r="AM1514" s="655">
        <v>9207896.4600000009</v>
      </c>
    </row>
    <row r="1515" spans="1:39" x14ac:dyDescent="0.2">
      <c r="A1515" s="648">
        <v>2017</v>
      </c>
      <c r="B1515" s="648">
        <v>12</v>
      </c>
      <c r="C1515" s="657" t="s">
        <v>256</v>
      </c>
      <c r="D1515" s="648">
        <v>4068</v>
      </c>
      <c r="E1515" s="648" t="s">
        <v>1173</v>
      </c>
      <c r="F1515" s="655">
        <v>2904176</v>
      </c>
      <c r="G1515" s="655">
        <v>3473</v>
      </c>
      <c r="H1515" s="655">
        <v>128690</v>
      </c>
      <c r="I1515" s="655">
        <v>349985</v>
      </c>
      <c r="J1515" s="655">
        <v>265763</v>
      </c>
      <c r="K1515" s="655">
        <v>28069</v>
      </c>
      <c r="L1515" s="655">
        <v>21481</v>
      </c>
      <c r="M1515" s="655">
        <v>0</v>
      </c>
      <c r="N1515" s="655">
        <v>145529</v>
      </c>
      <c r="O1515" s="655">
        <v>3020</v>
      </c>
      <c r="P1515" s="655">
        <v>23744</v>
      </c>
      <c r="Q1515" s="655">
        <v>26648</v>
      </c>
      <c r="R1515" s="655">
        <v>0</v>
      </c>
      <c r="S1515" s="655">
        <v>14621</v>
      </c>
      <c r="T1515" s="655">
        <v>1748</v>
      </c>
      <c r="U1515" s="655">
        <v>31638</v>
      </c>
      <c r="V1515" s="655">
        <v>0</v>
      </c>
      <c r="W1515" s="655">
        <v>78809</v>
      </c>
      <c r="X1515" s="655">
        <v>0</v>
      </c>
      <c r="Y1515" s="655">
        <v>0</v>
      </c>
      <c r="Z1515" s="655">
        <v>0</v>
      </c>
      <c r="AA1515" s="655">
        <v>0</v>
      </c>
      <c r="AB1515" s="655">
        <v>0</v>
      </c>
      <c r="AC1515" s="655">
        <v>0</v>
      </c>
      <c r="AD1515" s="655">
        <v>32691</v>
      </c>
      <c r="AE1515" s="655">
        <v>3994703</v>
      </c>
      <c r="AF1515" s="655">
        <v>62615</v>
      </c>
      <c r="AG1515" s="655">
        <v>259217</v>
      </c>
      <c r="AH1515" s="655">
        <v>0</v>
      </c>
      <c r="AI1515" s="655">
        <v>0</v>
      </c>
      <c r="AJ1515" s="655">
        <v>795134.08000000007</v>
      </c>
      <c r="AK1515" s="655">
        <v>5111669.08</v>
      </c>
      <c r="AL1515" s="655">
        <v>0</v>
      </c>
      <c r="AM1515" s="655">
        <v>5111669.08</v>
      </c>
    </row>
    <row r="1516" spans="1:39" x14ac:dyDescent="0.2">
      <c r="A1516" s="648">
        <v>2017</v>
      </c>
      <c r="B1516" s="648">
        <v>10</v>
      </c>
      <c r="C1516" s="657" t="s">
        <v>257</v>
      </c>
      <c r="D1516" s="648">
        <v>4086</v>
      </c>
      <c r="E1516" s="648" t="s">
        <v>1174</v>
      </c>
      <c r="F1516" s="655">
        <v>13218675</v>
      </c>
      <c r="G1516" s="655">
        <v>0</v>
      </c>
      <c r="H1516" s="655">
        <v>159829</v>
      </c>
      <c r="I1516" s="655">
        <v>1318052</v>
      </c>
      <c r="J1516" s="655">
        <v>1160155</v>
      </c>
      <c r="K1516" s="655">
        <v>139712</v>
      </c>
      <c r="L1516" s="655">
        <v>142121</v>
      </c>
      <c r="M1516" s="655">
        <v>0</v>
      </c>
      <c r="N1516" s="655">
        <v>627210</v>
      </c>
      <c r="O1516" s="655">
        <v>0</v>
      </c>
      <c r="P1516" s="655">
        <v>112100</v>
      </c>
      <c r="Q1516" s="655">
        <v>123160</v>
      </c>
      <c r="R1516" s="655">
        <v>0</v>
      </c>
      <c r="S1516" s="655">
        <v>58599</v>
      </c>
      <c r="T1516" s="655">
        <v>6820</v>
      </c>
      <c r="U1516" s="655">
        <v>115900</v>
      </c>
      <c r="V1516" s="655">
        <v>0</v>
      </c>
      <c r="W1516" s="655">
        <v>401124</v>
      </c>
      <c r="X1516" s="655">
        <v>0</v>
      </c>
      <c r="Y1516" s="655">
        <v>0</v>
      </c>
      <c r="Z1516" s="655">
        <v>0</v>
      </c>
      <c r="AA1516" s="655">
        <v>0</v>
      </c>
      <c r="AB1516" s="655">
        <v>0</v>
      </c>
      <c r="AC1516" s="655">
        <v>-13096</v>
      </c>
      <c r="AD1516" s="655">
        <v>93521</v>
      </c>
      <c r="AE1516" s="655">
        <v>17476840</v>
      </c>
      <c r="AF1516" s="655">
        <v>257122</v>
      </c>
      <c r="AG1516" s="655">
        <v>829737</v>
      </c>
      <c r="AH1516" s="655">
        <v>0</v>
      </c>
      <c r="AI1516" s="655">
        <v>0</v>
      </c>
      <c r="AJ1516" s="655">
        <v>8142817.3999999985</v>
      </c>
      <c r="AK1516" s="655">
        <v>26706516.399999999</v>
      </c>
      <c r="AL1516" s="655">
        <v>0</v>
      </c>
      <c r="AM1516" s="655">
        <v>26706516.399999999</v>
      </c>
    </row>
    <row r="1517" spans="1:39" x14ac:dyDescent="0.2">
      <c r="A1517" s="648">
        <v>2017</v>
      </c>
      <c r="B1517" s="648">
        <v>7</v>
      </c>
      <c r="C1517" s="657" t="s">
        <v>258</v>
      </c>
      <c r="D1517" s="648">
        <v>4104</v>
      </c>
      <c r="E1517" s="648" t="s">
        <v>1175</v>
      </c>
      <c r="F1517" s="655">
        <v>35289535</v>
      </c>
      <c r="G1517" s="655">
        <v>0</v>
      </c>
      <c r="H1517" s="655">
        <v>2049626</v>
      </c>
      <c r="I1517" s="655">
        <v>4474876</v>
      </c>
      <c r="J1517" s="655">
        <v>2924317</v>
      </c>
      <c r="K1517" s="655">
        <v>327407</v>
      </c>
      <c r="L1517" s="655">
        <v>455912</v>
      </c>
      <c r="M1517" s="655">
        <v>1701262</v>
      </c>
      <c r="N1517" s="655">
        <v>1757141</v>
      </c>
      <c r="O1517" s="655">
        <v>0</v>
      </c>
      <c r="P1517" s="655">
        <v>299892</v>
      </c>
      <c r="Q1517" s="655">
        <v>334897</v>
      </c>
      <c r="R1517" s="655">
        <v>0</v>
      </c>
      <c r="S1517" s="655">
        <v>222805</v>
      </c>
      <c r="T1517" s="655">
        <v>25602</v>
      </c>
      <c r="U1517" s="655">
        <v>1080013</v>
      </c>
      <c r="V1517" s="655">
        <v>0</v>
      </c>
      <c r="W1517" s="655">
        <v>1753065</v>
      </c>
      <c r="X1517" s="655">
        <v>0</v>
      </c>
      <c r="Y1517" s="655">
        <v>0</v>
      </c>
      <c r="Z1517" s="655">
        <v>0</v>
      </c>
      <c r="AA1517" s="655">
        <v>0</v>
      </c>
      <c r="AB1517" s="655">
        <v>0</v>
      </c>
      <c r="AC1517" s="655">
        <v>-1427</v>
      </c>
      <c r="AD1517" s="655">
        <v>271901</v>
      </c>
      <c r="AE1517" s="655">
        <v>52423022</v>
      </c>
      <c r="AF1517" s="655">
        <v>593190</v>
      </c>
      <c r="AG1517" s="655">
        <v>1995976</v>
      </c>
      <c r="AH1517" s="655">
        <v>0</v>
      </c>
      <c r="AI1517" s="655">
        <v>0</v>
      </c>
      <c r="AJ1517" s="655">
        <v>21246085.25</v>
      </c>
      <c r="AK1517" s="655">
        <v>76258273.25</v>
      </c>
      <c r="AL1517" s="655">
        <v>0</v>
      </c>
      <c r="AM1517" s="655">
        <v>76258273.25</v>
      </c>
    </row>
    <row r="1518" spans="1:39" x14ac:dyDescent="0.2">
      <c r="A1518" s="648">
        <v>2017</v>
      </c>
      <c r="B1518" s="648">
        <v>11</v>
      </c>
      <c r="C1518" s="657" t="s">
        <v>259</v>
      </c>
      <c r="D1518" s="648">
        <v>4122</v>
      </c>
      <c r="E1518" s="648" t="s">
        <v>1176</v>
      </c>
      <c r="F1518" s="655">
        <v>3461593</v>
      </c>
      <c r="G1518" s="655">
        <v>0</v>
      </c>
      <c r="H1518" s="655">
        <v>24855</v>
      </c>
      <c r="I1518" s="655">
        <v>325859</v>
      </c>
      <c r="J1518" s="655">
        <v>297163</v>
      </c>
      <c r="K1518" s="655">
        <v>28403</v>
      </c>
      <c r="L1518" s="655">
        <v>32263</v>
      </c>
      <c r="M1518" s="655">
        <v>0</v>
      </c>
      <c r="N1518" s="655">
        <v>161865</v>
      </c>
      <c r="O1518" s="655">
        <v>0</v>
      </c>
      <c r="P1518" s="655">
        <v>29267</v>
      </c>
      <c r="Q1518" s="655">
        <v>32129</v>
      </c>
      <c r="R1518" s="655">
        <v>0</v>
      </c>
      <c r="S1518" s="655">
        <v>13337</v>
      </c>
      <c r="T1518" s="655">
        <v>1695</v>
      </c>
      <c r="U1518" s="655">
        <v>101155</v>
      </c>
      <c r="V1518" s="655">
        <v>0</v>
      </c>
      <c r="W1518" s="655">
        <v>132787</v>
      </c>
      <c r="X1518" s="655">
        <v>0</v>
      </c>
      <c r="Y1518" s="655">
        <v>0</v>
      </c>
      <c r="Z1518" s="655">
        <v>0</v>
      </c>
      <c r="AA1518" s="655">
        <v>0</v>
      </c>
      <c r="AB1518" s="655">
        <v>0</v>
      </c>
      <c r="AC1518" s="655">
        <v>0</v>
      </c>
      <c r="AD1518" s="655">
        <v>26736</v>
      </c>
      <c r="AE1518" s="655">
        <v>4615635</v>
      </c>
      <c r="AF1518" s="655">
        <v>46137</v>
      </c>
      <c r="AG1518" s="655">
        <v>250550</v>
      </c>
      <c r="AH1518" s="655">
        <v>0</v>
      </c>
      <c r="AI1518" s="655">
        <v>0</v>
      </c>
      <c r="AJ1518" s="655">
        <v>2033424.0999999996</v>
      </c>
      <c r="AK1518" s="655">
        <v>6945746.0999999996</v>
      </c>
      <c r="AL1518" s="655">
        <v>0</v>
      </c>
      <c r="AM1518" s="655">
        <v>6945746.0999999996</v>
      </c>
    </row>
    <row r="1519" spans="1:39" x14ac:dyDescent="0.2">
      <c r="A1519" s="648">
        <v>2017</v>
      </c>
      <c r="B1519" s="648">
        <v>7</v>
      </c>
      <c r="C1519" s="657" t="s">
        <v>260</v>
      </c>
      <c r="D1519" s="648">
        <v>4131</v>
      </c>
      <c r="E1519" s="648" t="s">
        <v>1177</v>
      </c>
      <c r="F1519" s="655">
        <v>24905628</v>
      </c>
      <c r="G1519" s="655">
        <v>0</v>
      </c>
      <c r="H1519" s="655">
        <v>324068</v>
      </c>
      <c r="I1519" s="655">
        <v>4196291</v>
      </c>
      <c r="J1519" s="655">
        <v>2074946</v>
      </c>
      <c r="K1519" s="655">
        <v>246627</v>
      </c>
      <c r="L1519" s="655">
        <v>279333</v>
      </c>
      <c r="M1519" s="655">
        <v>0</v>
      </c>
      <c r="N1519" s="655">
        <v>1279995</v>
      </c>
      <c r="O1519" s="655">
        <v>0</v>
      </c>
      <c r="P1519" s="655">
        <v>227983</v>
      </c>
      <c r="Q1519" s="655">
        <v>254594</v>
      </c>
      <c r="R1519" s="655">
        <v>0</v>
      </c>
      <c r="S1519" s="655">
        <v>162303</v>
      </c>
      <c r="T1519" s="655">
        <v>18650</v>
      </c>
      <c r="U1519" s="655">
        <v>1218182</v>
      </c>
      <c r="V1519" s="655">
        <v>0</v>
      </c>
      <c r="W1519" s="655">
        <v>180794</v>
      </c>
      <c r="X1519" s="655">
        <v>0</v>
      </c>
      <c r="Y1519" s="655">
        <v>0</v>
      </c>
      <c r="Z1519" s="655">
        <v>0</v>
      </c>
      <c r="AA1519" s="655">
        <v>0</v>
      </c>
      <c r="AB1519" s="655">
        <v>0</v>
      </c>
      <c r="AC1519" s="655">
        <v>0</v>
      </c>
      <c r="AD1519" s="655">
        <v>255213</v>
      </c>
      <c r="AE1519" s="655">
        <v>35114181</v>
      </c>
      <c r="AF1519" s="655">
        <v>576713</v>
      </c>
      <c r="AG1519" s="655">
        <v>1850488</v>
      </c>
      <c r="AH1519" s="655">
        <v>0</v>
      </c>
      <c r="AI1519" s="655">
        <v>0</v>
      </c>
      <c r="AJ1519" s="655">
        <v>10497818.939999998</v>
      </c>
      <c r="AK1519" s="655">
        <v>48039200.939999998</v>
      </c>
      <c r="AL1519" s="655">
        <v>0</v>
      </c>
      <c r="AM1519" s="655">
        <v>48039200.939999998</v>
      </c>
    </row>
    <row r="1520" spans="1:39" x14ac:dyDescent="0.2">
      <c r="A1520" s="648">
        <v>2017</v>
      </c>
      <c r="B1520" s="648">
        <v>12</v>
      </c>
      <c r="C1520" s="657" t="s">
        <v>261</v>
      </c>
      <c r="D1520" s="648">
        <v>4149</v>
      </c>
      <c r="E1520" s="648" t="s">
        <v>641</v>
      </c>
      <c r="F1520" s="655">
        <v>9412041</v>
      </c>
      <c r="G1520" s="655">
        <v>0</v>
      </c>
      <c r="H1520" s="655">
        <v>215189</v>
      </c>
      <c r="I1520" s="655">
        <v>944785</v>
      </c>
      <c r="J1520" s="655">
        <v>793260</v>
      </c>
      <c r="K1520" s="655">
        <v>94972</v>
      </c>
      <c r="L1520" s="655">
        <v>91296</v>
      </c>
      <c r="M1520" s="655">
        <v>453811</v>
      </c>
      <c r="N1520" s="655">
        <v>462816</v>
      </c>
      <c r="O1520" s="655">
        <v>0</v>
      </c>
      <c r="P1520" s="655">
        <v>102945</v>
      </c>
      <c r="Q1520" s="655">
        <v>115535</v>
      </c>
      <c r="R1520" s="655">
        <v>0</v>
      </c>
      <c r="S1520" s="655">
        <v>46497</v>
      </c>
      <c r="T1520" s="655">
        <v>5560</v>
      </c>
      <c r="U1520" s="655">
        <v>349837</v>
      </c>
      <c r="V1520" s="655">
        <v>0</v>
      </c>
      <c r="W1520" s="655">
        <v>154568</v>
      </c>
      <c r="X1520" s="655">
        <v>0</v>
      </c>
      <c r="Y1520" s="655">
        <v>0</v>
      </c>
      <c r="Z1520" s="655">
        <v>0</v>
      </c>
      <c r="AA1520" s="655">
        <v>0</v>
      </c>
      <c r="AB1520" s="655">
        <v>0</v>
      </c>
      <c r="AC1520" s="655">
        <v>40602</v>
      </c>
      <c r="AD1520" s="655">
        <v>83094</v>
      </c>
      <c r="AE1520" s="655">
        <v>13200620</v>
      </c>
      <c r="AF1520" s="655">
        <v>217503</v>
      </c>
      <c r="AG1520" s="655">
        <v>746092</v>
      </c>
      <c r="AH1520" s="655">
        <v>0</v>
      </c>
      <c r="AI1520" s="655">
        <v>0</v>
      </c>
      <c r="AJ1520" s="655">
        <v>4339199</v>
      </c>
      <c r="AK1520" s="655">
        <v>18503414</v>
      </c>
      <c r="AL1520" s="655">
        <v>0</v>
      </c>
      <c r="AM1520" s="655">
        <v>18503414</v>
      </c>
    </row>
    <row r="1521" spans="1:39" x14ac:dyDescent="0.2">
      <c r="A1521" s="648">
        <v>2017</v>
      </c>
      <c r="B1521" s="648">
        <v>15</v>
      </c>
      <c r="C1521" s="657" t="s">
        <v>262</v>
      </c>
      <c r="D1521" s="648">
        <v>4203</v>
      </c>
      <c r="E1521" s="648" t="s">
        <v>1178</v>
      </c>
      <c r="F1521" s="655">
        <v>5023660</v>
      </c>
      <c r="G1521" s="655">
        <v>0</v>
      </c>
      <c r="H1521" s="655">
        <v>141107</v>
      </c>
      <c r="I1521" s="655">
        <v>430458</v>
      </c>
      <c r="J1521" s="655">
        <v>439042</v>
      </c>
      <c r="K1521" s="655">
        <v>43087</v>
      </c>
      <c r="L1521" s="655">
        <v>45465</v>
      </c>
      <c r="M1521" s="655">
        <v>0</v>
      </c>
      <c r="N1521" s="655">
        <v>237578</v>
      </c>
      <c r="O1521" s="655">
        <v>17895</v>
      </c>
      <c r="P1521" s="655">
        <v>41072</v>
      </c>
      <c r="Q1521" s="655">
        <v>45118</v>
      </c>
      <c r="R1521" s="655">
        <v>0</v>
      </c>
      <c r="S1521" s="655">
        <v>23799</v>
      </c>
      <c r="T1521" s="655">
        <v>2582</v>
      </c>
      <c r="U1521" s="655">
        <v>62893</v>
      </c>
      <c r="V1521" s="655">
        <v>0</v>
      </c>
      <c r="W1521" s="655">
        <v>123252</v>
      </c>
      <c r="X1521" s="655">
        <v>0</v>
      </c>
      <c r="Y1521" s="655">
        <v>0</v>
      </c>
      <c r="Z1521" s="655">
        <v>0</v>
      </c>
      <c r="AA1521" s="655">
        <v>0</v>
      </c>
      <c r="AB1521" s="655">
        <v>0</v>
      </c>
      <c r="AC1521" s="655">
        <v>-6446</v>
      </c>
      <c r="AD1521" s="655">
        <v>48538</v>
      </c>
      <c r="AE1521" s="655">
        <v>6622024</v>
      </c>
      <c r="AF1521" s="655">
        <v>0</v>
      </c>
      <c r="AG1521" s="655">
        <v>397824</v>
      </c>
      <c r="AH1521" s="655">
        <v>0</v>
      </c>
      <c r="AI1521" s="655">
        <v>0</v>
      </c>
      <c r="AJ1521" s="655">
        <v>3052934</v>
      </c>
      <c r="AK1521" s="655">
        <v>10072782</v>
      </c>
      <c r="AL1521" s="655">
        <v>0</v>
      </c>
      <c r="AM1521" s="655">
        <v>10072782</v>
      </c>
    </row>
    <row r="1522" spans="1:39" x14ac:dyDescent="0.2">
      <c r="A1522" s="648">
        <v>2017</v>
      </c>
      <c r="B1522" s="648">
        <v>11</v>
      </c>
      <c r="C1522" s="657" t="s">
        <v>263</v>
      </c>
      <c r="D1522" s="648">
        <v>4212</v>
      </c>
      <c r="E1522" s="648" t="s">
        <v>1179</v>
      </c>
      <c r="F1522" s="655">
        <v>2215894</v>
      </c>
      <c r="G1522" s="655">
        <v>0</v>
      </c>
      <c r="H1522" s="655">
        <v>16313</v>
      </c>
      <c r="I1522" s="655">
        <v>263508</v>
      </c>
      <c r="J1522" s="655">
        <v>221250</v>
      </c>
      <c r="K1522" s="655">
        <v>22892</v>
      </c>
      <c r="L1522" s="655">
        <v>27299</v>
      </c>
      <c r="M1522" s="655">
        <v>0</v>
      </c>
      <c r="N1522" s="655">
        <v>105962</v>
      </c>
      <c r="O1522" s="655">
        <v>3977</v>
      </c>
      <c r="P1522" s="655">
        <v>18077</v>
      </c>
      <c r="Q1522" s="655">
        <v>19844</v>
      </c>
      <c r="R1522" s="655">
        <v>0</v>
      </c>
      <c r="S1522" s="655">
        <v>8731</v>
      </c>
      <c r="T1522" s="655">
        <v>1110</v>
      </c>
      <c r="U1522" s="655">
        <v>78268</v>
      </c>
      <c r="V1522" s="655">
        <v>0</v>
      </c>
      <c r="W1522" s="655">
        <v>45478</v>
      </c>
      <c r="X1522" s="655">
        <v>0</v>
      </c>
      <c r="Y1522" s="655">
        <v>0</v>
      </c>
      <c r="Z1522" s="655">
        <v>0</v>
      </c>
      <c r="AA1522" s="655">
        <v>0</v>
      </c>
      <c r="AB1522" s="655">
        <v>0</v>
      </c>
      <c r="AC1522" s="655">
        <v>-6446</v>
      </c>
      <c r="AD1522" s="655">
        <v>24288</v>
      </c>
      <c r="AE1522" s="655">
        <v>3017869</v>
      </c>
      <c r="AF1522" s="655">
        <v>69206</v>
      </c>
      <c r="AG1522" s="655">
        <v>134704</v>
      </c>
      <c r="AH1522" s="655">
        <v>0</v>
      </c>
      <c r="AI1522" s="655">
        <v>0</v>
      </c>
      <c r="AJ1522" s="655">
        <v>1076277</v>
      </c>
      <c r="AK1522" s="655">
        <v>4298056</v>
      </c>
      <c r="AL1522" s="655">
        <v>0</v>
      </c>
      <c r="AM1522" s="655">
        <v>4298056</v>
      </c>
    </row>
    <row r="1523" spans="1:39" x14ac:dyDescent="0.2">
      <c r="A1523" s="648">
        <v>2017</v>
      </c>
      <c r="B1523" s="648">
        <v>10</v>
      </c>
      <c r="C1523" s="657" t="s">
        <v>264</v>
      </c>
      <c r="D1523" s="648">
        <v>4269</v>
      </c>
      <c r="E1523" s="648" t="s">
        <v>642</v>
      </c>
      <c r="F1523" s="655">
        <v>3575136</v>
      </c>
      <c r="G1523" s="655">
        <v>0</v>
      </c>
      <c r="H1523" s="655">
        <v>135571</v>
      </c>
      <c r="I1523" s="655">
        <v>424314</v>
      </c>
      <c r="J1523" s="655">
        <v>328763</v>
      </c>
      <c r="K1523" s="655">
        <v>32610</v>
      </c>
      <c r="L1523" s="655">
        <v>34558</v>
      </c>
      <c r="M1523" s="655">
        <v>0</v>
      </c>
      <c r="N1523" s="655">
        <v>172898</v>
      </c>
      <c r="O1523" s="655">
        <v>8350</v>
      </c>
      <c r="P1523" s="655">
        <v>29386</v>
      </c>
      <c r="Q1523" s="655">
        <v>32286</v>
      </c>
      <c r="R1523" s="655">
        <v>0</v>
      </c>
      <c r="S1523" s="655">
        <v>16153</v>
      </c>
      <c r="T1523" s="655">
        <v>1880</v>
      </c>
      <c r="U1523" s="655">
        <v>18982</v>
      </c>
      <c r="V1523" s="655">
        <v>0</v>
      </c>
      <c r="W1523" s="655">
        <v>118236</v>
      </c>
      <c r="X1523" s="655">
        <v>0</v>
      </c>
      <c r="Y1523" s="655">
        <v>0</v>
      </c>
      <c r="Z1523" s="655">
        <v>0</v>
      </c>
      <c r="AA1523" s="655">
        <v>0</v>
      </c>
      <c r="AB1523" s="655">
        <v>0</v>
      </c>
      <c r="AC1523" s="655">
        <v>0</v>
      </c>
      <c r="AD1523" s="655">
        <v>41174</v>
      </c>
      <c r="AE1523" s="655">
        <v>4887949</v>
      </c>
      <c r="AF1523" s="655">
        <v>92274</v>
      </c>
      <c r="AG1523" s="655">
        <v>296200</v>
      </c>
      <c r="AH1523" s="655">
        <v>0</v>
      </c>
      <c r="AI1523" s="655">
        <v>0</v>
      </c>
      <c r="AJ1523" s="655">
        <v>2260946.9699999997</v>
      </c>
      <c r="AK1523" s="655">
        <v>7537369.9699999997</v>
      </c>
      <c r="AL1523" s="655">
        <v>0</v>
      </c>
      <c r="AM1523" s="655">
        <v>7537369.9699999997</v>
      </c>
    </row>
    <row r="1524" spans="1:39" x14ac:dyDescent="0.2">
      <c r="A1524" s="648">
        <v>2017</v>
      </c>
      <c r="B1524" s="648">
        <v>10</v>
      </c>
      <c r="C1524" s="657" t="s">
        <v>265</v>
      </c>
      <c r="D1524" s="648">
        <v>4271</v>
      </c>
      <c r="E1524" s="648" t="s">
        <v>1180</v>
      </c>
      <c r="F1524" s="655">
        <v>8010104</v>
      </c>
      <c r="G1524" s="655">
        <v>0</v>
      </c>
      <c r="H1524" s="655">
        <v>236757</v>
      </c>
      <c r="I1524" s="655">
        <v>865374</v>
      </c>
      <c r="J1524" s="655">
        <v>708340</v>
      </c>
      <c r="K1524" s="655">
        <v>77062</v>
      </c>
      <c r="L1524" s="655">
        <v>79181</v>
      </c>
      <c r="M1524" s="655">
        <v>0</v>
      </c>
      <c r="N1524" s="655">
        <v>387462</v>
      </c>
      <c r="O1524" s="655">
        <v>14</v>
      </c>
      <c r="P1524" s="655">
        <v>67724</v>
      </c>
      <c r="Q1524" s="655">
        <v>74405</v>
      </c>
      <c r="R1524" s="655">
        <v>0</v>
      </c>
      <c r="S1524" s="655">
        <v>36200</v>
      </c>
      <c r="T1524" s="655">
        <v>4213</v>
      </c>
      <c r="U1524" s="655">
        <v>211935</v>
      </c>
      <c r="V1524" s="655">
        <v>0</v>
      </c>
      <c r="W1524" s="655">
        <v>317124</v>
      </c>
      <c r="X1524" s="655">
        <v>0</v>
      </c>
      <c r="Y1524" s="655">
        <v>0</v>
      </c>
      <c r="Z1524" s="655">
        <v>0</v>
      </c>
      <c r="AA1524" s="655">
        <v>0</v>
      </c>
      <c r="AB1524" s="655">
        <v>0</v>
      </c>
      <c r="AC1524" s="655">
        <v>-1423</v>
      </c>
      <c r="AD1524" s="655">
        <v>64326</v>
      </c>
      <c r="AE1524" s="655">
        <v>11010146</v>
      </c>
      <c r="AF1524" s="655">
        <v>283413</v>
      </c>
      <c r="AG1524" s="655">
        <v>625669</v>
      </c>
      <c r="AH1524" s="655">
        <v>0</v>
      </c>
      <c r="AI1524" s="655">
        <v>0</v>
      </c>
      <c r="AJ1524" s="655">
        <v>3487694.7199999988</v>
      </c>
      <c r="AK1524" s="655">
        <v>15406922.719999999</v>
      </c>
      <c r="AL1524" s="655">
        <v>0</v>
      </c>
      <c r="AM1524" s="655">
        <v>15406922.719999999</v>
      </c>
    </row>
    <row r="1525" spans="1:39" x14ac:dyDescent="0.2">
      <c r="A1525" s="648">
        <v>2017</v>
      </c>
      <c r="B1525" s="648">
        <v>13</v>
      </c>
      <c r="C1525" s="657" t="s">
        <v>266</v>
      </c>
      <c r="D1525" s="648">
        <v>4356</v>
      </c>
      <c r="E1525" s="648" t="s">
        <v>1181</v>
      </c>
      <c r="F1525" s="655">
        <v>5682101</v>
      </c>
      <c r="G1525" s="655">
        <v>0</v>
      </c>
      <c r="H1525" s="655">
        <v>49894</v>
      </c>
      <c r="I1525" s="655">
        <v>872648</v>
      </c>
      <c r="J1525" s="655">
        <v>469060</v>
      </c>
      <c r="K1525" s="655">
        <v>46648</v>
      </c>
      <c r="L1525" s="655">
        <v>55105</v>
      </c>
      <c r="M1525" s="655">
        <v>0</v>
      </c>
      <c r="N1525" s="655">
        <v>288146</v>
      </c>
      <c r="O1525" s="655">
        <v>0</v>
      </c>
      <c r="P1525" s="655">
        <v>47081</v>
      </c>
      <c r="Q1525" s="655">
        <v>52066</v>
      </c>
      <c r="R1525" s="655">
        <v>0</v>
      </c>
      <c r="S1525" s="655">
        <v>29586</v>
      </c>
      <c r="T1525" s="655">
        <v>3153</v>
      </c>
      <c r="U1525" s="655">
        <v>137459</v>
      </c>
      <c r="V1525" s="655">
        <v>0</v>
      </c>
      <c r="W1525" s="655">
        <v>136171</v>
      </c>
      <c r="X1525" s="655">
        <v>0</v>
      </c>
      <c r="Y1525" s="655">
        <v>0</v>
      </c>
      <c r="Z1525" s="655">
        <v>0</v>
      </c>
      <c r="AA1525" s="655">
        <v>0</v>
      </c>
      <c r="AB1525" s="655">
        <v>0</v>
      </c>
      <c r="AC1525" s="655">
        <v>0</v>
      </c>
      <c r="AD1525" s="655">
        <v>52338</v>
      </c>
      <c r="AE1525" s="655">
        <v>7816780</v>
      </c>
      <c r="AF1525" s="655">
        <v>171294</v>
      </c>
      <c r="AG1525" s="655">
        <v>430362</v>
      </c>
      <c r="AH1525" s="655">
        <v>0</v>
      </c>
      <c r="AI1525" s="655">
        <v>0</v>
      </c>
      <c r="AJ1525" s="655">
        <v>2387250.629999999</v>
      </c>
      <c r="AK1525" s="655">
        <v>10805686.629999999</v>
      </c>
      <c r="AL1525" s="655">
        <v>0</v>
      </c>
      <c r="AM1525" s="655">
        <v>10805686.629999999</v>
      </c>
    </row>
    <row r="1526" spans="1:39" x14ac:dyDescent="0.2">
      <c r="A1526" s="648">
        <v>2017</v>
      </c>
      <c r="B1526" s="648">
        <v>1</v>
      </c>
      <c r="C1526" s="657" t="s">
        <v>267</v>
      </c>
      <c r="D1526" s="648">
        <v>4419</v>
      </c>
      <c r="E1526" s="648" t="s">
        <v>643</v>
      </c>
      <c r="F1526" s="655">
        <v>5186410</v>
      </c>
      <c r="G1526" s="655">
        <v>0</v>
      </c>
      <c r="H1526" s="655">
        <v>167231</v>
      </c>
      <c r="I1526" s="655">
        <v>527324</v>
      </c>
      <c r="J1526" s="655">
        <v>457230</v>
      </c>
      <c r="K1526" s="655">
        <v>55550</v>
      </c>
      <c r="L1526" s="655">
        <v>56262</v>
      </c>
      <c r="M1526" s="655">
        <v>250181</v>
      </c>
      <c r="N1526" s="655">
        <v>262015</v>
      </c>
      <c r="O1526" s="655">
        <v>3472</v>
      </c>
      <c r="P1526" s="655">
        <v>42439</v>
      </c>
      <c r="Q1526" s="655">
        <v>47348</v>
      </c>
      <c r="R1526" s="655">
        <v>0</v>
      </c>
      <c r="S1526" s="655">
        <v>25801</v>
      </c>
      <c r="T1526" s="655">
        <v>2767</v>
      </c>
      <c r="U1526" s="655">
        <v>239257</v>
      </c>
      <c r="V1526" s="655">
        <v>0</v>
      </c>
      <c r="W1526" s="655">
        <v>58014</v>
      </c>
      <c r="X1526" s="655">
        <v>0</v>
      </c>
      <c r="Y1526" s="655">
        <v>0</v>
      </c>
      <c r="Z1526" s="655">
        <v>0</v>
      </c>
      <c r="AA1526" s="655">
        <v>0</v>
      </c>
      <c r="AB1526" s="655">
        <v>0</v>
      </c>
      <c r="AC1526" s="655">
        <v>0</v>
      </c>
      <c r="AD1526" s="655">
        <v>57115</v>
      </c>
      <c r="AE1526" s="655">
        <v>7324186</v>
      </c>
      <c r="AF1526" s="655">
        <v>138339</v>
      </c>
      <c r="AG1526" s="655">
        <v>387840</v>
      </c>
      <c r="AH1526" s="655">
        <v>0</v>
      </c>
      <c r="AI1526" s="655">
        <v>0</v>
      </c>
      <c r="AJ1526" s="655">
        <v>725247.71999999881</v>
      </c>
      <c r="AK1526" s="655">
        <v>8575612.7199999988</v>
      </c>
      <c r="AL1526" s="655">
        <v>0</v>
      </c>
      <c r="AM1526" s="655">
        <v>8575612.7199999988</v>
      </c>
    </row>
    <row r="1527" spans="1:39" x14ac:dyDescent="0.2">
      <c r="A1527" s="648">
        <v>2017</v>
      </c>
      <c r="B1527" s="648">
        <v>7</v>
      </c>
      <c r="C1527" s="657" t="s">
        <v>268</v>
      </c>
      <c r="D1527" s="648">
        <v>4437</v>
      </c>
      <c r="E1527" s="648" t="s">
        <v>1182</v>
      </c>
      <c r="F1527" s="655">
        <v>3396342</v>
      </c>
      <c r="G1527" s="655">
        <v>30113</v>
      </c>
      <c r="H1527" s="655">
        <v>75810</v>
      </c>
      <c r="I1527" s="655">
        <v>311095</v>
      </c>
      <c r="J1527" s="655">
        <v>276948</v>
      </c>
      <c r="K1527" s="655">
        <v>26940</v>
      </c>
      <c r="L1527" s="655">
        <v>35659</v>
      </c>
      <c r="M1527" s="655">
        <v>0</v>
      </c>
      <c r="N1527" s="655">
        <v>164846</v>
      </c>
      <c r="O1527" s="655">
        <v>5856</v>
      </c>
      <c r="P1527" s="655">
        <v>27928</v>
      </c>
      <c r="Q1527" s="655">
        <v>31188</v>
      </c>
      <c r="R1527" s="655">
        <v>0</v>
      </c>
      <c r="S1527" s="655">
        <v>20987</v>
      </c>
      <c r="T1527" s="655">
        <v>2409</v>
      </c>
      <c r="U1527" s="655">
        <v>162760</v>
      </c>
      <c r="V1527" s="655">
        <v>0</v>
      </c>
      <c r="W1527" s="655">
        <v>85379</v>
      </c>
      <c r="X1527" s="655">
        <v>0</v>
      </c>
      <c r="Y1527" s="655">
        <v>0</v>
      </c>
      <c r="Z1527" s="655">
        <v>0</v>
      </c>
      <c r="AA1527" s="655">
        <v>0</v>
      </c>
      <c r="AB1527" s="655">
        <v>0</v>
      </c>
      <c r="AC1527" s="655">
        <v>-5350</v>
      </c>
      <c r="AD1527" s="655">
        <v>28918</v>
      </c>
      <c r="AE1527" s="655">
        <v>4619992</v>
      </c>
      <c r="AF1527" s="655">
        <v>82388</v>
      </c>
      <c r="AG1527" s="655">
        <v>291934</v>
      </c>
      <c r="AH1527" s="655">
        <v>0</v>
      </c>
      <c r="AI1527" s="655">
        <v>0</v>
      </c>
      <c r="AJ1527" s="655">
        <v>1407437.5</v>
      </c>
      <c r="AK1527" s="655">
        <v>6401751.5</v>
      </c>
      <c r="AL1527" s="655">
        <v>0</v>
      </c>
      <c r="AM1527" s="655">
        <v>6401751.5</v>
      </c>
    </row>
    <row r="1528" spans="1:39" x14ac:dyDescent="0.2">
      <c r="A1528" s="648">
        <v>2017</v>
      </c>
      <c r="B1528" s="648">
        <v>10</v>
      </c>
      <c r="C1528" s="657" t="s">
        <v>269</v>
      </c>
      <c r="D1528" s="648">
        <v>4446</v>
      </c>
      <c r="E1528" s="648" t="s">
        <v>1183</v>
      </c>
      <c r="F1528" s="655">
        <v>6921209</v>
      </c>
      <c r="G1528" s="655">
        <v>0</v>
      </c>
      <c r="H1528" s="655">
        <v>139301</v>
      </c>
      <c r="I1528" s="655">
        <v>969207</v>
      </c>
      <c r="J1528" s="655">
        <v>602883</v>
      </c>
      <c r="K1528" s="655">
        <v>58638</v>
      </c>
      <c r="L1528" s="655">
        <v>63426</v>
      </c>
      <c r="M1528" s="655">
        <v>335738</v>
      </c>
      <c r="N1528" s="655">
        <v>345713</v>
      </c>
      <c r="O1528" s="655">
        <v>0</v>
      </c>
      <c r="P1528" s="655">
        <v>60552</v>
      </c>
      <c r="Q1528" s="655">
        <v>66527</v>
      </c>
      <c r="R1528" s="655">
        <v>0</v>
      </c>
      <c r="S1528" s="655">
        <v>32299</v>
      </c>
      <c r="T1528" s="655">
        <v>3759</v>
      </c>
      <c r="U1528" s="655">
        <v>253819</v>
      </c>
      <c r="V1528" s="655">
        <v>0</v>
      </c>
      <c r="W1528" s="655">
        <v>93464</v>
      </c>
      <c r="X1528" s="655">
        <v>0</v>
      </c>
      <c r="Y1528" s="655">
        <v>0</v>
      </c>
      <c r="Z1528" s="655">
        <v>0</v>
      </c>
      <c r="AA1528" s="655">
        <v>0</v>
      </c>
      <c r="AB1528" s="655">
        <v>0</v>
      </c>
      <c r="AC1528" s="655">
        <v>6446</v>
      </c>
      <c r="AD1528" s="655">
        <v>56189</v>
      </c>
      <c r="AE1528" s="655">
        <v>9896792</v>
      </c>
      <c r="AF1528" s="655">
        <v>204321</v>
      </c>
      <c r="AG1528" s="655">
        <v>525320</v>
      </c>
      <c r="AH1528" s="655">
        <v>0</v>
      </c>
      <c r="AI1528" s="655">
        <v>0</v>
      </c>
      <c r="AJ1528" s="655">
        <v>1130800.4700000007</v>
      </c>
      <c r="AK1528" s="655">
        <v>11757233.470000001</v>
      </c>
      <c r="AL1528" s="655">
        <v>0</v>
      </c>
      <c r="AM1528" s="655">
        <v>11757233.470000001</v>
      </c>
    </row>
    <row r="1529" spans="1:39" x14ac:dyDescent="0.2">
      <c r="A1529" s="648">
        <v>2017</v>
      </c>
      <c r="B1529" s="648">
        <v>15</v>
      </c>
      <c r="C1529" s="657" t="s">
        <v>270</v>
      </c>
      <c r="D1529" s="648">
        <v>4491</v>
      </c>
      <c r="E1529" s="648" t="s">
        <v>1184</v>
      </c>
      <c r="F1529" s="655">
        <v>2237645</v>
      </c>
      <c r="G1529" s="655">
        <v>20833</v>
      </c>
      <c r="H1529" s="655">
        <v>131312</v>
      </c>
      <c r="I1529" s="655">
        <v>238726</v>
      </c>
      <c r="J1529" s="655">
        <v>223893</v>
      </c>
      <c r="K1529" s="655">
        <v>25095</v>
      </c>
      <c r="L1529" s="655">
        <v>27946</v>
      </c>
      <c r="M1529" s="655">
        <v>0</v>
      </c>
      <c r="N1529" s="655">
        <v>107869</v>
      </c>
      <c r="O1529" s="655">
        <v>720</v>
      </c>
      <c r="P1529" s="655">
        <v>18326</v>
      </c>
      <c r="Q1529" s="655">
        <v>20131</v>
      </c>
      <c r="R1529" s="655">
        <v>0</v>
      </c>
      <c r="S1529" s="655">
        <v>10806</v>
      </c>
      <c r="T1529" s="655">
        <v>1172</v>
      </c>
      <c r="U1529" s="655">
        <v>107232</v>
      </c>
      <c r="V1529" s="655">
        <v>0</v>
      </c>
      <c r="W1529" s="655">
        <v>79285</v>
      </c>
      <c r="X1529" s="655">
        <v>0</v>
      </c>
      <c r="Y1529" s="655">
        <v>0</v>
      </c>
      <c r="Z1529" s="655">
        <v>0</v>
      </c>
      <c r="AA1529" s="655">
        <v>0</v>
      </c>
      <c r="AB1529" s="655">
        <v>0</v>
      </c>
      <c r="AC1529" s="655">
        <v>0</v>
      </c>
      <c r="AD1529" s="655">
        <v>17166</v>
      </c>
      <c r="AE1529" s="655">
        <v>3233825</v>
      </c>
      <c r="AF1529" s="655">
        <v>69206</v>
      </c>
      <c r="AG1529" s="655">
        <v>158432</v>
      </c>
      <c r="AH1529" s="655">
        <v>0</v>
      </c>
      <c r="AI1529" s="655">
        <v>0</v>
      </c>
      <c r="AJ1529" s="655">
        <v>1392626.8499999996</v>
      </c>
      <c r="AK1529" s="655">
        <v>4854089.8499999996</v>
      </c>
      <c r="AL1529" s="655">
        <v>0</v>
      </c>
      <c r="AM1529" s="655">
        <v>4854089.8499999996</v>
      </c>
    </row>
    <row r="1530" spans="1:39" x14ac:dyDescent="0.2">
      <c r="A1530" s="648">
        <v>2017</v>
      </c>
      <c r="B1530" s="648">
        <v>13</v>
      </c>
      <c r="C1530" s="657" t="s">
        <v>271</v>
      </c>
      <c r="D1530" s="648">
        <v>4505</v>
      </c>
      <c r="E1530" s="648" t="s">
        <v>1185</v>
      </c>
      <c r="F1530" s="655">
        <v>1776889</v>
      </c>
      <c r="G1530" s="655">
        <v>0</v>
      </c>
      <c r="H1530" s="655">
        <v>33758</v>
      </c>
      <c r="I1530" s="655">
        <v>281063</v>
      </c>
      <c r="J1530" s="655">
        <v>155774</v>
      </c>
      <c r="K1530" s="655">
        <v>14178</v>
      </c>
      <c r="L1530" s="655">
        <v>18145</v>
      </c>
      <c r="M1530" s="655">
        <v>0</v>
      </c>
      <c r="N1530" s="655">
        <v>89463</v>
      </c>
      <c r="O1530" s="655">
        <v>0</v>
      </c>
      <c r="P1530" s="655">
        <v>14399</v>
      </c>
      <c r="Q1530" s="655">
        <v>15924</v>
      </c>
      <c r="R1530" s="655">
        <v>0</v>
      </c>
      <c r="S1530" s="655">
        <v>9186</v>
      </c>
      <c r="T1530" s="655">
        <v>979</v>
      </c>
      <c r="U1530" s="655">
        <v>42076</v>
      </c>
      <c r="V1530" s="655">
        <v>0</v>
      </c>
      <c r="W1530" s="655">
        <v>58014</v>
      </c>
      <c r="X1530" s="655">
        <v>0</v>
      </c>
      <c r="Y1530" s="655">
        <v>0</v>
      </c>
      <c r="Z1530" s="655">
        <v>0</v>
      </c>
      <c r="AA1530" s="655">
        <v>0</v>
      </c>
      <c r="AB1530" s="655">
        <v>0</v>
      </c>
      <c r="AC1530" s="655">
        <v>0</v>
      </c>
      <c r="AD1530" s="655">
        <v>17187</v>
      </c>
      <c r="AE1530" s="655">
        <v>2492661</v>
      </c>
      <c r="AF1530" s="655">
        <v>46137</v>
      </c>
      <c r="AG1530" s="655">
        <v>130548</v>
      </c>
      <c r="AH1530" s="655">
        <v>0</v>
      </c>
      <c r="AI1530" s="655">
        <v>0</v>
      </c>
      <c r="AJ1530" s="655">
        <v>527074</v>
      </c>
      <c r="AK1530" s="655">
        <v>3196420</v>
      </c>
      <c r="AL1530" s="655">
        <v>0</v>
      </c>
      <c r="AM1530" s="655">
        <v>3196420</v>
      </c>
    </row>
    <row r="1531" spans="1:39" x14ac:dyDescent="0.2">
      <c r="A1531" s="648">
        <v>2017</v>
      </c>
      <c r="B1531" s="648">
        <v>15</v>
      </c>
      <c r="C1531" s="657" t="s">
        <v>272</v>
      </c>
      <c r="D1531" s="648">
        <v>4509</v>
      </c>
      <c r="E1531" s="648" t="s">
        <v>1186</v>
      </c>
      <c r="F1531" s="655">
        <v>1405201</v>
      </c>
      <c r="G1531" s="655">
        <v>40121</v>
      </c>
      <c r="H1531" s="655">
        <v>121643</v>
      </c>
      <c r="I1531" s="655">
        <v>191600</v>
      </c>
      <c r="J1531" s="655">
        <v>127159</v>
      </c>
      <c r="K1531" s="655">
        <v>13891</v>
      </c>
      <c r="L1531" s="655">
        <v>18652</v>
      </c>
      <c r="M1531" s="655">
        <v>0</v>
      </c>
      <c r="N1531" s="655">
        <v>69556</v>
      </c>
      <c r="O1531" s="655">
        <v>0</v>
      </c>
      <c r="P1531" s="655">
        <v>11481</v>
      </c>
      <c r="Q1531" s="655">
        <v>12612</v>
      </c>
      <c r="R1531" s="655">
        <v>0</v>
      </c>
      <c r="S1531" s="655">
        <v>6968</v>
      </c>
      <c r="T1531" s="655">
        <v>756</v>
      </c>
      <c r="U1531" s="655">
        <v>20368</v>
      </c>
      <c r="V1531" s="655">
        <v>0</v>
      </c>
      <c r="W1531" s="655">
        <v>45151</v>
      </c>
      <c r="X1531" s="655">
        <v>0</v>
      </c>
      <c r="Y1531" s="655">
        <v>0</v>
      </c>
      <c r="Z1531" s="655">
        <v>0</v>
      </c>
      <c r="AA1531" s="655">
        <v>0</v>
      </c>
      <c r="AB1531" s="655">
        <v>0</v>
      </c>
      <c r="AC1531" s="655">
        <v>0</v>
      </c>
      <c r="AD1531" s="655">
        <v>12759</v>
      </c>
      <c r="AE1531" s="655">
        <v>2072400</v>
      </c>
      <c r="AF1531" s="655">
        <v>52728</v>
      </c>
      <c r="AG1531" s="655">
        <v>103167</v>
      </c>
      <c r="AH1531" s="655">
        <v>0</v>
      </c>
      <c r="AI1531" s="655">
        <v>0</v>
      </c>
      <c r="AJ1531" s="655">
        <v>102347.77000000002</v>
      </c>
      <c r="AK1531" s="655">
        <v>2330642.77</v>
      </c>
      <c r="AL1531" s="655">
        <v>0</v>
      </c>
      <c r="AM1531" s="655">
        <v>2330642.77</v>
      </c>
    </row>
    <row r="1532" spans="1:39" x14ac:dyDescent="0.2">
      <c r="A1532" s="648">
        <v>2017</v>
      </c>
      <c r="B1532" s="648">
        <v>15</v>
      </c>
      <c r="C1532" s="657" t="s">
        <v>273</v>
      </c>
      <c r="D1532" s="648">
        <v>4518</v>
      </c>
      <c r="E1532" s="648" t="s">
        <v>1187</v>
      </c>
      <c r="F1532" s="655">
        <v>1469134</v>
      </c>
      <c r="G1532" s="655">
        <v>0</v>
      </c>
      <c r="H1532" s="655">
        <v>109358</v>
      </c>
      <c r="I1532" s="655">
        <v>134786</v>
      </c>
      <c r="J1532" s="655">
        <v>141780</v>
      </c>
      <c r="K1532" s="655">
        <v>14558</v>
      </c>
      <c r="L1532" s="655">
        <v>16365</v>
      </c>
      <c r="M1532" s="655">
        <v>0</v>
      </c>
      <c r="N1532" s="655">
        <v>69866</v>
      </c>
      <c r="O1532" s="655">
        <v>107</v>
      </c>
      <c r="P1532" s="655">
        <v>12020</v>
      </c>
      <c r="Q1532" s="655">
        <v>13204</v>
      </c>
      <c r="R1532" s="655">
        <v>0</v>
      </c>
      <c r="S1532" s="655">
        <v>6999</v>
      </c>
      <c r="T1532" s="655">
        <v>759</v>
      </c>
      <c r="U1532" s="655">
        <v>0</v>
      </c>
      <c r="V1532" s="655">
        <v>0</v>
      </c>
      <c r="W1532" s="655">
        <v>101202</v>
      </c>
      <c r="X1532" s="655">
        <v>0</v>
      </c>
      <c r="Y1532" s="655">
        <v>0</v>
      </c>
      <c r="Z1532" s="655">
        <v>0</v>
      </c>
      <c r="AA1532" s="655">
        <v>0</v>
      </c>
      <c r="AB1532" s="655">
        <v>0</v>
      </c>
      <c r="AC1532" s="655">
        <v>0</v>
      </c>
      <c r="AD1532" s="655">
        <v>15072</v>
      </c>
      <c r="AE1532" s="655">
        <v>2075066</v>
      </c>
      <c r="AF1532" s="655">
        <v>59319</v>
      </c>
      <c r="AG1532" s="655">
        <v>102971</v>
      </c>
      <c r="AH1532" s="655">
        <v>0</v>
      </c>
      <c r="AI1532" s="655">
        <v>0</v>
      </c>
      <c r="AJ1532" s="655">
        <v>541011.63999999966</v>
      </c>
      <c r="AK1532" s="655">
        <v>2778367.6399999997</v>
      </c>
      <c r="AL1532" s="655">
        <v>0</v>
      </c>
      <c r="AM1532" s="655">
        <v>2778367.6399999997</v>
      </c>
    </row>
    <row r="1533" spans="1:39" x14ac:dyDescent="0.2">
      <c r="A1533" s="648">
        <v>2017</v>
      </c>
      <c r="B1533" s="648">
        <v>13</v>
      </c>
      <c r="C1533" s="657" t="s">
        <v>274</v>
      </c>
      <c r="D1533" s="648">
        <v>4527</v>
      </c>
      <c r="E1533" s="648" t="s">
        <v>1189</v>
      </c>
      <c r="F1533" s="655">
        <v>4224116</v>
      </c>
      <c r="G1533" s="655">
        <v>0</v>
      </c>
      <c r="H1533" s="655">
        <v>112955</v>
      </c>
      <c r="I1533" s="655">
        <v>608956</v>
      </c>
      <c r="J1533" s="655">
        <v>414596</v>
      </c>
      <c r="K1533" s="655">
        <v>51645</v>
      </c>
      <c r="L1533" s="655">
        <v>47904</v>
      </c>
      <c r="M1533" s="655">
        <v>0</v>
      </c>
      <c r="N1533" s="655">
        <v>212365</v>
      </c>
      <c r="O1533" s="655">
        <v>0</v>
      </c>
      <c r="P1533" s="655">
        <v>34569</v>
      </c>
      <c r="Q1533" s="655">
        <v>38229</v>
      </c>
      <c r="R1533" s="655">
        <v>0</v>
      </c>
      <c r="S1533" s="655">
        <v>21805</v>
      </c>
      <c r="T1533" s="655">
        <v>2323</v>
      </c>
      <c r="U1533" s="655">
        <v>161305</v>
      </c>
      <c r="V1533" s="655">
        <v>0</v>
      </c>
      <c r="W1533" s="655">
        <v>54308</v>
      </c>
      <c r="X1533" s="655">
        <v>0</v>
      </c>
      <c r="Y1533" s="655">
        <v>0</v>
      </c>
      <c r="Z1533" s="655">
        <v>0</v>
      </c>
      <c r="AA1533" s="655">
        <v>0</v>
      </c>
      <c r="AB1533" s="655">
        <v>0</v>
      </c>
      <c r="AC1533" s="655">
        <v>-1419</v>
      </c>
      <c r="AD1533" s="655">
        <v>45717</v>
      </c>
      <c r="AE1533" s="655">
        <v>5937940</v>
      </c>
      <c r="AF1533" s="655">
        <v>115343</v>
      </c>
      <c r="AG1533" s="655">
        <v>338352</v>
      </c>
      <c r="AH1533" s="655">
        <v>0</v>
      </c>
      <c r="AI1533" s="655">
        <v>0</v>
      </c>
      <c r="AJ1533" s="655">
        <v>1181578</v>
      </c>
      <c r="AK1533" s="655">
        <v>7573213</v>
      </c>
      <c r="AL1533" s="655">
        <v>0</v>
      </c>
      <c r="AM1533" s="655">
        <v>7573213</v>
      </c>
    </row>
    <row r="1534" spans="1:39" x14ac:dyDescent="0.2">
      <c r="A1534" s="648">
        <v>2017</v>
      </c>
      <c r="B1534" s="648">
        <v>15</v>
      </c>
      <c r="C1534" s="657" t="s">
        <v>275</v>
      </c>
      <c r="D1534" s="648">
        <v>4536</v>
      </c>
      <c r="E1534" s="648" t="s">
        <v>1190</v>
      </c>
      <c r="F1534" s="655">
        <v>13131249</v>
      </c>
      <c r="G1534" s="655">
        <v>0</v>
      </c>
      <c r="H1534" s="655">
        <v>251229</v>
      </c>
      <c r="I1534" s="655">
        <v>1754261</v>
      </c>
      <c r="J1534" s="655">
        <v>1112500</v>
      </c>
      <c r="K1534" s="655">
        <v>132966</v>
      </c>
      <c r="L1534" s="655">
        <v>148466</v>
      </c>
      <c r="M1534" s="655">
        <v>636978</v>
      </c>
      <c r="N1534" s="655">
        <v>648404</v>
      </c>
      <c r="O1534" s="655">
        <v>0</v>
      </c>
      <c r="P1534" s="655">
        <v>107584</v>
      </c>
      <c r="Q1534" s="655">
        <v>118183</v>
      </c>
      <c r="R1534" s="655">
        <v>0</v>
      </c>
      <c r="S1534" s="655">
        <v>64953</v>
      </c>
      <c r="T1534" s="655">
        <v>7046</v>
      </c>
      <c r="U1534" s="655">
        <v>2357</v>
      </c>
      <c r="V1534" s="655">
        <v>0</v>
      </c>
      <c r="W1534" s="655">
        <v>150017</v>
      </c>
      <c r="X1534" s="655">
        <v>0</v>
      </c>
      <c r="Y1534" s="655">
        <v>0</v>
      </c>
      <c r="Z1534" s="655">
        <v>0</v>
      </c>
      <c r="AA1534" s="655">
        <v>0</v>
      </c>
      <c r="AB1534" s="655">
        <v>0</v>
      </c>
      <c r="AC1534" s="655">
        <v>0</v>
      </c>
      <c r="AD1534" s="655">
        <v>108898</v>
      </c>
      <c r="AE1534" s="655">
        <v>18157295</v>
      </c>
      <c r="AF1534" s="655">
        <v>336141</v>
      </c>
      <c r="AG1534" s="655">
        <v>542452</v>
      </c>
      <c r="AH1534" s="655">
        <v>0</v>
      </c>
      <c r="AI1534" s="655">
        <v>0</v>
      </c>
      <c r="AJ1534" s="655">
        <v>4962317.4899999984</v>
      </c>
      <c r="AK1534" s="655">
        <v>23998205.489999998</v>
      </c>
      <c r="AL1534" s="655">
        <v>0</v>
      </c>
      <c r="AM1534" s="655">
        <v>23998205.489999998</v>
      </c>
    </row>
    <row r="1535" spans="1:39" x14ac:dyDescent="0.2">
      <c r="A1535" s="648">
        <v>2017</v>
      </c>
      <c r="B1535" s="648">
        <v>10</v>
      </c>
      <c r="C1535" s="657" t="s">
        <v>276</v>
      </c>
      <c r="D1535" s="648">
        <v>4554</v>
      </c>
      <c r="E1535" s="648" t="s">
        <v>1191</v>
      </c>
      <c r="F1535" s="655">
        <v>7283055</v>
      </c>
      <c r="G1535" s="655">
        <v>0</v>
      </c>
      <c r="H1535" s="655">
        <v>103426</v>
      </c>
      <c r="I1535" s="655">
        <v>458272</v>
      </c>
      <c r="J1535" s="655">
        <v>634093</v>
      </c>
      <c r="K1535" s="655">
        <v>71615</v>
      </c>
      <c r="L1535" s="655">
        <v>77814</v>
      </c>
      <c r="M1535" s="655">
        <v>0</v>
      </c>
      <c r="N1535" s="655">
        <v>339181</v>
      </c>
      <c r="O1535" s="655">
        <v>0</v>
      </c>
      <c r="P1535" s="655">
        <v>60552</v>
      </c>
      <c r="Q1535" s="655">
        <v>66527</v>
      </c>
      <c r="R1535" s="655">
        <v>0</v>
      </c>
      <c r="S1535" s="655">
        <v>31689</v>
      </c>
      <c r="T1535" s="655">
        <v>3688</v>
      </c>
      <c r="U1535" s="655">
        <v>270668</v>
      </c>
      <c r="V1535" s="655">
        <v>0</v>
      </c>
      <c r="W1535" s="655">
        <v>166673</v>
      </c>
      <c r="X1535" s="655">
        <v>0</v>
      </c>
      <c r="Y1535" s="655">
        <v>0</v>
      </c>
      <c r="Z1535" s="655">
        <v>0</v>
      </c>
      <c r="AA1535" s="655">
        <v>0</v>
      </c>
      <c r="AB1535" s="655">
        <v>0</v>
      </c>
      <c r="AC1535" s="655">
        <v>0</v>
      </c>
      <c r="AD1535" s="655">
        <v>53609</v>
      </c>
      <c r="AE1535" s="655">
        <v>9513644</v>
      </c>
      <c r="AF1535" s="655">
        <v>197730</v>
      </c>
      <c r="AG1535" s="655">
        <v>499764</v>
      </c>
      <c r="AH1535" s="655">
        <v>0</v>
      </c>
      <c r="AI1535" s="655">
        <v>0</v>
      </c>
      <c r="AJ1535" s="655">
        <v>3255694.2699999996</v>
      </c>
      <c r="AK1535" s="655">
        <v>13466832.27</v>
      </c>
      <c r="AL1535" s="655">
        <v>0</v>
      </c>
      <c r="AM1535" s="655">
        <v>13466832.27</v>
      </c>
    </row>
    <row r="1536" spans="1:39" x14ac:dyDescent="0.2">
      <c r="A1536" s="648">
        <v>2017</v>
      </c>
      <c r="B1536" s="648">
        <v>13</v>
      </c>
      <c r="C1536" s="657" t="s">
        <v>277</v>
      </c>
      <c r="D1536" s="648">
        <v>4572</v>
      </c>
      <c r="E1536" s="648" t="s">
        <v>1192</v>
      </c>
      <c r="F1536" s="655">
        <v>1713001</v>
      </c>
      <c r="G1536" s="655">
        <v>0</v>
      </c>
      <c r="H1536" s="655">
        <v>43784</v>
      </c>
      <c r="I1536" s="655">
        <v>211769</v>
      </c>
      <c r="J1536" s="655">
        <v>174988</v>
      </c>
      <c r="K1536" s="655">
        <v>17418</v>
      </c>
      <c r="L1536" s="655">
        <v>21377</v>
      </c>
      <c r="M1536" s="655">
        <v>0</v>
      </c>
      <c r="N1536" s="655">
        <v>84613</v>
      </c>
      <c r="O1536" s="655">
        <v>2964</v>
      </c>
      <c r="P1536" s="655">
        <v>14022</v>
      </c>
      <c r="Q1536" s="655">
        <v>15506</v>
      </c>
      <c r="R1536" s="655">
        <v>0</v>
      </c>
      <c r="S1536" s="655">
        <v>8688</v>
      </c>
      <c r="T1536" s="655">
        <v>926</v>
      </c>
      <c r="U1536" s="655">
        <v>50493</v>
      </c>
      <c r="V1536" s="655">
        <v>0</v>
      </c>
      <c r="W1536" s="655">
        <v>29659</v>
      </c>
      <c r="X1536" s="655">
        <v>0</v>
      </c>
      <c r="Y1536" s="655">
        <v>0</v>
      </c>
      <c r="Z1536" s="655">
        <v>0</v>
      </c>
      <c r="AA1536" s="655">
        <v>0</v>
      </c>
      <c r="AB1536" s="655">
        <v>0</v>
      </c>
      <c r="AC1536" s="655">
        <v>0</v>
      </c>
      <c r="AD1536" s="655">
        <v>17539</v>
      </c>
      <c r="AE1536" s="655">
        <v>2371669</v>
      </c>
      <c r="AF1536" s="655">
        <v>72501</v>
      </c>
      <c r="AG1536" s="655">
        <v>115251</v>
      </c>
      <c r="AH1536" s="655">
        <v>0</v>
      </c>
      <c r="AI1536" s="655">
        <v>0</v>
      </c>
      <c r="AJ1536" s="655">
        <v>3496434.21</v>
      </c>
      <c r="AK1536" s="655">
        <v>6055855.21</v>
      </c>
      <c r="AL1536" s="655">
        <v>0</v>
      </c>
      <c r="AM1536" s="655">
        <v>6055855.21</v>
      </c>
    </row>
    <row r="1537" spans="1:39" x14ac:dyDescent="0.2">
      <c r="A1537" s="648">
        <v>2017</v>
      </c>
      <c r="B1537" s="648">
        <v>9</v>
      </c>
      <c r="C1537" s="657" t="s">
        <v>278</v>
      </c>
      <c r="D1537" s="648">
        <v>4581</v>
      </c>
      <c r="E1537" s="648" t="s">
        <v>1193</v>
      </c>
      <c r="F1537" s="655">
        <v>34075470</v>
      </c>
      <c r="G1537" s="655">
        <v>614865</v>
      </c>
      <c r="H1537" s="655">
        <v>684113</v>
      </c>
      <c r="I1537" s="655">
        <v>4848999</v>
      </c>
      <c r="J1537" s="655">
        <v>2893694</v>
      </c>
      <c r="K1537" s="655">
        <v>315761</v>
      </c>
      <c r="L1537" s="655">
        <v>389293</v>
      </c>
      <c r="M1537" s="655">
        <v>1666084</v>
      </c>
      <c r="N1537" s="655">
        <v>1716787</v>
      </c>
      <c r="O1537" s="655">
        <v>0</v>
      </c>
      <c r="P1537" s="655">
        <v>284392</v>
      </c>
      <c r="Q1537" s="655">
        <v>310323</v>
      </c>
      <c r="R1537" s="655">
        <v>0</v>
      </c>
      <c r="S1537" s="655">
        <v>154907</v>
      </c>
      <c r="T1537" s="655">
        <v>18190</v>
      </c>
      <c r="U1537" s="655">
        <v>1076094</v>
      </c>
      <c r="V1537" s="655">
        <v>0</v>
      </c>
      <c r="W1537" s="655">
        <v>427321</v>
      </c>
      <c r="X1537" s="655">
        <v>0</v>
      </c>
      <c r="Y1537" s="655">
        <v>0</v>
      </c>
      <c r="Z1537" s="655">
        <v>0</v>
      </c>
      <c r="AA1537" s="655">
        <v>0</v>
      </c>
      <c r="AB1537" s="655">
        <v>0</v>
      </c>
      <c r="AC1537" s="655">
        <v>-2836</v>
      </c>
      <c r="AD1537" s="655">
        <v>295932</v>
      </c>
      <c r="AE1537" s="655">
        <v>49177525</v>
      </c>
      <c r="AF1537" s="655">
        <v>899599</v>
      </c>
      <c r="AG1537" s="655">
        <v>2317662</v>
      </c>
      <c r="AH1537" s="655">
        <v>0</v>
      </c>
      <c r="AI1537" s="655">
        <v>0</v>
      </c>
      <c r="AJ1537" s="655">
        <v>8704145</v>
      </c>
      <c r="AK1537" s="655">
        <v>61098931</v>
      </c>
      <c r="AL1537" s="655">
        <v>0</v>
      </c>
      <c r="AM1537" s="655">
        <v>61098931</v>
      </c>
    </row>
    <row r="1538" spans="1:39" x14ac:dyDescent="0.2">
      <c r="A1538" s="648">
        <v>2017</v>
      </c>
      <c r="B1538" s="648">
        <v>7</v>
      </c>
      <c r="C1538" s="657" t="s">
        <v>279</v>
      </c>
      <c r="D1538" s="648">
        <v>4599</v>
      </c>
      <c r="E1538" s="648" t="s">
        <v>644</v>
      </c>
      <c r="F1538" s="655">
        <v>4223560</v>
      </c>
      <c r="G1538" s="655">
        <v>0</v>
      </c>
      <c r="H1538" s="655">
        <v>163634</v>
      </c>
      <c r="I1538" s="655">
        <v>438577</v>
      </c>
      <c r="J1538" s="655">
        <v>349775</v>
      </c>
      <c r="K1538" s="655">
        <v>39734</v>
      </c>
      <c r="L1538" s="655">
        <v>34719</v>
      </c>
      <c r="M1538" s="655">
        <v>0</v>
      </c>
      <c r="N1538" s="655">
        <v>203832</v>
      </c>
      <c r="O1538" s="655">
        <v>0</v>
      </c>
      <c r="P1538" s="655">
        <v>34219</v>
      </c>
      <c r="Q1538" s="655">
        <v>38213</v>
      </c>
      <c r="R1538" s="655">
        <v>0</v>
      </c>
      <c r="S1538" s="655">
        <v>25846</v>
      </c>
      <c r="T1538" s="655">
        <v>2970</v>
      </c>
      <c r="U1538" s="655">
        <v>92663</v>
      </c>
      <c r="V1538" s="655">
        <v>0</v>
      </c>
      <c r="W1538" s="655">
        <v>79286</v>
      </c>
      <c r="X1538" s="655">
        <v>0</v>
      </c>
      <c r="Y1538" s="655">
        <v>0</v>
      </c>
      <c r="Z1538" s="655">
        <v>0</v>
      </c>
      <c r="AA1538" s="655">
        <v>0</v>
      </c>
      <c r="AB1538" s="655">
        <v>0</v>
      </c>
      <c r="AC1538" s="655">
        <v>-197</v>
      </c>
      <c r="AD1538" s="655">
        <v>43139</v>
      </c>
      <c r="AE1538" s="655">
        <v>5683692</v>
      </c>
      <c r="AF1538" s="655">
        <v>112047</v>
      </c>
      <c r="AG1538" s="655">
        <v>335646</v>
      </c>
      <c r="AH1538" s="655">
        <v>0</v>
      </c>
      <c r="AI1538" s="655">
        <v>0</v>
      </c>
      <c r="AJ1538" s="655">
        <v>1271105.2300000004</v>
      </c>
      <c r="AK1538" s="655">
        <v>7402490.2300000004</v>
      </c>
      <c r="AL1538" s="655">
        <v>0</v>
      </c>
      <c r="AM1538" s="655">
        <v>7402490.2300000004</v>
      </c>
    </row>
    <row r="1539" spans="1:39" x14ac:dyDescent="0.2">
      <c r="A1539" s="648">
        <v>2017</v>
      </c>
      <c r="B1539" s="648">
        <v>11</v>
      </c>
      <c r="C1539" s="657" t="s">
        <v>280</v>
      </c>
      <c r="D1539" s="648">
        <v>4617</v>
      </c>
      <c r="E1539" s="648" t="s">
        <v>1194</v>
      </c>
      <c r="F1539" s="655">
        <v>10130367</v>
      </c>
      <c r="G1539" s="655">
        <v>107983</v>
      </c>
      <c r="H1539" s="655">
        <v>200544</v>
      </c>
      <c r="I1539" s="655">
        <v>1143473</v>
      </c>
      <c r="J1539" s="655">
        <v>868578</v>
      </c>
      <c r="K1539" s="655">
        <v>105616</v>
      </c>
      <c r="L1539" s="655">
        <v>118794</v>
      </c>
      <c r="M1539" s="655">
        <v>491721</v>
      </c>
      <c r="N1539" s="655">
        <v>481811</v>
      </c>
      <c r="O1539" s="655">
        <v>0</v>
      </c>
      <c r="P1539" s="655">
        <v>83121</v>
      </c>
      <c r="Q1539" s="655">
        <v>91248</v>
      </c>
      <c r="R1539" s="655">
        <v>0</v>
      </c>
      <c r="S1539" s="655">
        <v>39700</v>
      </c>
      <c r="T1539" s="655">
        <v>5046</v>
      </c>
      <c r="U1539" s="655">
        <v>157346</v>
      </c>
      <c r="V1539" s="655">
        <v>0</v>
      </c>
      <c r="W1539" s="655">
        <v>117474</v>
      </c>
      <c r="X1539" s="655">
        <v>0</v>
      </c>
      <c r="Y1539" s="655">
        <v>0</v>
      </c>
      <c r="Z1539" s="655">
        <v>0</v>
      </c>
      <c r="AA1539" s="655">
        <v>0</v>
      </c>
      <c r="AB1539" s="655">
        <v>0</v>
      </c>
      <c r="AC1539" s="655">
        <v>-1418</v>
      </c>
      <c r="AD1539" s="655">
        <v>80571</v>
      </c>
      <c r="AE1539" s="655">
        <v>14060833</v>
      </c>
      <c r="AF1539" s="655">
        <v>313073</v>
      </c>
      <c r="AG1539" s="655">
        <v>690270</v>
      </c>
      <c r="AH1539" s="655">
        <v>0</v>
      </c>
      <c r="AI1539" s="655">
        <v>0</v>
      </c>
      <c r="AJ1539" s="655">
        <v>5795585.5399999991</v>
      </c>
      <c r="AK1539" s="655">
        <v>20859761.539999999</v>
      </c>
      <c r="AL1539" s="655">
        <v>0</v>
      </c>
      <c r="AM1539" s="655">
        <v>20859761.539999999</v>
      </c>
    </row>
    <row r="1540" spans="1:39" x14ac:dyDescent="0.2">
      <c r="A1540" s="648">
        <v>2017</v>
      </c>
      <c r="B1540" s="648">
        <v>5</v>
      </c>
      <c r="C1540" s="657" t="s">
        <v>281</v>
      </c>
      <c r="D1540" s="648">
        <v>4644</v>
      </c>
      <c r="E1540" s="648" t="s">
        <v>645</v>
      </c>
      <c r="F1540" s="655">
        <v>3121564</v>
      </c>
      <c r="G1540" s="655">
        <v>0</v>
      </c>
      <c r="H1540" s="655">
        <v>226639</v>
      </c>
      <c r="I1540" s="655">
        <v>308349</v>
      </c>
      <c r="J1540" s="655">
        <v>270179</v>
      </c>
      <c r="K1540" s="655">
        <v>28832</v>
      </c>
      <c r="L1540" s="655">
        <v>34767</v>
      </c>
      <c r="M1540" s="655">
        <v>0</v>
      </c>
      <c r="N1540" s="655">
        <v>153879</v>
      </c>
      <c r="O1540" s="655">
        <v>0</v>
      </c>
      <c r="P1540" s="655">
        <v>25620</v>
      </c>
      <c r="Q1540" s="655">
        <v>28764</v>
      </c>
      <c r="R1540" s="655">
        <v>450</v>
      </c>
      <c r="S1540" s="655">
        <v>16374</v>
      </c>
      <c r="T1540" s="655">
        <v>1951</v>
      </c>
      <c r="U1540" s="655">
        <v>58501</v>
      </c>
      <c r="V1540" s="655">
        <v>0</v>
      </c>
      <c r="W1540" s="655">
        <v>46894</v>
      </c>
      <c r="X1540" s="655">
        <v>0</v>
      </c>
      <c r="Y1540" s="655">
        <v>0</v>
      </c>
      <c r="Z1540" s="655">
        <v>0</v>
      </c>
      <c r="AA1540" s="655">
        <v>0</v>
      </c>
      <c r="AB1540" s="655">
        <v>0</v>
      </c>
      <c r="AC1540" s="655">
        <v>-3660</v>
      </c>
      <c r="AD1540" s="655">
        <v>26514</v>
      </c>
      <c r="AE1540" s="655">
        <v>4292589</v>
      </c>
      <c r="AF1540" s="655">
        <v>112047</v>
      </c>
      <c r="AG1540" s="655">
        <v>263616</v>
      </c>
      <c r="AH1540" s="655">
        <v>0</v>
      </c>
      <c r="AI1540" s="655">
        <v>0</v>
      </c>
      <c r="AJ1540" s="655">
        <v>2668374</v>
      </c>
      <c r="AK1540" s="655">
        <v>7336626</v>
      </c>
      <c r="AL1540" s="655">
        <v>0</v>
      </c>
      <c r="AM1540" s="655">
        <v>7336626</v>
      </c>
    </row>
    <row r="1541" spans="1:39" x14ac:dyDescent="0.2">
      <c r="A1541" s="648">
        <v>2017</v>
      </c>
      <c r="B1541" s="648">
        <v>1</v>
      </c>
      <c r="C1541" s="657" t="s">
        <v>282</v>
      </c>
      <c r="D1541" s="648">
        <v>4662</v>
      </c>
      <c r="E1541" s="648" t="s">
        <v>1195</v>
      </c>
      <c r="F1541" s="655">
        <v>6471703</v>
      </c>
      <c r="G1541" s="655">
        <v>0</v>
      </c>
      <c r="H1541" s="655">
        <v>224114</v>
      </c>
      <c r="I1541" s="655">
        <v>785647</v>
      </c>
      <c r="J1541" s="655">
        <v>562629</v>
      </c>
      <c r="K1541" s="655">
        <v>62360</v>
      </c>
      <c r="L1541" s="655">
        <v>50666</v>
      </c>
      <c r="M1541" s="655">
        <v>0</v>
      </c>
      <c r="N1541" s="655">
        <v>334668</v>
      </c>
      <c r="O1541" s="655">
        <v>0</v>
      </c>
      <c r="P1541" s="655">
        <v>60433</v>
      </c>
      <c r="Q1541" s="655">
        <v>67424</v>
      </c>
      <c r="R1541" s="655">
        <v>0</v>
      </c>
      <c r="S1541" s="655">
        <v>32956</v>
      </c>
      <c r="T1541" s="655">
        <v>3535</v>
      </c>
      <c r="U1541" s="655">
        <v>316466</v>
      </c>
      <c r="V1541" s="655">
        <v>0</v>
      </c>
      <c r="W1541" s="655">
        <v>38514</v>
      </c>
      <c r="X1541" s="655">
        <v>0</v>
      </c>
      <c r="Y1541" s="655">
        <v>0</v>
      </c>
      <c r="Z1541" s="655">
        <v>0</v>
      </c>
      <c r="AA1541" s="655">
        <v>0</v>
      </c>
      <c r="AB1541" s="655">
        <v>0</v>
      </c>
      <c r="AC1541" s="655">
        <v>-5028</v>
      </c>
      <c r="AD1541" s="655">
        <v>67600</v>
      </c>
      <c r="AE1541" s="655">
        <v>8938487</v>
      </c>
      <c r="AF1541" s="655">
        <v>197730</v>
      </c>
      <c r="AG1541" s="655">
        <v>534757</v>
      </c>
      <c r="AH1541" s="655">
        <v>0</v>
      </c>
      <c r="AI1541" s="655">
        <v>0</v>
      </c>
      <c r="AJ1541" s="655">
        <v>1482048</v>
      </c>
      <c r="AK1541" s="655">
        <v>11153022</v>
      </c>
      <c r="AL1541" s="655">
        <v>0</v>
      </c>
      <c r="AM1541" s="655">
        <v>11153022</v>
      </c>
    </row>
    <row r="1542" spans="1:39" x14ac:dyDescent="0.2">
      <c r="A1542" s="648">
        <v>2017</v>
      </c>
      <c r="B1542" s="648">
        <v>15</v>
      </c>
      <c r="C1542" s="657" t="s">
        <v>283</v>
      </c>
      <c r="D1542" s="648">
        <v>4689</v>
      </c>
      <c r="E1542" s="648" t="s">
        <v>1196</v>
      </c>
      <c r="F1542" s="655">
        <v>3286273</v>
      </c>
      <c r="G1542" s="655">
        <v>0</v>
      </c>
      <c r="H1542" s="655">
        <v>82401</v>
      </c>
      <c r="I1542" s="655">
        <v>387155</v>
      </c>
      <c r="J1542" s="655">
        <v>293710</v>
      </c>
      <c r="K1542" s="655">
        <v>30873</v>
      </c>
      <c r="L1542" s="655">
        <v>34977</v>
      </c>
      <c r="M1542" s="655">
        <v>159412</v>
      </c>
      <c r="N1542" s="655">
        <v>160012</v>
      </c>
      <c r="O1542" s="655">
        <v>7361</v>
      </c>
      <c r="P1542" s="655">
        <v>27004</v>
      </c>
      <c r="Q1542" s="655">
        <v>29664</v>
      </c>
      <c r="R1542" s="655">
        <v>0</v>
      </c>
      <c r="S1542" s="655">
        <v>16029</v>
      </c>
      <c r="T1542" s="655">
        <v>1739</v>
      </c>
      <c r="U1542" s="655">
        <v>73410</v>
      </c>
      <c r="V1542" s="655">
        <v>0</v>
      </c>
      <c r="W1542" s="655">
        <v>65104</v>
      </c>
      <c r="X1542" s="655">
        <v>0</v>
      </c>
      <c r="Y1542" s="655">
        <v>0</v>
      </c>
      <c r="Z1542" s="655">
        <v>0</v>
      </c>
      <c r="AA1542" s="655">
        <v>0</v>
      </c>
      <c r="AB1542" s="655">
        <v>0</v>
      </c>
      <c r="AC1542" s="655">
        <v>0</v>
      </c>
      <c r="AD1542" s="655">
        <v>29202</v>
      </c>
      <c r="AE1542" s="655">
        <v>4625922</v>
      </c>
      <c r="AF1542" s="655">
        <v>69206</v>
      </c>
      <c r="AG1542" s="655">
        <v>210781</v>
      </c>
      <c r="AH1542" s="655">
        <v>0</v>
      </c>
      <c r="AI1542" s="655">
        <v>0</v>
      </c>
      <c r="AJ1542" s="655">
        <v>1397464.0300000003</v>
      </c>
      <c r="AK1542" s="655">
        <v>6303373.0300000003</v>
      </c>
      <c r="AL1542" s="655">
        <v>0</v>
      </c>
      <c r="AM1542" s="655">
        <v>6303373.0300000003</v>
      </c>
    </row>
    <row r="1543" spans="1:39" x14ac:dyDescent="0.2">
      <c r="A1543" s="648">
        <v>2017</v>
      </c>
      <c r="B1543" s="648">
        <v>11</v>
      </c>
      <c r="C1543" s="657" t="s">
        <v>284</v>
      </c>
      <c r="D1543" s="648">
        <v>4725</v>
      </c>
      <c r="E1543" s="648" t="s">
        <v>1197</v>
      </c>
      <c r="F1543" s="655">
        <v>19484314</v>
      </c>
      <c r="G1543" s="655">
        <v>0</v>
      </c>
      <c r="H1543" s="655">
        <v>354563</v>
      </c>
      <c r="I1543" s="655">
        <v>2490937</v>
      </c>
      <c r="J1543" s="655">
        <v>1647106</v>
      </c>
      <c r="K1543" s="655">
        <v>183196</v>
      </c>
      <c r="L1543" s="655">
        <v>214768</v>
      </c>
      <c r="M1543" s="655">
        <v>0</v>
      </c>
      <c r="N1543" s="655">
        <v>939158</v>
      </c>
      <c r="O1543" s="655">
        <v>0</v>
      </c>
      <c r="P1543" s="655">
        <v>164251</v>
      </c>
      <c r="Q1543" s="655">
        <v>180310</v>
      </c>
      <c r="R1543" s="655">
        <v>0</v>
      </c>
      <c r="S1543" s="655">
        <v>77385</v>
      </c>
      <c r="T1543" s="655">
        <v>9836</v>
      </c>
      <c r="U1543" s="655">
        <v>572287</v>
      </c>
      <c r="V1543" s="655">
        <v>0</v>
      </c>
      <c r="W1543" s="655">
        <v>221757</v>
      </c>
      <c r="X1543" s="655">
        <v>0</v>
      </c>
      <c r="Y1543" s="655">
        <v>0</v>
      </c>
      <c r="Z1543" s="655">
        <v>0</v>
      </c>
      <c r="AA1543" s="655">
        <v>0</v>
      </c>
      <c r="AB1543" s="655">
        <v>0</v>
      </c>
      <c r="AC1543" s="655">
        <v>-1418</v>
      </c>
      <c r="AD1543" s="655">
        <v>180658</v>
      </c>
      <c r="AE1543" s="655">
        <v>26357792</v>
      </c>
      <c r="AF1543" s="655">
        <v>309777</v>
      </c>
      <c r="AG1543" s="655">
        <v>1293368</v>
      </c>
      <c r="AH1543" s="655">
        <v>0</v>
      </c>
      <c r="AI1543" s="655">
        <v>0</v>
      </c>
      <c r="AJ1543" s="655">
        <v>4691520.1099999994</v>
      </c>
      <c r="AK1543" s="655">
        <v>32652457.109999999</v>
      </c>
      <c r="AL1543" s="655">
        <v>0</v>
      </c>
      <c r="AM1543" s="655">
        <v>32652457.109999999</v>
      </c>
    </row>
    <row r="1544" spans="1:39" x14ac:dyDescent="0.2">
      <c r="A1544" s="648">
        <v>2017</v>
      </c>
      <c r="B1544" s="648">
        <v>7</v>
      </c>
      <c r="C1544" s="657" t="s">
        <v>285</v>
      </c>
      <c r="D1544" s="648">
        <v>4772</v>
      </c>
      <c r="E1544" s="648" t="s">
        <v>1479</v>
      </c>
      <c r="F1544" s="655">
        <v>5366387</v>
      </c>
      <c r="G1544" s="655">
        <v>6797</v>
      </c>
      <c r="H1544" s="655">
        <v>58560</v>
      </c>
      <c r="I1544" s="655">
        <v>618954</v>
      </c>
      <c r="J1544" s="655">
        <v>485513</v>
      </c>
      <c r="K1544" s="655">
        <v>54491</v>
      </c>
      <c r="L1544" s="655">
        <v>49633</v>
      </c>
      <c r="M1544" s="655">
        <v>0</v>
      </c>
      <c r="N1544" s="655">
        <v>265084</v>
      </c>
      <c r="O1544" s="655">
        <v>9880</v>
      </c>
      <c r="P1544" s="655">
        <v>46150</v>
      </c>
      <c r="Q1544" s="655">
        <v>51537</v>
      </c>
      <c r="R1544" s="655">
        <v>0</v>
      </c>
      <c r="S1544" s="655">
        <v>33613</v>
      </c>
      <c r="T1544" s="655">
        <v>3862</v>
      </c>
      <c r="U1544" s="655">
        <v>131220</v>
      </c>
      <c r="V1544" s="655">
        <v>0</v>
      </c>
      <c r="W1544" s="655">
        <v>110112</v>
      </c>
      <c r="X1544" s="655">
        <v>0</v>
      </c>
      <c r="Y1544" s="655">
        <v>0</v>
      </c>
      <c r="Z1544" s="655">
        <v>0</v>
      </c>
      <c r="AA1544" s="655">
        <v>0</v>
      </c>
      <c r="AB1544" s="655">
        <v>0</v>
      </c>
      <c r="AC1544" s="655">
        <v>0</v>
      </c>
      <c r="AD1544" s="655">
        <v>54127</v>
      </c>
      <c r="AE1544" s="655">
        <v>7237666</v>
      </c>
      <c r="AF1544" s="655">
        <v>125229</v>
      </c>
      <c r="AG1544" s="655">
        <v>435496</v>
      </c>
      <c r="AH1544" s="655">
        <v>0</v>
      </c>
      <c r="AI1544" s="655">
        <v>0</v>
      </c>
      <c r="AJ1544" s="655">
        <v>1538220.7800000012</v>
      </c>
      <c r="AK1544" s="655">
        <v>9336611.7800000012</v>
      </c>
      <c r="AL1544" s="655">
        <v>0</v>
      </c>
      <c r="AM1544" s="655">
        <v>9336611.7800000012</v>
      </c>
    </row>
    <row r="1545" spans="1:39" x14ac:dyDescent="0.2">
      <c r="A1545" s="648">
        <v>2017</v>
      </c>
      <c r="B1545" s="648">
        <v>9</v>
      </c>
      <c r="C1545" s="657" t="s">
        <v>286</v>
      </c>
      <c r="D1545" s="648">
        <v>4773</v>
      </c>
      <c r="E1545" s="648" t="s">
        <v>1198</v>
      </c>
      <c r="F1545" s="655">
        <v>3705143</v>
      </c>
      <c r="G1545" s="655">
        <v>0</v>
      </c>
      <c r="H1545" s="655">
        <v>58735</v>
      </c>
      <c r="I1545" s="655">
        <v>339577</v>
      </c>
      <c r="J1545" s="655">
        <v>340436</v>
      </c>
      <c r="K1545" s="655">
        <v>38382</v>
      </c>
      <c r="L1545" s="655">
        <v>41126</v>
      </c>
      <c r="M1545" s="655">
        <v>176517</v>
      </c>
      <c r="N1545" s="655">
        <v>175205</v>
      </c>
      <c r="O1545" s="655">
        <v>0</v>
      </c>
      <c r="P1545" s="655">
        <v>30094</v>
      </c>
      <c r="Q1545" s="655">
        <v>32838</v>
      </c>
      <c r="R1545" s="655">
        <v>0</v>
      </c>
      <c r="S1545" s="655">
        <v>15809</v>
      </c>
      <c r="T1545" s="655">
        <v>1856</v>
      </c>
      <c r="U1545" s="655">
        <v>155879</v>
      </c>
      <c r="V1545" s="655">
        <v>0</v>
      </c>
      <c r="W1545" s="655">
        <v>53689</v>
      </c>
      <c r="X1545" s="655">
        <v>0</v>
      </c>
      <c r="Y1545" s="655">
        <v>0</v>
      </c>
      <c r="Z1545" s="655">
        <v>0</v>
      </c>
      <c r="AA1545" s="655">
        <v>0</v>
      </c>
      <c r="AB1545" s="655">
        <v>0</v>
      </c>
      <c r="AC1545" s="655">
        <v>0</v>
      </c>
      <c r="AD1545" s="655">
        <v>35930</v>
      </c>
      <c r="AE1545" s="655">
        <v>5129356</v>
      </c>
      <c r="AF1545" s="655">
        <v>112047</v>
      </c>
      <c r="AG1545" s="655">
        <v>292113</v>
      </c>
      <c r="AH1545" s="655">
        <v>0</v>
      </c>
      <c r="AI1545" s="655">
        <v>0</v>
      </c>
      <c r="AJ1545" s="655">
        <v>1493288.6999999993</v>
      </c>
      <c r="AK1545" s="655">
        <v>7026804.6999999993</v>
      </c>
      <c r="AL1545" s="655">
        <v>0</v>
      </c>
      <c r="AM1545" s="655">
        <v>7026804.6999999993</v>
      </c>
    </row>
    <row r="1546" spans="1:39" x14ac:dyDescent="0.2">
      <c r="A1546" s="648">
        <v>2017</v>
      </c>
      <c r="B1546" s="648">
        <v>1</v>
      </c>
      <c r="C1546" s="657" t="s">
        <v>287</v>
      </c>
      <c r="D1546" s="648">
        <v>4774</v>
      </c>
      <c r="E1546" s="648" t="s">
        <v>1199</v>
      </c>
      <c r="F1546" s="655">
        <v>5341534</v>
      </c>
      <c r="G1546" s="655">
        <v>58282</v>
      </c>
      <c r="H1546" s="655">
        <v>211936</v>
      </c>
      <c r="I1546" s="655">
        <v>737155</v>
      </c>
      <c r="J1546" s="655">
        <v>459161</v>
      </c>
      <c r="K1546" s="655">
        <v>50248</v>
      </c>
      <c r="L1546" s="655">
        <v>48729</v>
      </c>
      <c r="M1546" s="655">
        <v>254522</v>
      </c>
      <c r="N1546" s="655">
        <v>275221</v>
      </c>
      <c r="O1546" s="655">
        <v>9734</v>
      </c>
      <c r="P1546" s="655">
        <v>43197</v>
      </c>
      <c r="Q1546" s="655">
        <v>48195</v>
      </c>
      <c r="R1546" s="655">
        <v>0</v>
      </c>
      <c r="S1546" s="655">
        <v>27363</v>
      </c>
      <c r="T1546" s="655">
        <v>2925</v>
      </c>
      <c r="U1546" s="655">
        <v>246932</v>
      </c>
      <c r="V1546" s="655">
        <v>0</v>
      </c>
      <c r="W1546" s="655">
        <v>70906</v>
      </c>
      <c r="X1546" s="655">
        <v>0</v>
      </c>
      <c r="Y1546" s="655">
        <v>0</v>
      </c>
      <c r="Z1546" s="655">
        <v>0</v>
      </c>
      <c r="AA1546" s="655">
        <v>0</v>
      </c>
      <c r="AB1546" s="655">
        <v>0</v>
      </c>
      <c r="AC1546" s="655">
        <v>0</v>
      </c>
      <c r="AD1546" s="655">
        <v>61516</v>
      </c>
      <c r="AE1546" s="655">
        <v>7824524</v>
      </c>
      <c r="AF1546" s="655">
        <v>118638</v>
      </c>
      <c r="AG1546" s="655">
        <v>416650</v>
      </c>
      <c r="AH1546" s="655">
        <v>0</v>
      </c>
      <c r="AI1546" s="655">
        <v>0</v>
      </c>
      <c r="AJ1546" s="655">
        <v>2777418.2199999988</v>
      </c>
      <c r="AK1546" s="655">
        <v>11137230.219999999</v>
      </c>
      <c r="AL1546" s="655">
        <v>0</v>
      </c>
      <c r="AM1546" s="655">
        <v>11137230.219999999</v>
      </c>
    </row>
    <row r="1547" spans="1:39" x14ac:dyDescent="0.2">
      <c r="A1547" s="648">
        <v>2017</v>
      </c>
      <c r="B1547" s="648">
        <v>5</v>
      </c>
      <c r="C1547" s="657" t="s">
        <v>288</v>
      </c>
      <c r="D1547" s="648">
        <v>4775</v>
      </c>
      <c r="E1547" s="648" t="s">
        <v>1200</v>
      </c>
      <c r="F1547" s="655">
        <v>1304873</v>
      </c>
      <c r="G1547" s="655">
        <v>111745</v>
      </c>
      <c r="H1547" s="655">
        <v>167443</v>
      </c>
      <c r="I1547" s="655">
        <v>178288</v>
      </c>
      <c r="J1547" s="655">
        <v>136017</v>
      </c>
      <c r="K1547" s="655">
        <v>14554</v>
      </c>
      <c r="L1547" s="655">
        <v>13551</v>
      </c>
      <c r="M1547" s="655">
        <v>0</v>
      </c>
      <c r="N1547" s="655">
        <v>65743</v>
      </c>
      <c r="O1547" s="655">
        <v>17015</v>
      </c>
      <c r="P1547" s="655">
        <v>10585</v>
      </c>
      <c r="Q1547" s="655">
        <v>11883</v>
      </c>
      <c r="R1547" s="655">
        <v>192</v>
      </c>
      <c r="S1547" s="655">
        <v>7434</v>
      </c>
      <c r="T1547" s="655">
        <v>885</v>
      </c>
      <c r="U1547" s="655">
        <v>56166</v>
      </c>
      <c r="V1547" s="655">
        <v>0</v>
      </c>
      <c r="W1547" s="655">
        <v>54226</v>
      </c>
      <c r="X1547" s="655">
        <v>0</v>
      </c>
      <c r="Y1547" s="655">
        <v>0</v>
      </c>
      <c r="Z1547" s="655">
        <v>0</v>
      </c>
      <c r="AA1547" s="655">
        <v>0</v>
      </c>
      <c r="AB1547" s="655">
        <v>0</v>
      </c>
      <c r="AC1547" s="655">
        <v>0</v>
      </c>
      <c r="AD1547" s="655">
        <v>17050</v>
      </c>
      <c r="AE1547" s="655">
        <v>2133550</v>
      </c>
      <c r="AF1547" s="655">
        <v>39546</v>
      </c>
      <c r="AG1547" s="655">
        <v>130117</v>
      </c>
      <c r="AH1547" s="655">
        <v>0</v>
      </c>
      <c r="AI1547" s="655">
        <v>0</v>
      </c>
      <c r="AJ1547" s="655">
        <v>376072</v>
      </c>
      <c r="AK1547" s="655">
        <v>2679285</v>
      </c>
      <c r="AL1547" s="655">
        <v>0</v>
      </c>
      <c r="AM1547" s="655">
        <v>2679285</v>
      </c>
    </row>
    <row r="1548" spans="1:39" x14ac:dyDescent="0.2">
      <c r="A1548" s="648">
        <v>2017</v>
      </c>
      <c r="B1548" s="648">
        <v>15</v>
      </c>
      <c r="C1548" s="657" t="s">
        <v>289</v>
      </c>
      <c r="D1548" s="648">
        <v>4776</v>
      </c>
      <c r="E1548" s="648" t="s">
        <v>1201</v>
      </c>
      <c r="F1548" s="655">
        <v>3289794</v>
      </c>
      <c r="G1548" s="655">
        <v>0</v>
      </c>
      <c r="H1548" s="655">
        <v>112703</v>
      </c>
      <c r="I1548" s="655">
        <v>470357</v>
      </c>
      <c r="J1548" s="655">
        <v>290805</v>
      </c>
      <c r="K1548" s="655">
        <v>31199</v>
      </c>
      <c r="L1548" s="655">
        <v>36578</v>
      </c>
      <c r="M1548" s="655">
        <v>0</v>
      </c>
      <c r="N1548" s="655">
        <v>159742</v>
      </c>
      <c r="O1548" s="655">
        <v>1181</v>
      </c>
      <c r="P1548" s="655">
        <v>28244</v>
      </c>
      <c r="Q1548" s="655">
        <v>31026</v>
      </c>
      <c r="R1548" s="655">
        <v>0</v>
      </c>
      <c r="S1548" s="655">
        <v>16002</v>
      </c>
      <c r="T1548" s="655">
        <v>1736</v>
      </c>
      <c r="U1548" s="655">
        <v>122330</v>
      </c>
      <c r="V1548" s="655">
        <v>0</v>
      </c>
      <c r="W1548" s="655">
        <v>153406</v>
      </c>
      <c r="X1548" s="655">
        <v>0</v>
      </c>
      <c r="Y1548" s="655">
        <v>0</v>
      </c>
      <c r="Z1548" s="655">
        <v>0</v>
      </c>
      <c r="AA1548" s="655">
        <v>0</v>
      </c>
      <c r="AB1548" s="655">
        <v>0</v>
      </c>
      <c r="AC1548" s="655">
        <v>0</v>
      </c>
      <c r="AD1548" s="655">
        <v>29571</v>
      </c>
      <c r="AE1548" s="655">
        <v>4715532</v>
      </c>
      <c r="AF1548" s="655">
        <v>148298</v>
      </c>
      <c r="AG1548" s="655">
        <v>271638</v>
      </c>
      <c r="AH1548" s="655">
        <v>0</v>
      </c>
      <c r="AI1548" s="655">
        <v>0</v>
      </c>
      <c r="AJ1548" s="655">
        <v>708620.58000000007</v>
      </c>
      <c r="AK1548" s="655">
        <v>5844088.5800000001</v>
      </c>
      <c r="AL1548" s="655">
        <v>0</v>
      </c>
      <c r="AM1548" s="655">
        <v>5844088.5800000001</v>
      </c>
    </row>
    <row r="1549" spans="1:39" x14ac:dyDescent="0.2">
      <c r="A1549" s="648">
        <v>2017</v>
      </c>
      <c r="B1549" s="648">
        <v>10</v>
      </c>
      <c r="C1549" s="657" t="s">
        <v>290</v>
      </c>
      <c r="D1549" s="648">
        <v>4777</v>
      </c>
      <c r="E1549" s="648" t="s">
        <v>1237</v>
      </c>
      <c r="F1549" s="655">
        <v>4375760</v>
      </c>
      <c r="G1549" s="655">
        <v>75822</v>
      </c>
      <c r="H1549" s="655">
        <v>163537</v>
      </c>
      <c r="I1549" s="655">
        <v>381468</v>
      </c>
      <c r="J1549" s="655">
        <v>370807</v>
      </c>
      <c r="K1549" s="655">
        <v>38538</v>
      </c>
      <c r="L1549" s="655">
        <v>38226</v>
      </c>
      <c r="M1549" s="655">
        <v>212185</v>
      </c>
      <c r="N1549" s="655">
        <v>206896</v>
      </c>
      <c r="O1549" s="655">
        <v>8873</v>
      </c>
      <c r="P1549" s="655">
        <v>35641</v>
      </c>
      <c r="Q1549" s="655">
        <v>39158</v>
      </c>
      <c r="R1549" s="655">
        <v>0</v>
      </c>
      <c r="S1549" s="655">
        <v>19359</v>
      </c>
      <c r="T1549" s="655">
        <v>2250</v>
      </c>
      <c r="U1549" s="655">
        <v>107005</v>
      </c>
      <c r="V1549" s="655">
        <v>0</v>
      </c>
      <c r="W1549" s="655">
        <v>92177</v>
      </c>
      <c r="X1549" s="655">
        <v>0</v>
      </c>
      <c r="Y1549" s="655">
        <v>0</v>
      </c>
      <c r="Z1549" s="655">
        <v>0</v>
      </c>
      <c r="AA1549" s="655">
        <v>0</v>
      </c>
      <c r="AB1549" s="655">
        <v>0</v>
      </c>
      <c r="AC1549" s="655">
        <v>0</v>
      </c>
      <c r="AD1549" s="655">
        <v>40542</v>
      </c>
      <c r="AE1549" s="655">
        <v>6127160</v>
      </c>
      <c r="AF1549" s="655">
        <v>88979</v>
      </c>
      <c r="AG1549" s="655">
        <v>338632</v>
      </c>
      <c r="AH1549" s="655">
        <v>0</v>
      </c>
      <c r="AI1549" s="655">
        <v>0</v>
      </c>
      <c r="AJ1549" s="655">
        <v>1904653.6600000001</v>
      </c>
      <c r="AK1549" s="655">
        <v>8459424.6600000001</v>
      </c>
      <c r="AL1549" s="655">
        <v>0</v>
      </c>
      <c r="AM1549" s="655">
        <v>8459424.6600000001</v>
      </c>
    </row>
    <row r="1550" spans="1:39" x14ac:dyDescent="0.2">
      <c r="A1550" s="648">
        <v>2017</v>
      </c>
      <c r="B1550" s="648">
        <v>5</v>
      </c>
      <c r="C1550" s="657" t="s">
        <v>291</v>
      </c>
      <c r="D1550" s="648">
        <v>4778</v>
      </c>
      <c r="E1550" s="648" t="s">
        <v>1238</v>
      </c>
      <c r="F1550" s="655">
        <v>1767025</v>
      </c>
      <c r="G1550" s="655">
        <v>2199</v>
      </c>
      <c r="H1550" s="655">
        <v>181448</v>
      </c>
      <c r="I1550" s="655">
        <v>342204</v>
      </c>
      <c r="J1550" s="655">
        <v>156220</v>
      </c>
      <c r="K1550" s="655">
        <v>17473</v>
      </c>
      <c r="L1550" s="655">
        <v>15527</v>
      </c>
      <c r="M1550" s="655">
        <v>0</v>
      </c>
      <c r="N1550" s="655">
        <v>95370</v>
      </c>
      <c r="O1550" s="655">
        <v>13651</v>
      </c>
      <c r="P1550" s="655">
        <v>14493</v>
      </c>
      <c r="Q1550" s="655">
        <v>16271</v>
      </c>
      <c r="R1550" s="655">
        <v>279</v>
      </c>
      <c r="S1550" s="655">
        <v>10148</v>
      </c>
      <c r="T1550" s="655">
        <v>1209</v>
      </c>
      <c r="U1550" s="655">
        <v>86418</v>
      </c>
      <c r="V1550" s="655">
        <v>0</v>
      </c>
      <c r="W1550" s="655">
        <v>51568</v>
      </c>
      <c r="X1550" s="655">
        <v>0</v>
      </c>
      <c r="Y1550" s="655">
        <v>0</v>
      </c>
      <c r="Z1550" s="655">
        <v>0</v>
      </c>
      <c r="AA1550" s="655">
        <v>0</v>
      </c>
      <c r="AB1550" s="655">
        <v>0</v>
      </c>
      <c r="AC1550" s="655">
        <v>-9595</v>
      </c>
      <c r="AD1550" s="655">
        <v>24879</v>
      </c>
      <c r="AE1550" s="655">
        <v>2737029</v>
      </c>
      <c r="AF1550" s="655">
        <v>49433</v>
      </c>
      <c r="AG1550" s="655">
        <v>161123</v>
      </c>
      <c r="AH1550" s="655">
        <v>0</v>
      </c>
      <c r="AI1550" s="655">
        <v>0</v>
      </c>
      <c r="AJ1550" s="655">
        <v>349249.87000000011</v>
      </c>
      <c r="AK1550" s="655">
        <v>3296834.87</v>
      </c>
      <c r="AL1550" s="655">
        <v>0</v>
      </c>
      <c r="AM1550" s="655">
        <v>3296834.87</v>
      </c>
    </row>
    <row r="1551" spans="1:39" x14ac:dyDescent="0.2">
      <c r="A1551" s="648">
        <v>2017</v>
      </c>
      <c r="B1551" s="648">
        <v>11</v>
      </c>
      <c r="C1551" s="657" t="s">
        <v>292</v>
      </c>
      <c r="D1551" s="648">
        <v>4779</v>
      </c>
      <c r="E1551" s="648" t="s">
        <v>1239</v>
      </c>
      <c r="F1551" s="655">
        <v>9999865</v>
      </c>
      <c r="G1551" s="655">
        <v>0</v>
      </c>
      <c r="H1551" s="655">
        <v>100223</v>
      </c>
      <c r="I1551" s="655">
        <v>517394</v>
      </c>
      <c r="J1551" s="655">
        <v>800839</v>
      </c>
      <c r="K1551" s="655">
        <v>83097</v>
      </c>
      <c r="L1551" s="655">
        <v>81656</v>
      </c>
      <c r="M1551" s="655">
        <v>485079</v>
      </c>
      <c r="N1551" s="655">
        <v>449477</v>
      </c>
      <c r="O1551" s="655">
        <v>0</v>
      </c>
      <c r="P1551" s="655">
        <v>83282</v>
      </c>
      <c r="Q1551" s="655">
        <v>91425</v>
      </c>
      <c r="R1551" s="655">
        <v>0</v>
      </c>
      <c r="S1551" s="655">
        <v>37036</v>
      </c>
      <c r="T1551" s="655">
        <v>4707</v>
      </c>
      <c r="U1551" s="655">
        <v>234033</v>
      </c>
      <c r="V1551" s="655">
        <v>0</v>
      </c>
      <c r="W1551" s="655">
        <v>325727</v>
      </c>
      <c r="X1551" s="655">
        <v>0</v>
      </c>
      <c r="Y1551" s="655">
        <v>0</v>
      </c>
      <c r="Z1551" s="655">
        <v>0</v>
      </c>
      <c r="AA1551" s="655">
        <v>0</v>
      </c>
      <c r="AB1551" s="655">
        <v>0</v>
      </c>
      <c r="AC1551" s="655">
        <v>0</v>
      </c>
      <c r="AD1551" s="655">
        <v>46633</v>
      </c>
      <c r="AE1551" s="655">
        <v>13247207</v>
      </c>
      <c r="AF1551" s="655">
        <v>326255</v>
      </c>
      <c r="AG1551" s="655">
        <v>658991</v>
      </c>
      <c r="AH1551" s="655">
        <v>0</v>
      </c>
      <c r="AI1551" s="655">
        <v>0</v>
      </c>
      <c r="AJ1551" s="655">
        <v>4138359.3500000015</v>
      </c>
      <c r="AK1551" s="655">
        <v>18370812.350000001</v>
      </c>
      <c r="AL1551" s="655">
        <v>0</v>
      </c>
      <c r="AM1551" s="655">
        <v>18370812.350000001</v>
      </c>
    </row>
    <row r="1552" spans="1:39" x14ac:dyDescent="0.2">
      <c r="A1552" s="648">
        <v>2017</v>
      </c>
      <c r="B1552" s="648">
        <v>9</v>
      </c>
      <c r="C1552" s="657" t="s">
        <v>293</v>
      </c>
      <c r="D1552" s="648">
        <v>4784</v>
      </c>
      <c r="E1552" s="648" t="s">
        <v>1243</v>
      </c>
      <c r="F1552" s="655">
        <v>20288416</v>
      </c>
      <c r="G1552" s="655">
        <v>0</v>
      </c>
      <c r="H1552" s="655">
        <v>347853</v>
      </c>
      <c r="I1552" s="655">
        <v>2035696</v>
      </c>
      <c r="J1552" s="655">
        <v>1719698</v>
      </c>
      <c r="K1552" s="655">
        <v>192788</v>
      </c>
      <c r="L1552" s="655">
        <v>185308</v>
      </c>
      <c r="M1552" s="655">
        <v>984162</v>
      </c>
      <c r="N1552" s="655">
        <v>984618</v>
      </c>
      <c r="O1552" s="655">
        <v>0</v>
      </c>
      <c r="P1552" s="655">
        <v>166379</v>
      </c>
      <c r="Q1552" s="655">
        <v>181549</v>
      </c>
      <c r="R1552" s="655">
        <v>0</v>
      </c>
      <c r="S1552" s="655">
        <v>88843</v>
      </c>
      <c r="T1552" s="655">
        <v>10432</v>
      </c>
      <c r="U1552" s="655">
        <v>992104</v>
      </c>
      <c r="V1552" s="655">
        <v>0</v>
      </c>
      <c r="W1552" s="655">
        <v>120056</v>
      </c>
      <c r="X1552" s="655">
        <v>0</v>
      </c>
      <c r="Y1552" s="655">
        <v>0</v>
      </c>
      <c r="Z1552" s="655">
        <v>0</v>
      </c>
      <c r="AA1552" s="655">
        <v>0</v>
      </c>
      <c r="AB1552" s="655">
        <v>0</v>
      </c>
      <c r="AC1552" s="655">
        <v>0</v>
      </c>
      <c r="AD1552" s="655">
        <v>152501</v>
      </c>
      <c r="AE1552" s="655">
        <v>28145401</v>
      </c>
      <c r="AF1552" s="655">
        <v>537167</v>
      </c>
      <c r="AG1552" s="655">
        <v>1506618</v>
      </c>
      <c r="AH1552" s="655">
        <v>0</v>
      </c>
      <c r="AI1552" s="655">
        <v>0</v>
      </c>
      <c r="AJ1552" s="655">
        <v>4292270.299999997</v>
      </c>
      <c r="AK1552" s="655">
        <v>34481456.299999997</v>
      </c>
      <c r="AL1552" s="655">
        <v>0</v>
      </c>
      <c r="AM1552" s="655">
        <v>34481456.299999997</v>
      </c>
    </row>
    <row r="1553" spans="1:39" x14ac:dyDescent="0.2">
      <c r="A1553" s="648">
        <v>2017</v>
      </c>
      <c r="B1553" s="648">
        <v>7</v>
      </c>
      <c r="C1553" s="657" t="s">
        <v>294</v>
      </c>
      <c r="D1553" s="648">
        <v>4785</v>
      </c>
      <c r="E1553" s="648" t="s">
        <v>1244</v>
      </c>
      <c r="F1553" s="655">
        <v>2987700</v>
      </c>
      <c r="G1553" s="655">
        <v>160759</v>
      </c>
      <c r="H1553" s="655">
        <v>42914</v>
      </c>
      <c r="I1553" s="655">
        <v>420572</v>
      </c>
      <c r="J1553" s="655">
        <v>298845</v>
      </c>
      <c r="K1553" s="655">
        <v>31879</v>
      </c>
      <c r="L1553" s="655">
        <v>29959</v>
      </c>
      <c r="M1553" s="655">
        <v>0</v>
      </c>
      <c r="N1553" s="655">
        <v>151544</v>
      </c>
      <c r="O1553" s="655">
        <v>8135</v>
      </c>
      <c r="P1553" s="655">
        <v>24566</v>
      </c>
      <c r="Q1553" s="655">
        <v>27434</v>
      </c>
      <c r="R1553" s="655">
        <v>0</v>
      </c>
      <c r="S1553" s="655">
        <v>19925</v>
      </c>
      <c r="T1553" s="655">
        <v>2287</v>
      </c>
      <c r="U1553" s="655">
        <v>76204</v>
      </c>
      <c r="V1553" s="655">
        <v>0</v>
      </c>
      <c r="W1553" s="655">
        <v>51568</v>
      </c>
      <c r="X1553" s="655">
        <v>0</v>
      </c>
      <c r="Y1553" s="655">
        <v>0</v>
      </c>
      <c r="Z1553" s="655">
        <v>0</v>
      </c>
      <c r="AA1553" s="655">
        <v>0</v>
      </c>
      <c r="AB1553" s="655">
        <v>0</v>
      </c>
      <c r="AC1553" s="655">
        <v>0</v>
      </c>
      <c r="AD1553" s="655">
        <v>27786</v>
      </c>
      <c r="AE1553" s="655">
        <v>4306505</v>
      </c>
      <c r="AF1553" s="655">
        <v>0</v>
      </c>
      <c r="AG1553" s="655">
        <v>257544</v>
      </c>
      <c r="AH1553" s="655">
        <v>0</v>
      </c>
      <c r="AI1553" s="655">
        <v>0</v>
      </c>
      <c r="AJ1553" s="655">
        <v>1347950.3499999996</v>
      </c>
      <c r="AK1553" s="655">
        <v>5911999.3499999996</v>
      </c>
      <c r="AL1553" s="655">
        <v>0</v>
      </c>
      <c r="AM1553" s="655">
        <v>5911999.3499999996</v>
      </c>
    </row>
    <row r="1554" spans="1:39" x14ac:dyDescent="0.2">
      <c r="A1554" s="648">
        <v>2017</v>
      </c>
      <c r="B1554" s="648">
        <v>1</v>
      </c>
      <c r="C1554" s="657" t="s">
        <v>295</v>
      </c>
      <c r="D1554" s="648">
        <v>4787</v>
      </c>
      <c r="E1554" s="648" t="s">
        <v>1245</v>
      </c>
      <c r="F1554" s="655">
        <v>1991985</v>
      </c>
      <c r="G1554" s="655">
        <v>0</v>
      </c>
      <c r="H1554" s="655">
        <v>46283</v>
      </c>
      <c r="I1554" s="655">
        <v>161355</v>
      </c>
      <c r="J1554" s="655">
        <v>158597</v>
      </c>
      <c r="K1554" s="655">
        <v>14442</v>
      </c>
      <c r="L1554" s="655">
        <v>20518</v>
      </c>
      <c r="M1554" s="655">
        <v>0</v>
      </c>
      <c r="N1554" s="655">
        <v>97714</v>
      </c>
      <c r="O1554" s="655">
        <v>65</v>
      </c>
      <c r="P1554" s="655">
        <v>16694</v>
      </c>
      <c r="Q1554" s="655">
        <v>18625</v>
      </c>
      <c r="R1554" s="655">
        <v>0</v>
      </c>
      <c r="S1554" s="655">
        <v>9622</v>
      </c>
      <c r="T1554" s="655">
        <v>1032</v>
      </c>
      <c r="U1554" s="655">
        <v>86195</v>
      </c>
      <c r="V1554" s="655">
        <v>0</v>
      </c>
      <c r="W1554" s="655">
        <v>76707</v>
      </c>
      <c r="X1554" s="655">
        <v>0</v>
      </c>
      <c r="Y1554" s="655">
        <v>0</v>
      </c>
      <c r="Z1554" s="655">
        <v>0</v>
      </c>
      <c r="AA1554" s="655">
        <v>0</v>
      </c>
      <c r="AB1554" s="655">
        <v>0</v>
      </c>
      <c r="AC1554" s="655">
        <v>0</v>
      </c>
      <c r="AD1554" s="655">
        <v>20941</v>
      </c>
      <c r="AE1554" s="655">
        <v>2678893</v>
      </c>
      <c r="AF1554" s="655">
        <v>32955</v>
      </c>
      <c r="AG1554" s="655">
        <v>167526</v>
      </c>
      <c r="AH1554" s="655">
        <v>0</v>
      </c>
      <c r="AI1554" s="655">
        <v>0</v>
      </c>
      <c r="AJ1554" s="655">
        <v>159275.08999999985</v>
      </c>
      <c r="AK1554" s="655">
        <v>3038649.09</v>
      </c>
      <c r="AL1554" s="655">
        <v>0</v>
      </c>
      <c r="AM1554" s="655">
        <v>3038649.09</v>
      </c>
    </row>
    <row r="1555" spans="1:39" x14ac:dyDescent="0.2">
      <c r="A1555" s="648">
        <v>2017</v>
      </c>
      <c r="B1555" s="648">
        <v>7</v>
      </c>
      <c r="C1555" s="657" t="s">
        <v>296</v>
      </c>
      <c r="D1555" s="648">
        <v>4788</v>
      </c>
      <c r="E1555" s="648" t="s">
        <v>1246</v>
      </c>
      <c r="F1555" s="655">
        <v>3378651</v>
      </c>
      <c r="G1555" s="655">
        <v>19862</v>
      </c>
      <c r="H1555" s="655">
        <v>15758</v>
      </c>
      <c r="I1555" s="655">
        <v>306161</v>
      </c>
      <c r="J1555" s="655">
        <v>283103</v>
      </c>
      <c r="K1555" s="655">
        <v>32444</v>
      </c>
      <c r="L1555" s="655">
        <v>27806</v>
      </c>
      <c r="M1555" s="655">
        <v>0</v>
      </c>
      <c r="N1555" s="655">
        <v>160767</v>
      </c>
      <c r="O1555" s="655">
        <v>2991</v>
      </c>
      <c r="P1555" s="655">
        <v>27332</v>
      </c>
      <c r="Q1555" s="655">
        <v>30522</v>
      </c>
      <c r="R1555" s="655">
        <v>0</v>
      </c>
      <c r="S1555" s="655">
        <v>20452</v>
      </c>
      <c r="T1555" s="655">
        <v>2347</v>
      </c>
      <c r="U1555" s="655">
        <v>95095</v>
      </c>
      <c r="V1555" s="655">
        <v>0</v>
      </c>
      <c r="W1555" s="655">
        <v>15847</v>
      </c>
      <c r="X1555" s="655">
        <v>0</v>
      </c>
      <c r="Y1555" s="655">
        <v>0</v>
      </c>
      <c r="Z1555" s="655">
        <v>0</v>
      </c>
      <c r="AA1555" s="655">
        <v>0</v>
      </c>
      <c r="AB1555" s="655">
        <v>0</v>
      </c>
      <c r="AC1555" s="655">
        <v>0</v>
      </c>
      <c r="AD1555" s="655">
        <v>29267</v>
      </c>
      <c r="AE1555" s="655">
        <v>4389871</v>
      </c>
      <c r="AF1555" s="655">
        <v>115343</v>
      </c>
      <c r="AG1555" s="655">
        <v>279086</v>
      </c>
      <c r="AH1555" s="655">
        <v>0</v>
      </c>
      <c r="AI1555" s="655">
        <v>0</v>
      </c>
      <c r="AJ1555" s="655">
        <v>2044499.5899999999</v>
      </c>
      <c r="AK1555" s="655">
        <v>6828799.5899999999</v>
      </c>
      <c r="AL1555" s="655">
        <v>0</v>
      </c>
      <c r="AM1555" s="655">
        <v>6828799.5899999999</v>
      </c>
    </row>
    <row r="1556" spans="1:39" x14ac:dyDescent="0.2">
      <c r="A1556" s="648">
        <v>2017</v>
      </c>
      <c r="B1556" s="648">
        <v>11</v>
      </c>
      <c r="C1556" s="657" t="s">
        <v>297</v>
      </c>
      <c r="D1556" s="648">
        <v>4797</v>
      </c>
      <c r="E1556" s="648" t="s">
        <v>1247</v>
      </c>
      <c r="F1556" s="655">
        <v>17444400</v>
      </c>
      <c r="G1556" s="655">
        <v>0</v>
      </c>
      <c r="H1556" s="655">
        <v>174510</v>
      </c>
      <c r="I1556" s="655">
        <v>1884235</v>
      </c>
      <c r="J1556" s="655">
        <v>1518121</v>
      </c>
      <c r="K1556" s="655">
        <v>158723</v>
      </c>
      <c r="L1556" s="655">
        <v>157982</v>
      </c>
      <c r="M1556" s="655">
        <v>846203</v>
      </c>
      <c r="N1556" s="655">
        <v>826049</v>
      </c>
      <c r="O1556" s="655">
        <v>0</v>
      </c>
      <c r="P1556" s="655">
        <v>145099</v>
      </c>
      <c r="Q1556" s="655">
        <v>159285</v>
      </c>
      <c r="R1556" s="655">
        <v>0</v>
      </c>
      <c r="S1556" s="655">
        <v>68065</v>
      </c>
      <c r="T1556" s="655">
        <v>8651</v>
      </c>
      <c r="U1556" s="655">
        <v>594936</v>
      </c>
      <c r="V1556" s="655">
        <v>0</v>
      </c>
      <c r="W1556" s="655">
        <v>461370</v>
      </c>
      <c r="X1556" s="655">
        <v>0</v>
      </c>
      <c r="Y1556" s="655">
        <v>0</v>
      </c>
      <c r="Z1556" s="655">
        <v>0</v>
      </c>
      <c r="AA1556" s="655">
        <v>0</v>
      </c>
      <c r="AB1556" s="655">
        <v>0</v>
      </c>
      <c r="AC1556" s="655">
        <v>-6446</v>
      </c>
      <c r="AD1556" s="655">
        <v>111256</v>
      </c>
      <c r="AE1556" s="655">
        <v>24329927</v>
      </c>
      <c r="AF1556" s="655">
        <v>418529</v>
      </c>
      <c r="AG1556" s="655">
        <v>990667</v>
      </c>
      <c r="AH1556" s="655">
        <v>0</v>
      </c>
      <c r="AI1556" s="655">
        <v>0</v>
      </c>
      <c r="AJ1556" s="655">
        <v>15821683.239999995</v>
      </c>
      <c r="AK1556" s="655">
        <v>41560806.239999995</v>
      </c>
      <c r="AL1556" s="655">
        <v>0</v>
      </c>
      <c r="AM1556" s="655">
        <v>41560806.239999995</v>
      </c>
    </row>
    <row r="1557" spans="1:39" x14ac:dyDescent="0.2">
      <c r="A1557" s="648">
        <v>2017</v>
      </c>
      <c r="B1557" s="648">
        <v>13</v>
      </c>
      <c r="C1557" s="657" t="s">
        <v>298</v>
      </c>
      <c r="D1557" s="648">
        <v>5510</v>
      </c>
      <c r="E1557" s="648" t="s">
        <v>1248</v>
      </c>
      <c r="F1557" s="655">
        <v>4554381</v>
      </c>
      <c r="G1557" s="655">
        <v>0</v>
      </c>
      <c r="H1557" s="655">
        <v>186835</v>
      </c>
      <c r="I1557" s="655">
        <v>477518</v>
      </c>
      <c r="J1557" s="655">
        <v>393939</v>
      </c>
      <c r="K1557" s="655">
        <v>42621</v>
      </c>
      <c r="L1557" s="655">
        <v>39912</v>
      </c>
      <c r="M1557" s="655">
        <v>0</v>
      </c>
      <c r="N1557" s="655">
        <v>221202</v>
      </c>
      <c r="O1557" s="655">
        <v>0</v>
      </c>
      <c r="P1557" s="655">
        <v>37266</v>
      </c>
      <c r="Q1557" s="655">
        <v>41211</v>
      </c>
      <c r="R1557" s="655">
        <v>0</v>
      </c>
      <c r="S1557" s="655">
        <v>22713</v>
      </c>
      <c r="T1557" s="655">
        <v>2420</v>
      </c>
      <c r="U1557" s="655">
        <v>188896</v>
      </c>
      <c r="V1557" s="655">
        <v>0</v>
      </c>
      <c r="W1557" s="655">
        <v>106471</v>
      </c>
      <c r="X1557" s="655">
        <v>0</v>
      </c>
      <c r="Y1557" s="655">
        <v>0</v>
      </c>
      <c r="Z1557" s="655">
        <v>0</v>
      </c>
      <c r="AA1557" s="655">
        <v>0</v>
      </c>
      <c r="AB1557" s="655">
        <v>0</v>
      </c>
      <c r="AC1557" s="655">
        <v>-1418</v>
      </c>
      <c r="AD1557" s="655">
        <v>38690</v>
      </c>
      <c r="AE1557" s="655">
        <v>6275277</v>
      </c>
      <c r="AF1557" s="655">
        <v>151593</v>
      </c>
      <c r="AG1557" s="655">
        <v>384344</v>
      </c>
      <c r="AH1557" s="655">
        <v>0</v>
      </c>
      <c r="AI1557" s="655">
        <v>0</v>
      </c>
      <c r="AJ1557" s="655">
        <v>1730887.9800000004</v>
      </c>
      <c r="AK1557" s="655">
        <v>8542101.9800000004</v>
      </c>
      <c r="AL1557" s="655">
        <v>0</v>
      </c>
      <c r="AM1557" s="655">
        <v>8542101.9800000004</v>
      </c>
    </row>
    <row r="1558" spans="1:39" x14ac:dyDescent="0.2">
      <c r="A1558" s="648">
        <v>2017</v>
      </c>
      <c r="B1558" s="648">
        <v>5</v>
      </c>
      <c r="C1558" s="657" t="s">
        <v>299</v>
      </c>
      <c r="D1558" s="648">
        <v>4860</v>
      </c>
      <c r="E1558" s="648" t="s">
        <v>1249</v>
      </c>
      <c r="F1558" s="655">
        <v>2235008</v>
      </c>
      <c r="G1558" s="655">
        <v>0</v>
      </c>
      <c r="H1558" s="655">
        <v>153893</v>
      </c>
      <c r="I1558" s="655">
        <v>146584</v>
      </c>
      <c r="J1558" s="655">
        <v>204291</v>
      </c>
      <c r="K1558" s="655">
        <v>24846</v>
      </c>
      <c r="L1558" s="655">
        <v>18878</v>
      </c>
      <c r="M1558" s="655">
        <v>0</v>
      </c>
      <c r="N1558" s="655">
        <v>108290</v>
      </c>
      <c r="O1558" s="655">
        <v>0</v>
      </c>
      <c r="P1558" s="655">
        <v>18401</v>
      </c>
      <c r="Q1558" s="655">
        <v>20659</v>
      </c>
      <c r="R1558" s="655">
        <v>315</v>
      </c>
      <c r="S1558" s="655">
        <v>11523</v>
      </c>
      <c r="T1558" s="655">
        <v>1373</v>
      </c>
      <c r="U1558" s="655">
        <v>50582</v>
      </c>
      <c r="V1558" s="655">
        <v>0</v>
      </c>
      <c r="W1558" s="655">
        <v>103136</v>
      </c>
      <c r="X1558" s="655">
        <v>0</v>
      </c>
      <c r="Y1558" s="655">
        <v>0</v>
      </c>
      <c r="Z1558" s="655">
        <v>0</v>
      </c>
      <c r="AA1558" s="655">
        <v>0</v>
      </c>
      <c r="AB1558" s="655">
        <v>0</v>
      </c>
      <c r="AC1558" s="655">
        <v>0</v>
      </c>
      <c r="AD1558" s="655">
        <v>23465</v>
      </c>
      <c r="AE1558" s="655">
        <v>3074314</v>
      </c>
      <c r="AF1558" s="655">
        <v>52728</v>
      </c>
      <c r="AG1558" s="655">
        <v>183964</v>
      </c>
      <c r="AH1558" s="655">
        <v>0</v>
      </c>
      <c r="AI1558" s="655">
        <v>0</v>
      </c>
      <c r="AJ1558" s="655">
        <v>1262806.2999999998</v>
      </c>
      <c r="AK1558" s="655">
        <v>4573812.3</v>
      </c>
      <c r="AL1558" s="655">
        <v>0</v>
      </c>
      <c r="AM1558" s="655">
        <v>4573812.3</v>
      </c>
    </row>
    <row r="1559" spans="1:39" x14ac:dyDescent="0.2">
      <c r="A1559" s="648">
        <v>2017</v>
      </c>
      <c r="B1559" s="648">
        <v>1</v>
      </c>
      <c r="C1559" s="657" t="s">
        <v>300</v>
      </c>
      <c r="D1559" s="648">
        <v>4869</v>
      </c>
      <c r="E1559" s="648" t="s">
        <v>1250</v>
      </c>
      <c r="F1559" s="655">
        <v>8707816</v>
      </c>
      <c r="G1559" s="655">
        <v>0</v>
      </c>
      <c r="H1559" s="655">
        <v>224626</v>
      </c>
      <c r="I1559" s="655">
        <v>1425150</v>
      </c>
      <c r="J1559" s="655">
        <v>756826</v>
      </c>
      <c r="K1559" s="655">
        <v>86947</v>
      </c>
      <c r="L1559" s="655">
        <v>88207</v>
      </c>
      <c r="M1559" s="655">
        <v>419792</v>
      </c>
      <c r="N1559" s="655">
        <v>464387</v>
      </c>
      <c r="O1559" s="655">
        <v>0</v>
      </c>
      <c r="P1559" s="655">
        <v>75013</v>
      </c>
      <c r="Q1559" s="655">
        <v>83690</v>
      </c>
      <c r="R1559" s="655">
        <v>0</v>
      </c>
      <c r="S1559" s="655">
        <v>45730</v>
      </c>
      <c r="T1559" s="655">
        <v>4905</v>
      </c>
      <c r="U1559" s="655">
        <v>259426</v>
      </c>
      <c r="V1559" s="655">
        <v>0</v>
      </c>
      <c r="W1559" s="655">
        <v>112330</v>
      </c>
      <c r="X1559" s="655">
        <v>0</v>
      </c>
      <c r="Y1559" s="655">
        <v>0</v>
      </c>
      <c r="Z1559" s="655">
        <v>0</v>
      </c>
      <c r="AA1559" s="655">
        <v>0</v>
      </c>
      <c r="AB1559" s="655">
        <v>0</v>
      </c>
      <c r="AC1559" s="655">
        <v>15958</v>
      </c>
      <c r="AD1559" s="655">
        <v>91415</v>
      </c>
      <c r="AE1559" s="655">
        <v>12679388</v>
      </c>
      <c r="AF1559" s="655">
        <v>207617</v>
      </c>
      <c r="AG1559" s="655">
        <v>395840</v>
      </c>
      <c r="AH1559" s="655">
        <v>0</v>
      </c>
      <c r="AI1559" s="655">
        <v>0</v>
      </c>
      <c r="AJ1559" s="655">
        <v>5187902.2199999988</v>
      </c>
      <c r="AK1559" s="655">
        <v>18470747.219999999</v>
      </c>
      <c r="AL1559" s="655">
        <v>0</v>
      </c>
      <c r="AM1559" s="655">
        <v>18470747.219999999</v>
      </c>
    </row>
    <row r="1560" spans="1:39" x14ac:dyDescent="0.2">
      <c r="A1560" s="648">
        <v>2017</v>
      </c>
      <c r="B1560" s="648">
        <v>11</v>
      </c>
      <c r="C1560" s="657" t="s">
        <v>301</v>
      </c>
      <c r="D1560" s="648">
        <v>4878</v>
      </c>
      <c r="E1560" s="648" t="s">
        <v>1251</v>
      </c>
      <c r="F1560" s="655">
        <v>4208354</v>
      </c>
      <c r="G1560" s="655">
        <v>0</v>
      </c>
      <c r="H1560" s="655">
        <v>72837</v>
      </c>
      <c r="I1560" s="655">
        <v>437181</v>
      </c>
      <c r="J1560" s="655">
        <v>377411</v>
      </c>
      <c r="K1560" s="655">
        <v>40985</v>
      </c>
      <c r="L1560" s="655">
        <v>40257</v>
      </c>
      <c r="M1560" s="655">
        <v>0</v>
      </c>
      <c r="N1560" s="655">
        <v>198537</v>
      </c>
      <c r="O1560" s="655">
        <v>0</v>
      </c>
      <c r="P1560" s="655">
        <v>34593</v>
      </c>
      <c r="Q1560" s="655">
        <v>37976</v>
      </c>
      <c r="R1560" s="655">
        <v>0</v>
      </c>
      <c r="S1560" s="655">
        <v>16359</v>
      </c>
      <c r="T1560" s="655">
        <v>2079</v>
      </c>
      <c r="U1560" s="655">
        <v>84988</v>
      </c>
      <c r="V1560" s="655">
        <v>0</v>
      </c>
      <c r="W1560" s="655">
        <v>64460</v>
      </c>
      <c r="X1560" s="655">
        <v>0</v>
      </c>
      <c r="Y1560" s="655">
        <v>0</v>
      </c>
      <c r="Z1560" s="655">
        <v>0</v>
      </c>
      <c r="AA1560" s="655">
        <v>0</v>
      </c>
      <c r="AB1560" s="655">
        <v>0</v>
      </c>
      <c r="AC1560" s="655">
        <v>-6446</v>
      </c>
      <c r="AD1560" s="655">
        <v>36871</v>
      </c>
      <c r="AE1560" s="655">
        <v>5572700</v>
      </c>
      <c r="AF1560" s="655">
        <v>135116</v>
      </c>
      <c r="AG1560" s="655">
        <v>332712</v>
      </c>
      <c r="AH1560" s="655">
        <v>0</v>
      </c>
      <c r="AI1560" s="655">
        <v>0</v>
      </c>
      <c r="AJ1560" s="655">
        <v>424497.53000000026</v>
      </c>
      <c r="AK1560" s="655">
        <v>6465025.5300000003</v>
      </c>
      <c r="AL1560" s="655">
        <v>0</v>
      </c>
      <c r="AM1560" s="655">
        <v>6465025.5300000003</v>
      </c>
    </row>
    <row r="1561" spans="1:39" x14ac:dyDescent="0.2">
      <c r="A1561" s="648">
        <v>2017</v>
      </c>
      <c r="B1561" s="648">
        <v>5</v>
      </c>
      <c r="C1561" s="657" t="s">
        <v>302</v>
      </c>
      <c r="D1561" s="648">
        <v>4890</v>
      </c>
      <c r="E1561" s="648" t="s">
        <v>1252</v>
      </c>
      <c r="F1561" s="655">
        <v>6335516</v>
      </c>
      <c r="G1561" s="655">
        <v>0</v>
      </c>
      <c r="H1561" s="655">
        <v>72014</v>
      </c>
      <c r="I1561" s="655">
        <v>753036</v>
      </c>
      <c r="J1561" s="655">
        <v>555329</v>
      </c>
      <c r="K1561" s="655">
        <v>63240</v>
      </c>
      <c r="L1561" s="655">
        <v>61312</v>
      </c>
      <c r="M1561" s="655">
        <v>306675</v>
      </c>
      <c r="N1561" s="655">
        <v>321630</v>
      </c>
      <c r="O1561" s="655">
        <v>0</v>
      </c>
      <c r="P1561" s="655">
        <v>52543</v>
      </c>
      <c r="Q1561" s="655">
        <v>58990</v>
      </c>
      <c r="R1561" s="655">
        <v>938</v>
      </c>
      <c r="S1561" s="655">
        <v>34225</v>
      </c>
      <c r="T1561" s="655">
        <v>4078</v>
      </c>
      <c r="U1561" s="655">
        <v>303625</v>
      </c>
      <c r="V1561" s="655">
        <v>0</v>
      </c>
      <c r="W1561" s="655">
        <v>200075</v>
      </c>
      <c r="X1561" s="655">
        <v>0</v>
      </c>
      <c r="Y1561" s="655">
        <v>0</v>
      </c>
      <c r="Z1561" s="655">
        <v>0</v>
      </c>
      <c r="AA1561" s="655">
        <v>0</v>
      </c>
      <c r="AB1561" s="655">
        <v>0</v>
      </c>
      <c r="AC1561" s="655">
        <v>-3941</v>
      </c>
      <c r="AD1561" s="655">
        <v>54012</v>
      </c>
      <c r="AE1561" s="655">
        <v>9065273</v>
      </c>
      <c r="AF1561" s="655">
        <v>217503</v>
      </c>
      <c r="AG1561" s="655">
        <v>593638</v>
      </c>
      <c r="AH1561" s="655">
        <v>0</v>
      </c>
      <c r="AI1561" s="655">
        <v>0</v>
      </c>
      <c r="AJ1561" s="655">
        <v>1473880.3800000008</v>
      </c>
      <c r="AK1561" s="655">
        <v>11350294.380000001</v>
      </c>
      <c r="AL1561" s="655">
        <v>0</v>
      </c>
      <c r="AM1561" s="655">
        <v>11350294.380000001</v>
      </c>
    </row>
    <row r="1562" spans="1:39" x14ac:dyDescent="0.2">
      <c r="A1562" s="648">
        <v>2017</v>
      </c>
      <c r="B1562" s="648">
        <v>10</v>
      </c>
      <c r="C1562" s="657" t="s">
        <v>303</v>
      </c>
      <c r="D1562" s="648">
        <v>4905</v>
      </c>
      <c r="E1562" s="648" t="s">
        <v>1253</v>
      </c>
      <c r="F1562" s="655">
        <v>1607170</v>
      </c>
      <c r="G1562" s="655">
        <v>0</v>
      </c>
      <c r="H1562" s="655">
        <v>69998</v>
      </c>
      <c r="I1562" s="655">
        <v>176168</v>
      </c>
      <c r="J1562" s="655">
        <v>171113</v>
      </c>
      <c r="K1562" s="655">
        <v>17578</v>
      </c>
      <c r="L1562" s="655">
        <v>17094</v>
      </c>
      <c r="M1562" s="655">
        <v>0</v>
      </c>
      <c r="N1562" s="655">
        <v>77994</v>
      </c>
      <c r="O1562" s="655">
        <v>508</v>
      </c>
      <c r="P1562" s="655">
        <v>13426</v>
      </c>
      <c r="Q1562" s="655">
        <v>14751</v>
      </c>
      <c r="R1562" s="655">
        <v>0</v>
      </c>
      <c r="S1562" s="655">
        <v>7319</v>
      </c>
      <c r="T1562" s="655">
        <v>851</v>
      </c>
      <c r="U1562" s="655">
        <v>67464</v>
      </c>
      <c r="V1562" s="655">
        <v>0</v>
      </c>
      <c r="W1562" s="655">
        <v>29652</v>
      </c>
      <c r="X1562" s="655">
        <v>0</v>
      </c>
      <c r="Y1562" s="655">
        <v>0</v>
      </c>
      <c r="Z1562" s="655">
        <v>0</v>
      </c>
      <c r="AA1562" s="655">
        <v>0</v>
      </c>
      <c r="AB1562" s="655">
        <v>0</v>
      </c>
      <c r="AC1562" s="655">
        <v>0</v>
      </c>
      <c r="AD1562" s="655">
        <v>17015</v>
      </c>
      <c r="AE1562" s="655">
        <v>2254071</v>
      </c>
      <c r="AF1562" s="655">
        <v>49433</v>
      </c>
      <c r="AG1562" s="655">
        <v>129441</v>
      </c>
      <c r="AH1562" s="655">
        <v>0</v>
      </c>
      <c r="AI1562" s="655">
        <v>0</v>
      </c>
      <c r="AJ1562" s="655">
        <v>-323376.48</v>
      </c>
      <c r="AK1562" s="655">
        <v>2109568.52</v>
      </c>
      <c r="AL1562" s="655">
        <v>0</v>
      </c>
      <c r="AM1562" s="655">
        <v>2109568.52</v>
      </c>
    </row>
    <row r="1563" spans="1:39" x14ac:dyDescent="0.2">
      <c r="A1563" s="648">
        <v>2017</v>
      </c>
      <c r="B1563" s="648">
        <v>13</v>
      </c>
      <c r="C1563" s="657" t="s">
        <v>304</v>
      </c>
      <c r="D1563" s="648">
        <v>4978</v>
      </c>
      <c r="E1563" s="648" t="s">
        <v>1254</v>
      </c>
      <c r="F1563" s="655">
        <v>1278654</v>
      </c>
      <c r="G1563" s="655">
        <v>29948</v>
      </c>
      <c r="H1563" s="655">
        <v>86032</v>
      </c>
      <c r="I1563" s="655">
        <v>157261</v>
      </c>
      <c r="J1563" s="655">
        <v>141377</v>
      </c>
      <c r="K1563" s="655">
        <v>15714</v>
      </c>
      <c r="L1563" s="655">
        <v>10522</v>
      </c>
      <c r="M1563" s="655">
        <v>0</v>
      </c>
      <c r="N1563" s="655">
        <v>63123</v>
      </c>
      <c r="O1563" s="655">
        <v>9643</v>
      </c>
      <c r="P1563" s="655">
        <v>10624</v>
      </c>
      <c r="Q1563" s="655">
        <v>11749</v>
      </c>
      <c r="R1563" s="655">
        <v>0</v>
      </c>
      <c r="S1563" s="655">
        <v>6709</v>
      </c>
      <c r="T1563" s="655">
        <v>712</v>
      </c>
      <c r="U1563" s="655">
        <v>35680</v>
      </c>
      <c r="V1563" s="655">
        <v>0</v>
      </c>
      <c r="W1563" s="655">
        <v>77352</v>
      </c>
      <c r="X1563" s="655">
        <v>0</v>
      </c>
      <c r="Y1563" s="655">
        <v>0</v>
      </c>
      <c r="Z1563" s="655">
        <v>0</v>
      </c>
      <c r="AA1563" s="655">
        <v>0</v>
      </c>
      <c r="AB1563" s="655">
        <v>0</v>
      </c>
      <c r="AC1563" s="655">
        <v>0</v>
      </c>
      <c r="AD1563" s="655">
        <v>16537</v>
      </c>
      <c r="AE1563" s="655">
        <v>1918563</v>
      </c>
      <c r="AF1563" s="655">
        <v>81590</v>
      </c>
      <c r="AG1563" s="655">
        <v>114686</v>
      </c>
      <c r="AH1563" s="655">
        <v>0</v>
      </c>
      <c r="AI1563" s="655">
        <v>0</v>
      </c>
      <c r="AJ1563" s="655">
        <v>118119</v>
      </c>
      <c r="AK1563" s="655">
        <v>2232958</v>
      </c>
      <c r="AL1563" s="655">
        <v>0</v>
      </c>
      <c r="AM1563" s="655">
        <v>2232958</v>
      </c>
    </row>
    <row r="1564" spans="1:39" x14ac:dyDescent="0.2">
      <c r="A1564" s="648">
        <v>2017</v>
      </c>
      <c r="B1564" s="648">
        <v>7</v>
      </c>
      <c r="C1564" s="657" t="s">
        <v>305</v>
      </c>
      <c r="D1564" s="648">
        <v>4995</v>
      </c>
      <c r="E1564" s="648" t="s">
        <v>1255</v>
      </c>
      <c r="F1564" s="655">
        <v>6348840</v>
      </c>
      <c r="G1564" s="655">
        <v>0</v>
      </c>
      <c r="H1564" s="655">
        <v>60630</v>
      </c>
      <c r="I1564" s="655">
        <v>624846</v>
      </c>
      <c r="J1564" s="655">
        <v>542765</v>
      </c>
      <c r="K1564" s="655">
        <v>61703</v>
      </c>
      <c r="L1564" s="655">
        <v>57701</v>
      </c>
      <c r="M1564" s="655">
        <v>0</v>
      </c>
      <c r="N1564" s="655">
        <v>307417</v>
      </c>
      <c r="O1564" s="655">
        <v>0</v>
      </c>
      <c r="P1564" s="655">
        <v>51790</v>
      </c>
      <c r="Q1564" s="655">
        <v>57835</v>
      </c>
      <c r="R1564" s="655">
        <v>0</v>
      </c>
      <c r="S1564" s="655">
        <v>38980</v>
      </c>
      <c r="T1564" s="655">
        <v>4479</v>
      </c>
      <c r="U1564" s="655">
        <v>154273</v>
      </c>
      <c r="V1564" s="655">
        <v>0</v>
      </c>
      <c r="W1564" s="655">
        <v>18568</v>
      </c>
      <c r="X1564" s="655">
        <v>0</v>
      </c>
      <c r="Y1564" s="655">
        <v>0</v>
      </c>
      <c r="Z1564" s="655">
        <v>0</v>
      </c>
      <c r="AA1564" s="655">
        <v>0</v>
      </c>
      <c r="AB1564" s="655">
        <v>0</v>
      </c>
      <c r="AC1564" s="655">
        <v>0</v>
      </c>
      <c r="AD1564" s="655">
        <v>55461</v>
      </c>
      <c r="AE1564" s="655">
        <v>8274366</v>
      </c>
      <c r="AF1564" s="655">
        <v>158184</v>
      </c>
      <c r="AG1564" s="655">
        <v>482702</v>
      </c>
      <c r="AH1564" s="655">
        <v>0</v>
      </c>
      <c r="AI1564" s="655">
        <v>0</v>
      </c>
      <c r="AJ1564" s="655">
        <v>1442045.7400000002</v>
      </c>
      <c r="AK1564" s="655">
        <v>10357297.74</v>
      </c>
      <c r="AL1564" s="655">
        <v>0</v>
      </c>
      <c r="AM1564" s="655">
        <v>10357297.74</v>
      </c>
    </row>
    <row r="1565" spans="1:39" x14ac:dyDescent="0.2">
      <c r="A1565" s="648">
        <v>2017</v>
      </c>
      <c r="B1565" s="648">
        <v>15</v>
      </c>
      <c r="C1565" s="657" t="s">
        <v>306</v>
      </c>
      <c r="D1565" s="648">
        <v>5013</v>
      </c>
      <c r="E1565" s="648" t="s">
        <v>1256</v>
      </c>
      <c r="F1565" s="655">
        <v>15630557</v>
      </c>
      <c r="G1565" s="655">
        <v>389081</v>
      </c>
      <c r="H1565" s="655">
        <v>320197</v>
      </c>
      <c r="I1565" s="655">
        <v>1797036</v>
      </c>
      <c r="J1565" s="655">
        <v>1335122</v>
      </c>
      <c r="K1565" s="655">
        <v>157011</v>
      </c>
      <c r="L1565" s="655">
        <v>174899</v>
      </c>
      <c r="M1565" s="655">
        <v>769380</v>
      </c>
      <c r="N1565" s="655">
        <v>759135</v>
      </c>
      <c r="O1565" s="655">
        <v>14672</v>
      </c>
      <c r="P1565" s="655">
        <v>136529</v>
      </c>
      <c r="Q1565" s="655">
        <v>149979</v>
      </c>
      <c r="R1565" s="655">
        <v>0</v>
      </c>
      <c r="S1565" s="655">
        <v>77483</v>
      </c>
      <c r="T1565" s="655">
        <v>8379</v>
      </c>
      <c r="U1565" s="655">
        <v>353228</v>
      </c>
      <c r="V1565" s="655">
        <v>0</v>
      </c>
      <c r="W1565" s="655">
        <v>291517</v>
      </c>
      <c r="X1565" s="655">
        <v>0</v>
      </c>
      <c r="Y1565" s="655">
        <v>0</v>
      </c>
      <c r="Z1565" s="655">
        <v>0</v>
      </c>
      <c r="AA1565" s="655">
        <v>0</v>
      </c>
      <c r="AB1565" s="655">
        <v>0</v>
      </c>
      <c r="AC1565" s="655">
        <v>-11603</v>
      </c>
      <c r="AD1565" s="655">
        <v>134364</v>
      </c>
      <c r="AE1565" s="655">
        <v>22218238</v>
      </c>
      <c r="AF1565" s="655">
        <v>487734</v>
      </c>
      <c r="AG1565" s="655">
        <v>1096384</v>
      </c>
      <c r="AH1565" s="655">
        <v>0</v>
      </c>
      <c r="AI1565" s="655">
        <v>0</v>
      </c>
      <c r="AJ1565" s="655">
        <v>4125433.7800000012</v>
      </c>
      <c r="AK1565" s="655">
        <v>27927789.780000001</v>
      </c>
      <c r="AL1565" s="655">
        <v>0</v>
      </c>
      <c r="AM1565" s="655">
        <v>27927789.780000001</v>
      </c>
    </row>
    <row r="1566" spans="1:39" x14ac:dyDescent="0.2">
      <c r="A1566" s="648">
        <v>2017</v>
      </c>
      <c r="B1566" s="648">
        <v>15</v>
      </c>
      <c r="C1566" s="657" t="s">
        <v>307</v>
      </c>
      <c r="D1566" s="648">
        <v>5049</v>
      </c>
      <c r="E1566" s="648" t="s">
        <v>1257</v>
      </c>
      <c r="F1566" s="655">
        <v>30469534</v>
      </c>
      <c r="G1566" s="655">
        <v>0</v>
      </c>
      <c r="H1566" s="655">
        <v>1039091</v>
      </c>
      <c r="I1566" s="655">
        <v>3437800</v>
      </c>
      <c r="J1566" s="655">
        <v>2532656</v>
      </c>
      <c r="K1566" s="655">
        <v>287175</v>
      </c>
      <c r="L1566" s="655">
        <v>365856</v>
      </c>
      <c r="M1566" s="655">
        <v>1478034</v>
      </c>
      <c r="N1566" s="655">
        <v>1476983</v>
      </c>
      <c r="O1566" s="655">
        <v>0</v>
      </c>
      <c r="P1566" s="655">
        <v>252791</v>
      </c>
      <c r="Q1566" s="655">
        <v>277695</v>
      </c>
      <c r="R1566" s="655">
        <v>0</v>
      </c>
      <c r="S1566" s="655">
        <v>147956</v>
      </c>
      <c r="T1566" s="655">
        <v>16051</v>
      </c>
      <c r="U1566" s="655">
        <v>0</v>
      </c>
      <c r="V1566" s="655">
        <v>0</v>
      </c>
      <c r="W1566" s="655">
        <v>817491</v>
      </c>
      <c r="X1566" s="655">
        <v>0</v>
      </c>
      <c r="Y1566" s="655">
        <v>0</v>
      </c>
      <c r="Z1566" s="655">
        <v>0</v>
      </c>
      <c r="AA1566" s="655">
        <v>0</v>
      </c>
      <c r="AB1566" s="655">
        <v>0</v>
      </c>
      <c r="AC1566" s="655">
        <v>-22432</v>
      </c>
      <c r="AD1566" s="655">
        <v>253700</v>
      </c>
      <c r="AE1566" s="655">
        <v>42322981</v>
      </c>
      <c r="AF1566" s="655">
        <v>784329</v>
      </c>
      <c r="AG1566" s="655">
        <v>1673082</v>
      </c>
      <c r="AH1566" s="655">
        <v>0</v>
      </c>
      <c r="AI1566" s="655">
        <v>0</v>
      </c>
      <c r="AJ1566" s="655">
        <v>19933954.859999999</v>
      </c>
      <c r="AK1566" s="655">
        <v>64714346.859999999</v>
      </c>
      <c r="AL1566" s="655">
        <v>0</v>
      </c>
      <c r="AM1566" s="655">
        <v>64714346.859999999</v>
      </c>
    </row>
    <row r="1567" spans="1:39" x14ac:dyDescent="0.2">
      <c r="A1567" s="648">
        <v>2017</v>
      </c>
      <c r="B1567" s="648">
        <v>11</v>
      </c>
      <c r="C1567" s="657" t="s">
        <v>308</v>
      </c>
      <c r="D1567" s="648">
        <v>5121</v>
      </c>
      <c r="E1567" s="648" t="s">
        <v>1258</v>
      </c>
      <c r="F1567" s="655">
        <v>4804839</v>
      </c>
      <c r="G1567" s="655">
        <v>0</v>
      </c>
      <c r="H1567" s="655">
        <v>72448</v>
      </c>
      <c r="I1567" s="655">
        <v>490634</v>
      </c>
      <c r="J1567" s="655">
        <v>404413</v>
      </c>
      <c r="K1567" s="655">
        <v>39854</v>
      </c>
      <c r="L1567" s="655">
        <v>42114</v>
      </c>
      <c r="M1567" s="655">
        <v>233076</v>
      </c>
      <c r="N1567" s="655">
        <v>226313</v>
      </c>
      <c r="O1567" s="655">
        <v>0</v>
      </c>
      <c r="P1567" s="655">
        <v>39435</v>
      </c>
      <c r="Q1567" s="655">
        <v>43291</v>
      </c>
      <c r="R1567" s="655">
        <v>0</v>
      </c>
      <c r="S1567" s="655">
        <v>18648</v>
      </c>
      <c r="T1567" s="655">
        <v>2370</v>
      </c>
      <c r="U1567" s="655">
        <v>234957</v>
      </c>
      <c r="V1567" s="655">
        <v>0</v>
      </c>
      <c r="W1567" s="655">
        <v>77352</v>
      </c>
      <c r="X1567" s="655">
        <v>0</v>
      </c>
      <c r="Y1567" s="655">
        <v>0</v>
      </c>
      <c r="Z1567" s="655">
        <v>0</v>
      </c>
      <c r="AA1567" s="655">
        <v>0</v>
      </c>
      <c r="AB1567" s="655">
        <v>0</v>
      </c>
      <c r="AC1567" s="655">
        <v>-193</v>
      </c>
      <c r="AD1567" s="655">
        <v>38113</v>
      </c>
      <c r="AE1567" s="655">
        <v>6691438</v>
      </c>
      <c r="AF1567" s="655">
        <v>92274</v>
      </c>
      <c r="AG1567" s="655">
        <v>398369</v>
      </c>
      <c r="AH1567" s="655">
        <v>0</v>
      </c>
      <c r="AI1567" s="655">
        <v>0</v>
      </c>
      <c r="AJ1567" s="655">
        <v>1613579.9699999988</v>
      </c>
      <c r="AK1567" s="655">
        <v>8795660.9699999988</v>
      </c>
      <c r="AL1567" s="655">
        <v>0</v>
      </c>
      <c r="AM1567" s="655">
        <v>8795660.9699999988</v>
      </c>
    </row>
    <row r="1568" spans="1:39" x14ac:dyDescent="0.2">
      <c r="A1568" s="648">
        <v>2017</v>
      </c>
      <c r="B1568" s="648">
        <v>5</v>
      </c>
      <c r="C1568" s="657" t="s">
        <v>309</v>
      </c>
      <c r="D1568" s="648">
        <v>5139</v>
      </c>
      <c r="E1568" s="648" t="s">
        <v>1259</v>
      </c>
      <c r="F1568" s="655">
        <v>1338084</v>
      </c>
      <c r="G1568" s="655">
        <v>25795</v>
      </c>
      <c r="H1568" s="655">
        <v>306097</v>
      </c>
      <c r="I1568" s="655">
        <v>100491</v>
      </c>
      <c r="J1568" s="655">
        <v>117145</v>
      </c>
      <c r="K1568" s="655">
        <v>10296</v>
      </c>
      <c r="L1568" s="655">
        <v>14061</v>
      </c>
      <c r="M1568" s="655">
        <v>0</v>
      </c>
      <c r="N1568" s="655">
        <v>63795</v>
      </c>
      <c r="O1568" s="655">
        <v>1806</v>
      </c>
      <c r="P1568" s="655">
        <v>10747</v>
      </c>
      <c r="Q1568" s="655">
        <v>12066</v>
      </c>
      <c r="R1568" s="655">
        <v>186</v>
      </c>
      <c r="S1568" s="655">
        <v>6987</v>
      </c>
      <c r="T1568" s="655">
        <v>832</v>
      </c>
      <c r="U1568" s="655">
        <v>46026</v>
      </c>
      <c r="V1568" s="655">
        <v>0</v>
      </c>
      <c r="W1568" s="655">
        <v>66394</v>
      </c>
      <c r="X1568" s="655">
        <v>0</v>
      </c>
      <c r="Y1568" s="655">
        <v>0</v>
      </c>
      <c r="Z1568" s="655">
        <v>0</v>
      </c>
      <c r="AA1568" s="655">
        <v>0</v>
      </c>
      <c r="AB1568" s="655">
        <v>0</v>
      </c>
      <c r="AC1568" s="655">
        <v>0</v>
      </c>
      <c r="AD1568" s="655">
        <v>12105</v>
      </c>
      <c r="AE1568" s="655">
        <v>2108703</v>
      </c>
      <c r="AF1568" s="655">
        <v>32955</v>
      </c>
      <c r="AG1568" s="655">
        <v>117594</v>
      </c>
      <c r="AH1568" s="655">
        <v>0</v>
      </c>
      <c r="AI1568" s="655">
        <v>0</v>
      </c>
      <c r="AJ1568" s="655">
        <v>974727.33000000007</v>
      </c>
      <c r="AK1568" s="655">
        <v>3233979.33</v>
      </c>
      <c r="AL1568" s="655">
        <v>0</v>
      </c>
      <c r="AM1568" s="655">
        <v>3233979.33</v>
      </c>
    </row>
    <row r="1569" spans="1:39" x14ac:dyDescent="0.2">
      <c r="A1569" s="648">
        <v>2017</v>
      </c>
      <c r="B1569" s="648">
        <v>12</v>
      </c>
      <c r="C1569" s="657" t="s">
        <v>310</v>
      </c>
      <c r="D1569" s="648">
        <v>6099</v>
      </c>
      <c r="E1569" s="648" t="s">
        <v>646</v>
      </c>
      <c r="F1569" s="655">
        <v>4149842</v>
      </c>
      <c r="G1569" s="655">
        <v>0</v>
      </c>
      <c r="H1569" s="655">
        <v>45631</v>
      </c>
      <c r="I1569" s="655">
        <v>850432</v>
      </c>
      <c r="J1569" s="655">
        <v>365553</v>
      </c>
      <c r="K1569" s="655">
        <v>43041</v>
      </c>
      <c r="L1569" s="655">
        <v>36483</v>
      </c>
      <c r="M1569" s="655">
        <v>0</v>
      </c>
      <c r="N1569" s="655">
        <v>223010</v>
      </c>
      <c r="O1569" s="655">
        <v>0</v>
      </c>
      <c r="P1569" s="655">
        <v>39465</v>
      </c>
      <c r="Q1569" s="655">
        <v>44292</v>
      </c>
      <c r="R1569" s="655">
        <v>0</v>
      </c>
      <c r="S1569" s="655">
        <v>22405</v>
      </c>
      <c r="T1569" s="655">
        <v>2679</v>
      </c>
      <c r="U1569" s="655">
        <v>202964</v>
      </c>
      <c r="V1569" s="655">
        <v>0</v>
      </c>
      <c r="W1569" s="655">
        <v>15815</v>
      </c>
      <c r="X1569" s="655">
        <v>0</v>
      </c>
      <c r="Y1569" s="655">
        <v>0</v>
      </c>
      <c r="Z1569" s="655">
        <v>0</v>
      </c>
      <c r="AA1569" s="655">
        <v>0</v>
      </c>
      <c r="AB1569" s="655">
        <v>0</v>
      </c>
      <c r="AC1569" s="655">
        <v>-2860</v>
      </c>
      <c r="AD1569" s="655">
        <v>46207</v>
      </c>
      <c r="AE1569" s="655">
        <v>5992545</v>
      </c>
      <c r="AF1569" s="655">
        <v>85683</v>
      </c>
      <c r="AG1569" s="655">
        <v>356222</v>
      </c>
      <c r="AH1569" s="655">
        <v>0</v>
      </c>
      <c r="AI1569" s="655">
        <v>0</v>
      </c>
      <c r="AJ1569" s="655">
        <v>1310611.3200000003</v>
      </c>
      <c r="AK1569" s="655">
        <v>7745061.3200000003</v>
      </c>
      <c r="AL1569" s="655">
        <v>0</v>
      </c>
      <c r="AM1569" s="655">
        <v>7745061.3200000003</v>
      </c>
    </row>
    <row r="1570" spans="1:39" x14ac:dyDescent="0.2">
      <c r="A1570" s="648">
        <v>2017</v>
      </c>
      <c r="B1570" s="648">
        <v>15</v>
      </c>
      <c r="C1570" s="657" t="s">
        <v>311</v>
      </c>
      <c r="D1570" s="648">
        <v>5163</v>
      </c>
      <c r="E1570" s="648" t="s">
        <v>1260</v>
      </c>
      <c r="F1570" s="655">
        <v>4206376</v>
      </c>
      <c r="G1570" s="655">
        <v>0</v>
      </c>
      <c r="H1570" s="655">
        <v>125545</v>
      </c>
      <c r="I1570" s="655">
        <v>444893</v>
      </c>
      <c r="J1570" s="655">
        <v>361113</v>
      </c>
      <c r="K1570" s="655">
        <v>40583</v>
      </c>
      <c r="L1570" s="655">
        <v>41796</v>
      </c>
      <c r="M1570" s="655">
        <v>0</v>
      </c>
      <c r="N1570" s="655">
        <v>202606</v>
      </c>
      <c r="O1570" s="655">
        <v>0</v>
      </c>
      <c r="P1570" s="655">
        <v>34388</v>
      </c>
      <c r="Q1570" s="655">
        <v>37776</v>
      </c>
      <c r="R1570" s="655">
        <v>0</v>
      </c>
      <c r="S1570" s="655">
        <v>20296</v>
      </c>
      <c r="T1570" s="655">
        <v>2202</v>
      </c>
      <c r="U1570" s="655">
        <v>81413</v>
      </c>
      <c r="V1570" s="655">
        <v>0</v>
      </c>
      <c r="W1570" s="655">
        <v>30941</v>
      </c>
      <c r="X1570" s="655">
        <v>0</v>
      </c>
      <c r="Y1570" s="655">
        <v>0</v>
      </c>
      <c r="Z1570" s="655">
        <v>0</v>
      </c>
      <c r="AA1570" s="655">
        <v>0</v>
      </c>
      <c r="AB1570" s="655">
        <v>0</v>
      </c>
      <c r="AC1570" s="655">
        <v>0</v>
      </c>
      <c r="AD1570" s="655">
        <v>38700</v>
      </c>
      <c r="AE1570" s="655">
        <v>5591228</v>
      </c>
      <c r="AF1570" s="655">
        <v>128525</v>
      </c>
      <c r="AG1570" s="655">
        <v>334618</v>
      </c>
      <c r="AH1570" s="655">
        <v>0</v>
      </c>
      <c r="AI1570" s="655">
        <v>0</v>
      </c>
      <c r="AJ1570" s="655">
        <v>653330.12000000011</v>
      </c>
      <c r="AK1570" s="655">
        <v>6707701.1200000001</v>
      </c>
      <c r="AL1570" s="655">
        <v>0</v>
      </c>
      <c r="AM1570" s="655">
        <v>6707701.1200000001</v>
      </c>
    </row>
    <row r="1571" spans="1:39" x14ac:dyDescent="0.2">
      <c r="A1571" s="648">
        <v>2017</v>
      </c>
      <c r="B1571" s="648">
        <v>11</v>
      </c>
      <c r="C1571" s="657" t="s">
        <v>312</v>
      </c>
      <c r="D1571" s="648">
        <v>5166</v>
      </c>
      <c r="E1571" s="648" t="s">
        <v>1261</v>
      </c>
      <c r="F1571" s="655">
        <v>14108036</v>
      </c>
      <c r="G1571" s="655">
        <v>0</v>
      </c>
      <c r="H1571" s="655">
        <v>478375</v>
      </c>
      <c r="I1571" s="655">
        <v>1411924</v>
      </c>
      <c r="J1571" s="655">
        <v>1154693</v>
      </c>
      <c r="K1571" s="655">
        <v>123956</v>
      </c>
      <c r="L1571" s="655">
        <v>133375</v>
      </c>
      <c r="M1571" s="655">
        <v>684361</v>
      </c>
      <c r="N1571" s="655">
        <v>663278</v>
      </c>
      <c r="O1571" s="655">
        <v>0</v>
      </c>
      <c r="P1571" s="655">
        <v>147089</v>
      </c>
      <c r="Q1571" s="655">
        <v>161470</v>
      </c>
      <c r="R1571" s="655">
        <v>0</v>
      </c>
      <c r="S1571" s="655">
        <v>54653</v>
      </c>
      <c r="T1571" s="655">
        <v>6946</v>
      </c>
      <c r="U1571" s="655">
        <v>309397</v>
      </c>
      <c r="V1571" s="655">
        <v>0</v>
      </c>
      <c r="W1571" s="655">
        <v>121406</v>
      </c>
      <c r="X1571" s="655">
        <v>0</v>
      </c>
      <c r="Y1571" s="655">
        <v>0</v>
      </c>
      <c r="Z1571" s="655">
        <v>0</v>
      </c>
      <c r="AA1571" s="655">
        <v>0</v>
      </c>
      <c r="AB1571" s="655">
        <v>0</v>
      </c>
      <c r="AC1571" s="655">
        <v>0</v>
      </c>
      <c r="AD1571" s="655">
        <v>110785</v>
      </c>
      <c r="AE1571" s="655">
        <v>19448174</v>
      </c>
      <c r="AF1571" s="655">
        <v>349323</v>
      </c>
      <c r="AG1571" s="655">
        <v>884518</v>
      </c>
      <c r="AH1571" s="655">
        <v>0</v>
      </c>
      <c r="AI1571" s="655">
        <v>0</v>
      </c>
      <c r="AJ1571" s="655">
        <v>5164465.6400000006</v>
      </c>
      <c r="AK1571" s="655">
        <v>25846480.640000001</v>
      </c>
      <c r="AL1571" s="655">
        <v>0</v>
      </c>
      <c r="AM1571" s="655">
        <v>25846480.640000001</v>
      </c>
    </row>
    <row r="1572" spans="1:39" x14ac:dyDescent="0.2">
      <c r="A1572" s="648">
        <v>2017</v>
      </c>
      <c r="B1572" s="648">
        <v>11</v>
      </c>
      <c r="C1572" s="657" t="s">
        <v>313</v>
      </c>
      <c r="D1572" s="648">
        <v>5184</v>
      </c>
      <c r="E1572" s="648" t="s">
        <v>1262</v>
      </c>
      <c r="F1572" s="655">
        <v>11710688</v>
      </c>
      <c r="G1572" s="655">
        <v>228093</v>
      </c>
      <c r="H1572" s="655">
        <v>663986</v>
      </c>
      <c r="I1572" s="655">
        <v>1510425</v>
      </c>
      <c r="J1572" s="655">
        <v>1040346</v>
      </c>
      <c r="K1572" s="655">
        <v>112980</v>
      </c>
      <c r="L1572" s="655">
        <v>155297</v>
      </c>
      <c r="M1572" s="655">
        <v>0</v>
      </c>
      <c r="N1572" s="655">
        <v>564946</v>
      </c>
      <c r="O1572" s="655">
        <v>6003</v>
      </c>
      <c r="P1572" s="655">
        <v>101359</v>
      </c>
      <c r="Q1572" s="655">
        <v>111269</v>
      </c>
      <c r="R1572" s="655">
        <v>0</v>
      </c>
      <c r="S1572" s="655">
        <v>46786</v>
      </c>
      <c r="T1572" s="655">
        <v>5952</v>
      </c>
      <c r="U1572" s="655">
        <v>561202</v>
      </c>
      <c r="V1572" s="655">
        <v>0</v>
      </c>
      <c r="W1572" s="655">
        <v>551092</v>
      </c>
      <c r="X1572" s="655">
        <v>0</v>
      </c>
      <c r="Y1572" s="655">
        <v>0</v>
      </c>
      <c r="Z1572" s="655">
        <v>0</v>
      </c>
      <c r="AA1572" s="655">
        <v>0</v>
      </c>
      <c r="AB1572" s="655">
        <v>0</v>
      </c>
      <c r="AC1572" s="655">
        <v>-22565</v>
      </c>
      <c r="AD1572" s="655">
        <v>93909</v>
      </c>
      <c r="AE1572" s="655">
        <v>17253950</v>
      </c>
      <c r="AF1572" s="655">
        <v>332846</v>
      </c>
      <c r="AG1572" s="655">
        <v>671198</v>
      </c>
      <c r="AH1572" s="655">
        <v>0</v>
      </c>
      <c r="AI1572" s="655">
        <v>0</v>
      </c>
      <c r="AJ1572" s="655">
        <v>7030596.379999999</v>
      </c>
      <c r="AK1572" s="655">
        <v>25288590.379999999</v>
      </c>
      <c r="AL1572" s="655">
        <v>0</v>
      </c>
      <c r="AM1572" s="655">
        <v>25288590.379999999</v>
      </c>
    </row>
    <row r="1573" spans="1:39" x14ac:dyDescent="0.2">
      <c r="A1573" s="648">
        <v>2017</v>
      </c>
      <c r="B1573" s="648">
        <v>9</v>
      </c>
      <c r="C1573" s="657" t="s">
        <v>314</v>
      </c>
      <c r="D1573" s="648">
        <v>5250</v>
      </c>
      <c r="E1573" s="648" t="s">
        <v>1263</v>
      </c>
      <c r="F1573" s="655">
        <v>30471823</v>
      </c>
      <c r="G1573" s="655">
        <v>0</v>
      </c>
      <c r="H1573" s="655">
        <v>427236</v>
      </c>
      <c r="I1573" s="655">
        <v>1939269</v>
      </c>
      <c r="J1573" s="655">
        <v>2394830</v>
      </c>
      <c r="K1573" s="655">
        <v>276485</v>
      </c>
      <c r="L1573" s="655">
        <v>250518</v>
      </c>
      <c r="M1573" s="655">
        <v>1448907</v>
      </c>
      <c r="N1573" s="655">
        <v>1401235</v>
      </c>
      <c r="O1573" s="655">
        <v>0</v>
      </c>
      <c r="P1573" s="655">
        <v>247688</v>
      </c>
      <c r="Q1573" s="655">
        <v>270272</v>
      </c>
      <c r="R1573" s="655">
        <v>0</v>
      </c>
      <c r="S1573" s="655">
        <v>126434</v>
      </c>
      <c r="T1573" s="655">
        <v>14846</v>
      </c>
      <c r="U1573" s="655">
        <v>741130</v>
      </c>
      <c r="V1573" s="655">
        <v>0</v>
      </c>
      <c r="W1573" s="655">
        <v>1439876</v>
      </c>
      <c r="X1573" s="655">
        <v>0</v>
      </c>
      <c r="Y1573" s="655">
        <v>0</v>
      </c>
      <c r="Z1573" s="655">
        <v>0</v>
      </c>
      <c r="AA1573" s="655">
        <v>0</v>
      </c>
      <c r="AB1573" s="655">
        <v>0</v>
      </c>
      <c r="AC1573" s="655">
        <v>-19918</v>
      </c>
      <c r="AD1573" s="655">
        <v>158575</v>
      </c>
      <c r="AE1573" s="655">
        <v>41272056</v>
      </c>
      <c r="AF1573" s="655">
        <v>573417</v>
      </c>
      <c r="AG1573" s="655">
        <v>1832210</v>
      </c>
      <c r="AH1573" s="655">
        <v>0</v>
      </c>
      <c r="AI1573" s="655">
        <v>0</v>
      </c>
      <c r="AJ1573" s="655">
        <v>8514012.3100000024</v>
      </c>
      <c r="AK1573" s="655">
        <v>52191695.310000002</v>
      </c>
      <c r="AL1573" s="655">
        <v>0</v>
      </c>
      <c r="AM1573" s="655">
        <v>52191695.310000002</v>
      </c>
    </row>
    <row r="1574" spans="1:39" x14ac:dyDescent="0.2">
      <c r="A1574" s="648">
        <v>2017</v>
      </c>
      <c r="B1574" s="648">
        <v>11</v>
      </c>
      <c r="C1574" s="657" t="s">
        <v>315</v>
      </c>
      <c r="D1574" s="648">
        <v>5256</v>
      </c>
      <c r="E1574" s="648" t="s">
        <v>1264</v>
      </c>
      <c r="F1574" s="655">
        <v>4465403</v>
      </c>
      <c r="G1574" s="655">
        <v>0</v>
      </c>
      <c r="H1574" s="655">
        <v>71532</v>
      </c>
      <c r="I1574" s="655">
        <v>564256</v>
      </c>
      <c r="J1574" s="655">
        <v>384305</v>
      </c>
      <c r="K1574" s="655">
        <v>40359</v>
      </c>
      <c r="L1574" s="655">
        <v>50833</v>
      </c>
      <c r="M1574" s="655">
        <v>0</v>
      </c>
      <c r="N1574" s="655">
        <v>214953</v>
      </c>
      <c r="O1574" s="655">
        <v>0</v>
      </c>
      <c r="P1574" s="655">
        <v>36584</v>
      </c>
      <c r="Q1574" s="655">
        <v>40161</v>
      </c>
      <c r="R1574" s="655">
        <v>0</v>
      </c>
      <c r="S1574" s="655">
        <v>17712</v>
      </c>
      <c r="T1574" s="655">
        <v>2251</v>
      </c>
      <c r="U1574" s="655">
        <v>161585</v>
      </c>
      <c r="V1574" s="655">
        <v>0</v>
      </c>
      <c r="W1574" s="655">
        <v>106115</v>
      </c>
      <c r="X1574" s="655">
        <v>0</v>
      </c>
      <c r="Y1574" s="655">
        <v>0</v>
      </c>
      <c r="Z1574" s="655">
        <v>0</v>
      </c>
      <c r="AA1574" s="655">
        <v>0</v>
      </c>
      <c r="AB1574" s="655">
        <v>0</v>
      </c>
      <c r="AC1574" s="655">
        <v>-193</v>
      </c>
      <c r="AD1574" s="655">
        <v>35541</v>
      </c>
      <c r="AE1574" s="655">
        <v>6120315</v>
      </c>
      <c r="AF1574" s="655">
        <v>115343</v>
      </c>
      <c r="AG1574" s="655">
        <v>300343</v>
      </c>
      <c r="AH1574" s="655">
        <v>0</v>
      </c>
      <c r="AI1574" s="655">
        <v>0</v>
      </c>
      <c r="AJ1574" s="655">
        <v>561235.36000000034</v>
      </c>
      <c r="AK1574" s="655">
        <v>7097236.3600000003</v>
      </c>
      <c r="AL1574" s="655">
        <v>0</v>
      </c>
      <c r="AM1574" s="655">
        <v>7097236.3600000003</v>
      </c>
    </row>
    <row r="1575" spans="1:39" x14ac:dyDescent="0.2">
      <c r="A1575" s="648">
        <v>2017</v>
      </c>
      <c r="B1575" s="648">
        <v>5</v>
      </c>
      <c r="C1575" s="657" t="s">
        <v>316</v>
      </c>
      <c r="D1575" s="648">
        <v>5283</v>
      </c>
      <c r="E1575" s="648" t="s">
        <v>647</v>
      </c>
      <c r="F1575" s="655">
        <v>4821869</v>
      </c>
      <c r="G1575" s="655">
        <v>0</v>
      </c>
      <c r="H1575" s="655">
        <v>101065</v>
      </c>
      <c r="I1575" s="655">
        <v>549716</v>
      </c>
      <c r="J1575" s="655">
        <v>480502</v>
      </c>
      <c r="K1575" s="655">
        <v>60263</v>
      </c>
      <c r="L1575" s="655">
        <v>43889</v>
      </c>
      <c r="M1575" s="655">
        <v>0</v>
      </c>
      <c r="N1575" s="655">
        <v>239341</v>
      </c>
      <c r="O1575" s="655">
        <v>26706</v>
      </c>
      <c r="P1575" s="655">
        <v>42556</v>
      </c>
      <c r="Q1575" s="655">
        <v>47777</v>
      </c>
      <c r="R1575" s="655">
        <v>698</v>
      </c>
      <c r="S1575" s="655">
        <v>25468</v>
      </c>
      <c r="T1575" s="655">
        <v>3035</v>
      </c>
      <c r="U1575" s="655">
        <v>171617</v>
      </c>
      <c r="V1575" s="655">
        <v>0</v>
      </c>
      <c r="W1575" s="655">
        <v>41635</v>
      </c>
      <c r="X1575" s="655">
        <v>0</v>
      </c>
      <c r="Y1575" s="655">
        <v>0</v>
      </c>
      <c r="Z1575" s="655">
        <v>0</v>
      </c>
      <c r="AA1575" s="655">
        <v>0</v>
      </c>
      <c r="AB1575" s="655">
        <v>0</v>
      </c>
      <c r="AC1575" s="655">
        <v>-592</v>
      </c>
      <c r="AD1575" s="655">
        <v>60837</v>
      </c>
      <c r="AE1575" s="655">
        <v>6594708</v>
      </c>
      <c r="AF1575" s="655">
        <v>148298</v>
      </c>
      <c r="AG1575" s="655">
        <v>429291</v>
      </c>
      <c r="AH1575" s="655">
        <v>0</v>
      </c>
      <c r="AI1575" s="655">
        <v>0</v>
      </c>
      <c r="AJ1575" s="655">
        <v>3136268.9299999997</v>
      </c>
      <c r="AK1575" s="655">
        <v>10308565.93</v>
      </c>
      <c r="AL1575" s="655">
        <v>0</v>
      </c>
      <c r="AM1575" s="655">
        <v>10308565.93</v>
      </c>
    </row>
    <row r="1576" spans="1:39" x14ac:dyDescent="0.2">
      <c r="A1576" s="648">
        <v>2017</v>
      </c>
      <c r="B1576" s="648">
        <v>1</v>
      </c>
      <c r="C1576" s="657" t="s">
        <v>317</v>
      </c>
      <c r="D1576" s="648">
        <v>5310</v>
      </c>
      <c r="E1576" s="648" t="s">
        <v>1265</v>
      </c>
      <c r="F1576" s="655">
        <v>4452417</v>
      </c>
      <c r="G1576" s="655">
        <v>0</v>
      </c>
      <c r="H1576" s="655">
        <v>442224</v>
      </c>
      <c r="I1576" s="655">
        <v>430383</v>
      </c>
      <c r="J1576" s="655">
        <v>395722</v>
      </c>
      <c r="K1576" s="655">
        <v>38854</v>
      </c>
      <c r="L1576" s="655">
        <v>60907</v>
      </c>
      <c r="M1576" s="655">
        <v>0</v>
      </c>
      <c r="N1576" s="655">
        <v>224724</v>
      </c>
      <c r="O1576" s="655">
        <v>0</v>
      </c>
      <c r="P1576" s="655">
        <v>37290</v>
      </c>
      <c r="Q1576" s="655">
        <v>41603</v>
      </c>
      <c r="R1576" s="655">
        <v>0</v>
      </c>
      <c r="S1576" s="655">
        <v>22129</v>
      </c>
      <c r="T1576" s="655">
        <v>2373</v>
      </c>
      <c r="U1576" s="655">
        <v>0</v>
      </c>
      <c r="V1576" s="655">
        <v>0</v>
      </c>
      <c r="W1576" s="655">
        <v>247782</v>
      </c>
      <c r="X1576" s="655">
        <v>0</v>
      </c>
      <c r="Y1576" s="655">
        <v>0</v>
      </c>
      <c r="Z1576" s="655">
        <v>0</v>
      </c>
      <c r="AA1576" s="655">
        <v>0</v>
      </c>
      <c r="AB1576" s="655">
        <v>0</v>
      </c>
      <c r="AC1576" s="655">
        <v>0</v>
      </c>
      <c r="AD1576" s="655">
        <v>35814</v>
      </c>
      <c r="AE1576" s="655">
        <v>6360594</v>
      </c>
      <c r="AF1576" s="655">
        <v>65910</v>
      </c>
      <c r="AG1576" s="655">
        <v>308642</v>
      </c>
      <c r="AH1576" s="655">
        <v>0</v>
      </c>
      <c r="AI1576" s="655">
        <v>0</v>
      </c>
      <c r="AJ1576" s="655">
        <v>3102309.7699999996</v>
      </c>
      <c r="AK1576" s="655">
        <v>9837455.7699999996</v>
      </c>
      <c r="AL1576" s="655">
        <v>0</v>
      </c>
      <c r="AM1576" s="655">
        <v>9837455.7699999996</v>
      </c>
    </row>
    <row r="1577" spans="1:39" x14ac:dyDescent="0.2">
      <c r="A1577" s="648">
        <v>2017</v>
      </c>
      <c r="B1577" s="648">
        <v>11</v>
      </c>
      <c r="C1577" s="657" t="s">
        <v>318</v>
      </c>
      <c r="D1577" s="648">
        <v>5160</v>
      </c>
      <c r="E1577" s="648" t="s">
        <v>648</v>
      </c>
      <c r="F1577" s="655">
        <v>7045120</v>
      </c>
      <c r="G1577" s="655">
        <v>0</v>
      </c>
      <c r="H1577" s="655">
        <v>57803</v>
      </c>
      <c r="I1577" s="655">
        <v>588972</v>
      </c>
      <c r="J1577" s="655">
        <v>591722</v>
      </c>
      <c r="K1577" s="655">
        <v>63589</v>
      </c>
      <c r="L1577" s="655">
        <v>65064</v>
      </c>
      <c r="M1577" s="655">
        <v>0</v>
      </c>
      <c r="N1577" s="655">
        <v>326259</v>
      </c>
      <c r="O1577" s="655">
        <v>0</v>
      </c>
      <c r="P1577" s="655">
        <v>58534</v>
      </c>
      <c r="Q1577" s="655">
        <v>64257</v>
      </c>
      <c r="R1577" s="655">
        <v>0</v>
      </c>
      <c r="S1577" s="655">
        <v>26883</v>
      </c>
      <c r="T1577" s="655">
        <v>3417</v>
      </c>
      <c r="U1577" s="655">
        <v>54610</v>
      </c>
      <c r="V1577" s="655">
        <v>0</v>
      </c>
      <c r="W1577" s="655">
        <v>65104</v>
      </c>
      <c r="X1577" s="655">
        <v>0</v>
      </c>
      <c r="Y1577" s="655">
        <v>0</v>
      </c>
      <c r="Z1577" s="655">
        <v>0</v>
      </c>
      <c r="AA1577" s="655">
        <v>0</v>
      </c>
      <c r="AB1577" s="655">
        <v>0</v>
      </c>
      <c r="AC1577" s="655">
        <v>0</v>
      </c>
      <c r="AD1577" s="655">
        <v>51955</v>
      </c>
      <c r="AE1577" s="655">
        <v>8959379</v>
      </c>
      <c r="AF1577" s="655">
        <v>201026</v>
      </c>
      <c r="AG1577" s="655">
        <v>474630</v>
      </c>
      <c r="AH1577" s="655">
        <v>0</v>
      </c>
      <c r="AI1577" s="655">
        <v>0</v>
      </c>
      <c r="AJ1577" s="655">
        <v>2873287.3100000005</v>
      </c>
      <c r="AK1577" s="655">
        <v>12508322.310000001</v>
      </c>
      <c r="AL1577" s="655">
        <v>0</v>
      </c>
      <c r="AM1577" s="655">
        <v>12508322.310000001</v>
      </c>
    </row>
    <row r="1578" spans="1:39" x14ac:dyDescent="0.2">
      <c r="A1578" s="648">
        <v>2017</v>
      </c>
      <c r="B1578" s="648">
        <v>5</v>
      </c>
      <c r="C1578" s="657" t="s">
        <v>319</v>
      </c>
      <c r="D1578" s="648">
        <v>5325</v>
      </c>
      <c r="E1578" s="648" t="s">
        <v>649</v>
      </c>
      <c r="F1578" s="655">
        <v>3807821</v>
      </c>
      <c r="G1578" s="655">
        <v>61089</v>
      </c>
      <c r="H1578" s="655">
        <v>242616</v>
      </c>
      <c r="I1578" s="655">
        <v>387560</v>
      </c>
      <c r="J1578" s="655">
        <v>359771</v>
      </c>
      <c r="K1578" s="655">
        <v>43312</v>
      </c>
      <c r="L1578" s="655">
        <v>37769</v>
      </c>
      <c r="M1578" s="655">
        <v>0</v>
      </c>
      <c r="N1578" s="655">
        <v>187351</v>
      </c>
      <c r="O1578" s="655">
        <v>15079</v>
      </c>
      <c r="P1578" s="655">
        <v>30777</v>
      </c>
      <c r="Q1578" s="655">
        <v>34553</v>
      </c>
      <c r="R1578" s="655">
        <v>548</v>
      </c>
      <c r="S1578" s="655">
        <v>20174</v>
      </c>
      <c r="T1578" s="655">
        <v>2402</v>
      </c>
      <c r="U1578" s="655">
        <v>122943</v>
      </c>
      <c r="V1578" s="655">
        <v>0</v>
      </c>
      <c r="W1578" s="655">
        <v>151669</v>
      </c>
      <c r="X1578" s="655">
        <v>0</v>
      </c>
      <c r="Y1578" s="655">
        <v>0</v>
      </c>
      <c r="Z1578" s="655">
        <v>0</v>
      </c>
      <c r="AA1578" s="655">
        <v>0</v>
      </c>
      <c r="AB1578" s="655">
        <v>0</v>
      </c>
      <c r="AC1578" s="655">
        <v>-131</v>
      </c>
      <c r="AD1578" s="655">
        <v>45318</v>
      </c>
      <c r="AE1578" s="655">
        <v>5459985</v>
      </c>
      <c r="AF1578" s="655">
        <v>121934</v>
      </c>
      <c r="AG1578" s="655">
        <v>332997</v>
      </c>
      <c r="AH1578" s="655">
        <v>0</v>
      </c>
      <c r="AI1578" s="655">
        <v>0</v>
      </c>
      <c r="AJ1578" s="655">
        <v>1102315.0199999996</v>
      </c>
      <c r="AK1578" s="655">
        <v>7017231.0199999996</v>
      </c>
      <c r="AL1578" s="655">
        <v>0</v>
      </c>
      <c r="AM1578" s="655">
        <v>7017231.0199999996</v>
      </c>
    </row>
    <row r="1579" spans="1:39" x14ac:dyDescent="0.2">
      <c r="A1579" s="648">
        <v>2017</v>
      </c>
      <c r="B1579" s="648">
        <v>13</v>
      </c>
      <c r="C1579" s="657" t="s">
        <v>320</v>
      </c>
      <c r="D1579" s="648">
        <v>5463</v>
      </c>
      <c r="E1579" s="648" t="s">
        <v>1266</v>
      </c>
      <c r="F1579" s="655">
        <v>7468262</v>
      </c>
      <c r="G1579" s="655">
        <v>0</v>
      </c>
      <c r="H1579" s="655">
        <v>187329</v>
      </c>
      <c r="I1579" s="655">
        <v>893542</v>
      </c>
      <c r="J1579" s="655">
        <v>659090</v>
      </c>
      <c r="K1579" s="655">
        <v>72915</v>
      </c>
      <c r="L1579" s="655">
        <v>88484</v>
      </c>
      <c r="M1579" s="655">
        <v>362275</v>
      </c>
      <c r="N1579" s="655">
        <v>367584</v>
      </c>
      <c r="O1579" s="655">
        <v>12293</v>
      </c>
      <c r="P1579" s="655">
        <v>61103</v>
      </c>
      <c r="Q1579" s="655">
        <v>67572</v>
      </c>
      <c r="R1579" s="655">
        <v>0</v>
      </c>
      <c r="S1579" s="655">
        <v>37743</v>
      </c>
      <c r="T1579" s="655">
        <v>4022</v>
      </c>
      <c r="U1579" s="655">
        <v>318766</v>
      </c>
      <c r="V1579" s="655">
        <v>0</v>
      </c>
      <c r="W1579" s="655">
        <v>56880</v>
      </c>
      <c r="X1579" s="655">
        <v>0</v>
      </c>
      <c r="Y1579" s="655">
        <v>0</v>
      </c>
      <c r="Z1579" s="655">
        <v>0</v>
      </c>
      <c r="AA1579" s="655">
        <v>0</v>
      </c>
      <c r="AB1579" s="655">
        <v>0</v>
      </c>
      <c r="AC1579" s="655">
        <v>0</v>
      </c>
      <c r="AD1579" s="655">
        <v>72440</v>
      </c>
      <c r="AE1579" s="655">
        <v>10585420</v>
      </c>
      <c r="AF1579" s="655">
        <v>161480</v>
      </c>
      <c r="AG1579" s="655">
        <v>563406</v>
      </c>
      <c r="AH1579" s="655">
        <v>0</v>
      </c>
      <c r="AI1579" s="655">
        <v>0</v>
      </c>
      <c r="AJ1579" s="655">
        <v>1768869.6999999993</v>
      </c>
      <c r="AK1579" s="655">
        <v>13079175.699999999</v>
      </c>
      <c r="AL1579" s="655">
        <v>0</v>
      </c>
      <c r="AM1579" s="655">
        <v>13079175.699999999</v>
      </c>
    </row>
    <row r="1580" spans="1:39" x14ac:dyDescent="0.2">
      <c r="A1580" s="648">
        <v>2017</v>
      </c>
      <c r="B1580" s="648">
        <v>12</v>
      </c>
      <c r="C1580" s="657" t="s">
        <v>321</v>
      </c>
      <c r="D1580" s="648">
        <v>5486</v>
      </c>
      <c r="E1580" s="648" t="s">
        <v>1267</v>
      </c>
      <c r="F1580" s="655">
        <v>2480822</v>
      </c>
      <c r="G1580" s="655">
        <v>0</v>
      </c>
      <c r="H1580" s="655">
        <v>127195</v>
      </c>
      <c r="I1580" s="655">
        <v>417614</v>
      </c>
      <c r="J1580" s="655">
        <v>226197</v>
      </c>
      <c r="K1580" s="655">
        <v>22902</v>
      </c>
      <c r="L1580" s="655">
        <v>21278</v>
      </c>
      <c r="M1580" s="655">
        <v>0</v>
      </c>
      <c r="N1580" s="655">
        <v>129895</v>
      </c>
      <c r="O1580" s="655">
        <v>2103</v>
      </c>
      <c r="P1580" s="655">
        <v>32797</v>
      </c>
      <c r="Q1580" s="655">
        <v>36808</v>
      </c>
      <c r="R1580" s="655">
        <v>0</v>
      </c>
      <c r="S1580" s="655">
        <v>13150</v>
      </c>
      <c r="T1580" s="655">
        <v>1571</v>
      </c>
      <c r="U1580" s="655">
        <v>0</v>
      </c>
      <c r="V1580" s="655">
        <v>0</v>
      </c>
      <c r="W1580" s="655">
        <v>97334</v>
      </c>
      <c r="X1580" s="655">
        <v>0</v>
      </c>
      <c r="Y1580" s="655">
        <v>0</v>
      </c>
      <c r="Z1580" s="655">
        <v>0</v>
      </c>
      <c r="AA1580" s="655">
        <v>0</v>
      </c>
      <c r="AB1580" s="655">
        <v>0</v>
      </c>
      <c r="AC1580" s="655">
        <v>0</v>
      </c>
      <c r="AD1580" s="655">
        <v>28387</v>
      </c>
      <c r="AE1580" s="655">
        <v>3581279</v>
      </c>
      <c r="AF1580" s="655">
        <v>82388</v>
      </c>
      <c r="AG1580" s="655">
        <v>219056</v>
      </c>
      <c r="AH1580" s="655">
        <v>0</v>
      </c>
      <c r="AI1580" s="655">
        <v>0</v>
      </c>
      <c r="AJ1580" s="655">
        <v>1187485.4700000007</v>
      </c>
      <c r="AK1580" s="655">
        <v>5070208.4700000007</v>
      </c>
      <c r="AL1580" s="655">
        <v>0</v>
      </c>
      <c r="AM1580" s="655">
        <v>5070208.4700000007</v>
      </c>
    </row>
    <row r="1581" spans="1:39" x14ac:dyDescent="0.2">
      <c r="A1581" s="648">
        <v>2017</v>
      </c>
      <c r="B1581" s="648">
        <v>1</v>
      </c>
      <c r="C1581" s="657" t="s">
        <v>322</v>
      </c>
      <c r="D1581" s="648">
        <v>5508</v>
      </c>
      <c r="E1581" s="648" t="s">
        <v>1268</v>
      </c>
      <c r="F1581" s="655">
        <v>2037937</v>
      </c>
      <c r="G1581" s="655">
        <v>0</v>
      </c>
      <c r="H1581" s="655">
        <v>21078</v>
      </c>
      <c r="I1581" s="655">
        <v>281831</v>
      </c>
      <c r="J1581" s="655">
        <v>226427</v>
      </c>
      <c r="K1581" s="655">
        <v>27676</v>
      </c>
      <c r="L1581" s="655">
        <v>19594</v>
      </c>
      <c r="M1581" s="655">
        <v>0</v>
      </c>
      <c r="N1581" s="655">
        <v>106975</v>
      </c>
      <c r="O1581" s="655">
        <v>4059</v>
      </c>
      <c r="P1581" s="655">
        <v>16748</v>
      </c>
      <c r="Q1581" s="655">
        <v>18685</v>
      </c>
      <c r="R1581" s="655">
        <v>0</v>
      </c>
      <c r="S1581" s="655">
        <v>10534</v>
      </c>
      <c r="T1581" s="655">
        <v>1130</v>
      </c>
      <c r="U1581" s="655">
        <v>3688</v>
      </c>
      <c r="V1581" s="655">
        <v>0</v>
      </c>
      <c r="W1581" s="655">
        <v>38676</v>
      </c>
      <c r="X1581" s="655">
        <v>0</v>
      </c>
      <c r="Y1581" s="655">
        <v>0</v>
      </c>
      <c r="Z1581" s="655">
        <v>0</v>
      </c>
      <c r="AA1581" s="655">
        <v>0</v>
      </c>
      <c r="AB1581" s="655">
        <v>0</v>
      </c>
      <c r="AC1581" s="655">
        <v>0</v>
      </c>
      <c r="AD1581" s="655">
        <v>24861</v>
      </c>
      <c r="AE1581" s="655">
        <v>2790177</v>
      </c>
      <c r="AF1581" s="655">
        <v>0</v>
      </c>
      <c r="AG1581" s="655">
        <v>180684</v>
      </c>
      <c r="AH1581" s="655">
        <v>0</v>
      </c>
      <c r="AI1581" s="655">
        <v>0</v>
      </c>
      <c r="AJ1581" s="655">
        <v>852247.47000000067</v>
      </c>
      <c r="AK1581" s="655">
        <v>3823108.4700000007</v>
      </c>
      <c r="AL1581" s="655">
        <v>0</v>
      </c>
      <c r="AM1581" s="655">
        <v>3823108.4700000007</v>
      </c>
    </row>
    <row r="1582" spans="1:39" x14ac:dyDescent="0.2">
      <c r="A1582" s="648">
        <v>2017</v>
      </c>
      <c r="B1582" s="648">
        <v>12</v>
      </c>
      <c r="C1582" s="657" t="s">
        <v>323</v>
      </c>
      <c r="D1582" s="648">
        <v>5607</v>
      </c>
      <c r="E1582" s="648" t="s">
        <v>1269</v>
      </c>
      <c r="F1582" s="655">
        <v>4905690</v>
      </c>
      <c r="G1582" s="655">
        <v>0</v>
      </c>
      <c r="H1582" s="655">
        <v>285600</v>
      </c>
      <c r="I1582" s="655">
        <v>486656</v>
      </c>
      <c r="J1582" s="655">
        <v>430143</v>
      </c>
      <c r="K1582" s="655">
        <v>45484</v>
      </c>
      <c r="L1582" s="655">
        <v>60101</v>
      </c>
      <c r="M1582" s="655">
        <v>236497</v>
      </c>
      <c r="N1582" s="655">
        <v>240932</v>
      </c>
      <c r="O1582" s="655">
        <v>0</v>
      </c>
      <c r="P1582" s="655">
        <v>65594</v>
      </c>
      <c r="Q1582" s="655">
        <v>73616</v>
      </c>
      <c r="R1582" s="655">
        <v>0</v>
      </c>
      <c r="S1582" s="655">
        <v>24205</v>
      </c>
      <c r="T1582" s="655">
        <v>2895</v>
      </c>
      <c r="U1582" s="655">
        <v>133690</v>
      </c>
      <c r="V1582" s="655">
        <v>0</v>
      </c>
      <c r="W1582" s="655">
        <v>361576</v>
      </c>
      <c r="X1582" s="655">
        <v>0</v>
      </c>
      <c r="Y1582" s="655">
        <v>0</v>
      </c>
      <c r="Z1582" s="655">
        <v>0</v>
      </c>
      <c r="AA1582" s="655">
        <v>0</v>
      </c>
      <c r="AB1582" s="655">
        <v>0</v>
      </c>
      <c r="AC1582" s="655">
        <v>0</v>
      </c>
      <c r="AD1582" s="655">
        <v>33454</v>
      </c>
      <c r="AE1582" s="655">
        <v>7319225</v>
      </c>
      <c r="AF1582" s="655">
        <v>280118</v>
      </c>
      <c r="AG1582" s="655">
        <v>369055</v>
      </c>
      <c r="AH1582" s="655">
        <v>0</v>
      </c>
      <c r="AI1582" s="655">
        <v>0</v>
      </c>
      <c r="AJ1582" s="655">
        <v>6913021</v>
      </c>
      <c r="AK1582" s="655">
        <v>14881419</v>
      </c>
      <c r="AL1582" s="655">
        <v>0</v>
      </c>
      <c r="AM1582" s="655">
        <v>14881419</v>
      </c>
    </row>
    <row r="1583" spans="1:39" x14ac:dyDescent="0.2">
      <c r="A1583" s="648">
        <v>2017</v>
      </c>
      <c r="B1583" s="648">
        <v>11</v>
      </c>
      <c r="C1583" s="657" t="s">
        <v>324</v>
      </c>
      <c r="D1583" s="648">
        <v>5643</v>
      </c>
      <c r="E1583" s="648" t="s">
        <v>1270</v>
      </c>
      <c r="F1583" s="655">
        <v>6658228</v>
      </c>
      <c r="G1583" s="655">
        <v>0</v>
      </c>
      <c r="H1583" s="655">
        <v>88688</v>
      </c>
      <c r="I1583" s="655">
        <v>531235</v>
      </c>
      <c r="J1583" s="655">
        <v>560146</v>
      </c>
      <c r="K1583" s="655">
        <v>69805</v>
      </c>
      <c r="L1583" s="655">
        <v>63905</v>
      </c>
      <c r="M1583" s="655">
        <v>322981</v>
      </c>
      <c r="N1583" s="655">
        <v>307257</v>
      </c>
      <c r="O1583" s="655">
        <v>0</v>
      </c>
      <c r="P1583" s="655">
        <v>54338</v>
      </c>
      <c r="Q1583" s="655">
        <v>59651</v>
      </c>
      <c r="R1583" s="655">
        <v>0</v>
      </c>
      <c r="S1583" s="655">
        <v>25317</v>
      </c>
      <c r="T1583" s="655">
        <v>3218</v>
      </c>
      <c r="U1583" s="655">
        <v>219246</v>
      </c>
      <c r="V1583" s="655">
        <v>0</v>
      </c>
      <c r="W1583" s="655">
        <v>108356</v>
      </c>
      <c r="X1583" s="655">
        <v>0</v>
      </c>
      <c r="Y1583" s="655">
        <v>0</v>
      </c>
      <c r="Z1583" s="655">
        <v>0</v>
      </c>
      <c r="AA1583" s="655">
        <v>0</v>
      </c>
      <c r="AB1583" s="655">
        <v>0</v>
      </c>
      <c r="AC1583" s="655">
        <v>-4448</v>
      </c>
      <c r="AD1583" s="655">
        <v>55137</v>
      </c>
      <c r="AE1583" s="655">
        <v>9012786</v>
      </c>
      <c r="AF1583" s="655">
        <v>184548</v>
      </c>
      <c r="AG1583" s="655">
        <v>481124</v>
      </c>
      <c r="AH1583" s="655">
        <v>0</v>
      </c>
      <c r="AI1583" s="655">
        <v>0</v>
      </c>
      <c r="AJ1583" s="655">
        <v>2569754.3100000005</v>
      </c>
      <c r="AK1583" s="655">
        <v>12248212.310000001</v>
      </c>
      <c r="AL1583" s="655">
        <v>0</v>
      </c>
      <c r="AM1583" s="655">
        <v>12248212.310000001</v>
      </c>
    </row>
    <row r="1584" spans="1:39" x14ac:dyDescent="0.2">
      <c r="A1584" s="648">
        <v>2017</v>
      </c>
      <c r="B1584" s="648">
        <v>7</v>
      </c>
      <c r="C1584" s="657" t="s">
        <v>325</v>
      </c>
      <c r="D1584" s="648">
        <v>5697</v>
      </c>
      <c r="E1584" s="648" t="s">
        <v>1271</v>
      </c>
      <c r="F1584" s="655">
        <v>2967268</v>
      </c>
      <c r="G1584" s="655">
        <v>0</v>
      </c>
      <c r="H1584" s="655">
        <v>93217</v>
      </c>
      <c r="I1584" s="655">
        <v>429601</v>
      </c>
      <c r="J1584" s="655">
        <v>267365</v>
      </c>
      <c r="K1584" s="655">
        <v>30177</v>
      </c>
      <c r="L1584" s="655">
        <v>28165</v>
      </c>
      <c r="M1584" s="655">
        <v>0</v>
      </c>
      <c r="N1584" s="655">
        <v>151037</v>
      </c>
      <c r="O1584" s="655">
        <v>6986</v>
      </c>
      <c r="P1584" s="655">
        <v>24837</v>
      </c>
      <c r="Q1584" s="655">
        <v>27736</v>
      </c>
      <c r="R1584" s="655">
        <v>0</v>
      </c>
      <c r="S1584" s="655">
        <v>19152</v>
      </c>
      <c r="T1584" s="655">
        <v>2201</v>
      </c>
      <c r="U1584" s="655">
        <v>52340</v>
      </c>
      <c r="V1584" s="655">
        <v>0</v>
      </c>
      <c r="W1584" s="655">
        <v>51568</v>
      </c>
      <c r="X1584" s="655">
        <v>0</v>
      </c>
      <c r="Y1584" s="655">
        <v>0</v>
      </c>
      <c r="Z1584" s="655">
        <v>0</v>
      </c>
      <c r="AA1584" s="655">
        <v>0</v>
      </c>
      <c r="AB1584" s="655">
        <v>0</v>
      </c>
      <c r="AC1584" s="655">
        <v>0</v>
      </c>
      <c r="AD1584" s="655">
        <v>34375</v>
      </c>
      <c r="AE1584" s="655">
        <v>4117275</v>
      </c>
      <c r="AF1584" s="655">
        <v>62615</v>
      </c>
      <c r="AG1584" s="655">
        <v>245423</v>
      </c>
      <c r="AH1584" s="655">
        <v>0</v>
      </c>
      <c r="AI1584" s="655">
        <v>0</v>
      </c>
      <c r="AJ1584" s="655">
        <v>985586.08000000007</v>
      </c>
      <c r="AK1584" s="655">
        <v>5410899.0800000001</v>
      </c>
      <c r="AL1584" s="655">
        <v>0</v>
      </c>
      <c r="AM1584" s="655">
        <v>5410899.0800000001</v>
      </c>
    </row>
    <row r="1585" spans="1:39" x14ac:dyDescent="0.2">
      <c r="A1585" s="648">
        <v>2017</v>
      </c>
      <c r="B1585" s="648">
        <v>5</v>
      </c>
      <c r="C1585" s="657" t="s">
        <v>326</v>
      </c>
      <c r="D1585" s="648">
        <v>5724</v>
      </c>
      <c r="E1585" s="648" t="s">
        <v>1272</v>
      </c>
      <c r="F1585" s="655">
        <v>1624830</v>
      </c>
      <c r="G1585" s="655">
        <v>0</v>
      </c>
      <c r="H1585" s="655">
        <v>211994</v>
      </c>
      <c r="I1585" s="655">
        <v>226750</v>
      </c>
      <c r="J1585" s="655">
        <v>155615</v>
      </c>
      <c r="K1585" s="655">
        <v>17063</v>
      </c>
      <c r="L1585" s="655">
        <v>18590</v>
      </c>
      <c r="M1585" s="655">
        <v>0</v>
      </c>
      <c r="N1585" s="655">
        <v>84012</v>
      </c>
      <c r="O1585" s="655">
        <v>0</v>
      </c>
      <c r="P1585" s="655">
        <v>13624</v>
      </c>
      <c r="Q1585" s="655">
        <v>15296</v>
      </c>
      <c r="R1585" s="655">
        <v>246</v>
      </c>
      <c r="S1585" s="655">
        <v>8940</v>
      </c>
      <c r="T1585" s="655">
        <v>1065</v>
      </c>
      <c r="U1585" s="655">
        <v>61707</v>
      </c>
      <c r="V1585" s="655">
        <v>0</v>
      </c>
      <c r="W1585" s="655">
        <v>38676</v>
      </c>
      <c r="X1585" s="655">
        <v>0</v>
      </c>
      <c r="Y1585" s="655">
        <v>0</v>
      </c>
      <c r="Z1585" s="655">
        <v>0</v>
      </c>
      <c r="AA1585" s="655">
        <v>0</v>
      </c>
      <c r="AB1585" s="655">
        <v>0</v>
      </c>
      <c r="AC1585" s="655">
        <v>-19380</v>
      </c>
      <c r="AD1585" s="655">
        <v>15314</v>
      </c>
      <c r="AE1585" s="655">
        <v>2443714</v>
      </c>
      <c r="AF1585" s="655">
        <v>26364</v>
      </c>
      <c r="AG1585" s="655">
        <v>136388</v>
      </c>
      <c r="AH1585" s="655">
        <v>0</v>
      </c>
      <c r="AI1585" s="655">
        <v>0</v>
      </c>
      <c r="AJ1585" s="655">
        <v>451330.95999999996</v>
      </c>
      <c r="AK1585" s="655">
        <v>3057796.96</v>
      </c>
      <c r="AL1585" s="655">
        <v>0</v>
      </c>
      <c r="AM1585" s="655">
        <v>3057796.96</v>
      </c>
    </row>
    <row r="1586" spans="1:39" x14ac:dyDescent="0.2">
      <c r="A1586" s="648">
        <v>2017</v>
      </c>
      <c r="B1586" s="648">
        <v>7</v>
      </c>
      <c r="C1586" s="657" t="s">
        <v>327</v>
      </c>
      <c r="D1586" s="648">
        <v>5751</v>
      </c>
      <c r="E1586" s="648" t="s">
        <v>1273</v>
      </c>
      <c r="F1586" s="655">
        <v>4025783</v>
      </c>
      <c r="G1586" s="655">
        <v>126996</v>
      </c>
      <c r="H1586" s="655">
        <v>29823</v>
      </c>
      <c r="I1586" s="655">
        <v>378029</v>
      </c>
      <c r="J1586" s="655">
        <v>345984</v>
      </c>
      <c r="K1586" s="655">
        <v>40634</v>
      </c>
      <c r="L1586" s="655">
        <v>38366</v>
      </c>
      <c r="M1586" s="655">
        <v>0</v>
      </c>
      <c r="N1586" s="655">
        <v>195040</v>
      </c>
      <c r="O1586" s="655">
        <v>4232</v>
      </c>
      <c r="P1586" s="655">
        <v>32972</v>
      </c>
      <c r="Q1586" s="655">
        <v>36820</v>
      </c>
      <c r="R1586" s="655">
        <v>0</v>
      </c>
      <c r="S1586" s="655">
        <v>25377</v>
      </c>
      <c r="T1586" s="655">
        <v>2912</v>
      </c>
      <c r="U1586" s="655">
        <v>42127</v>
      </c>
      <c r="V1586" s="655">
        <v>0</v>
      </c>
      <c r="W1586" s="655">
        <v>51568</v>
      </c>
      <c r="X1586" s="655">
        <v>0</v>
      </c>
      <c r="Y1586" s="655">
        <v>0</v>
      </c>
      <c r="Z1586" s="655">
        <v>0</v>
      </c>
      <c r="AA1586" s="655">
        <v>0</v>
      </c>
      <c r="AB1586" s="655">
        <v>0</v>
      </c>
      <c r="AC1586" s="655">
        <v>0</v>
      </c>
      <c r="AD1586" s="655">
        <v>40735</v>
      </c>
      <c r="AE1586" s="655">
        <v>5335928</v>
      </c>
      <c r="AF1586" s="655">
        <v>75797</v>
      </c>
      <c r="AG1586" s="655">
        <v>348584</v>
      </c>
      <c r="AH1586" s="655">
        <v>0</v>
      </c>
      <c r="AI1586" s="655">
        <v>0</v>
      </c>
      <c r="AJ1586" s="655">
        <v>1661389.9299999997</v>
      </c>
      <c r="AK1586" s="655">
        <v>7421698.9299999997</v>
      </c>
      <c r="AL1586" s="655">
        <v>0</v>
      </c>
      <c r="AM1586" s="655">
        <v>7421698.9299999997</v>
      </c>
    </row>
    <row r="1587" spans="1:39" x14ac:dyDescent="0.2">
      <c r="A1587" s="648">
        <v>2017</v>
      </c>
      <c r="B1587" s="648">
        <v>11</v>
      </c>
      <c r="C1587" s="657" t="s">
        <v>328</v>
      </c>
      <c r="D1587" s="648">
        <v>5805</v>
      </c>
      <c r="E1587" s="648" t="s">
        <v>1274</v>
      </c>
      <c r="F1587" s="655">
        <v>7660514</v>
      </c>
      <c r="G1587" s="655">
        <v>87739</v>
      </c>
      <c r="H1587" s="655">
        <v>124703</v>
      </c>
      <c r="I1587" s="655">
        <v>939252</v>
      </c>
      <c r="J1587" s="655">
        <v>704641</v>
      </c>
      <c r="K1587" s="655">
        <v>75349</v>
      </c>
      <c r="L1587" s="655">
        <v>90683</v>
      </c>
      <c r="M1587" s="655">
        <v>368243</v>
      </c>
      <c r="N1587" s="655">
        <v>363776</v>
      </c>
      <c r="O1587" s="655">
        <v>1292</v>
      </c>
      <c r="P1587" s="655">
        <v>62892</v>
      </c>
      <c r="Q1587" s="655">
        <v>69041</v>
      </c>
      <c r="R1587" s="655">
        <v>0</v>
      </c>
      <c r="S1587" s="655">
        <v>29975</v>
      </c>
      <c r="T1587" s="655">
        <v>3810</v>
      </c>
      <c r="U1587" s="655">
        <v>374685</v>
      </c>
      <c r="V1587" s="655">
        <v>0</v>
      </c>
      <c r="W1587" s="655">
        <v>196076</v>
      </c>
      <c r="X1587" s="655">
        <v>0</v>
      </c>
      <c r="Y1587" s="655">
        <v>0</v>
      </c>
      <c r="Z1587" s="655">
        <v>0</v>
      </c>
      <c r="AA1587" s="655">
        <v>0</v>
      </c>
      <c r="AB1587" s="655">
        <v>0</v>
      </c>
      <c r="AC1587" s="655">
        <v>-1433</v>
      </c>
      <c r="AD1587" s="655">
        <v>77221</v>
      </c>
      <c r="AE1587" s="655">
        <v>11074017</v>
      </c>
      <c r="AF1587" s="655">
        <v>98865</v>
      </c>
      <c r="AG1587" s="655">
        <v>674408</v>
      </c>
      <c r="AH1587" s="655">
        <v>0</v>
      </c>
      <c r="AI1587" s="655">
        <v>0</v>
      </c>
      <c r="AJ1587" s="655">
        <v>5598182.4699999988</v>
      </c>
      <c r="AK1587" s="655">
        <v>17445472.469999999</v>
      </c>
      <c r="AL1587" s="655">
        <v>0</v>
      </c>
      <c r="AM1587" s="655">
        <v>17445472.469999999</v>
      </c>
    </row>
    <row r="1588" spans="1:39" x14ac:dyDescent="0.2">
      <c r="A1588" s="648">
        <v>2017</v>
      </c>
      <c r="B1588" s="648">
        <v>5</v>
      </c>
      <c r="C1588" s="657" t="s">
        <v>329</v>
      </c>
      <c r="D1588" s="648">
        <v>5823</v>
      </c>
      <c r="E1588" s="648" t="s">
        <v>650</v>
      </c>
      <c r="F1588" s="655">
        <v>2338955</v>
      </c>
      <c r="G1588" s="655">
        <v>70614</v>
      </c>
      <c r="H1588" s="655">
        <v>179386</v>
      </c>
      <c r="I1588" s="655">
        <v>283231</v>
      </c>
      <c r="J1588" s="655">
        <v>217901</v>
      </c>
      <c r="K1588" s="655">
        <v>24516</v>
      </c>
      <c r="L1588" s="655">
        <v>21051</v>
      </c>
      <c r="M1588" s="655">
        <v>0</v>
      </c>
      <c r="N1588" s="655">
        <v>118030</v>
      </c>
      <c r="O1588" s="655">
        <v>2737</v>
      </c>
      <c r="P1588" s="655">
        <v>19649</v>
      </c>
      <c r="Q1588" s="655">
        <v>22060</v>
      </c>
      <c r="R1588" s="655">
        <v>345</v>
      </c>
      <c r="S1588" s="655">
        <v>12571</v>
      </c>
      <c r="T1588" s="655">
        <v>1497</v>
      </c>
      <c r="U1588" s="655">
        <v>89705</v>
      </c>
      <c r="V1588" s="655">
        <v>0</v>
      </c>
      <c r="W1588" s="655">
        <v>40733</v>
      </c>
      <c r="X1588" s="655">
        <v>0</v>
      </c>
      <c r="Y1588" s="655">
        <v>0</v>
      </c>
      <c r="Z1588" s="655">
        <v>0</v>
      </c>
      <c r="AA1588" s="655">
        <v>0</v>
      </c>
      <c r="AB1588" s="655">
        <v>0</v>
      </c>
      <c r="AC1588" s="655">
        <v>0</v>
      </c>
      <c r="AD1588" s="655">
        <v>27714</v>
      </c>
      <c r="AE1588" s="655">
        <v>3415267</v>
      </c>
      <c r="AF1588" s="655">
        <v>111322</v>
      </c>
      <c r="AG1588" s="655">
        <v>208669</v>
      </c>
      <c r="AH1588" s="655">
        <v>0</v>
      </c>
      <c r="AI1588" s="655">
        <v>0</v>
      </c>
      <c r="AJ1588" s="655">
        <v>330778.02999999933</v>
      </c>
      <c r="AK1588" s="655">
        <v>4066036.0299999993</v>
      </c>
      <c r="AL1588" s="655">
        <v>0</v>
      </c>
      <c r="AM1588" s="655">
        <v>4066036.0299999993</v>
      </c>
    </row>
    <row r="1589" spans="1:39" x14ac:dyDescent="0.2">
      <c r="A1589" s="648">
        <v>2017</v>
      </c>
      <c r="B1589" s="648">
        <v>12</v>
      </c>
      <c r="C1589" s="657" t="s">
        <v>330</v>
      </c>
      <c r="D1589" s="648">
        <v>5832</v>
      </c>
      <c r="E1589" s="648" t="s">
        <v>1275</v>
      </c>
      <c r="F1589" s="655">
        <v>1932481</v>
      </c>
      <c r="G1589" s="655">
        <v>124173</v>
      </c>
      <c r="H1589" s="655">
        <v>155376</v>
      </c>
      <c r="I1589" s="655">
        <v>299429</v>
      </c>
      <c r="J1589" s="655">
        <v>154216</v>
      </c>
      <c r="K1589" s="655">
        <v>13473</v>
      </c>
      <c r="L1589" s="655">
        <v>18398</v>
      </c>
      <c r="M1589" s="655">
        <v>0</v>
      </c>
      <c r="N1589" s="655">
        <v>100343</v>
      </c>
      <c r="O1589" s="655">
        <v>4616</v>
      </c>
      <c r="P1589" s="655">
        <v>15884</v>
      </c>
      <c r="Q1589" s="655">
        <v>17826</v>
      </c>
      <c r="R1589" s="655">
        <v>0</v>
      </c>
      <c r="S1589" s="655">
        <v>10541</v>
      </c>
      <c r="T1589" s="655">
        <v>1260</v>
      </c>
      <c r="U1589" s="655">
        <v>0</v>
      </c>
      <c r="V1589" s="655">
        <v>0</v>
      </c>
      <c r="W1589" s="655">
        <v>59303</v>
      </c>
      <c r="X1589" s="655">
        <v>0</v>
      </c>
      <c r="Y1589" s="655">
        <v>0</v>
      </c>
      <c r="Z1589" s="655">
        <v>0</v>
      </c>
      <c r="AA1589" s="655">
        <v>0</v>
      </c>
      <c r="AB1589" s="655">
        <v>0</v>
      </c>
      <c r="AC1589" s="655">
        <v>0</v>
      </c>
      <c r="AD1589" s="655">
        <v>16289</v>
      </c>
      <c r="AE1589" s="655">
        <v>2891030</v>
      </c>
      <c r="AF1589" s="655">
        <v>0</v>
      </c>
      <c r="AG1589" s="655">
        <v>172738</v>
      </c>
      <c r="AH1589" s="655">
        <v>0</v>
      </c>
      <c r="AI1589" s="655">
        <v>0</v>
      </c>
      <c r="AJ1589" s="655">
        <v>1861721.37</v>
      </c>
      <c r="AK1589" s="655">
        <v>4925489.37</v>
      </c>
      <c r="AL1589" s="655">
        <v>0</v>
      </c>
      <c r="AM1589" s="655">
        <v>4925489.37</v>
      </c>
    </row>
    <row r="1590" spans="1:39" x14ac:dyDescent="0.2">
      <c r="A1590" s="648">
        <v>2017</v>
      </c>
      <c r="B1590" s="648">
        <v>12</v>
      </c>
      <c r="C1590" s="657" t="s">
        <v>331</v>
      </c>
      <c r="D1590" s="648">
        <v>5877</v>
      </c>
      <c r="E1590" s="648" t="s">
        <v>1276</v>
      </c>
      <c r="F1590" s="655">
        <v>9248491</v>
      </c>
      <c r="G1590" s="655">
        <v>0</v>
      </c>
      <c r="H1590" s="655">
        <v>152140</v>
      </c>
      <c r="I1590" s="655">
        <v>1386615</v>
      </c>
      <c r="J1590" s="655">
        <v>808061</v>
      </c>
      <c r="K1590" s="655">
        <v>97943</v>
      </c>
      <c r="L1590" s="655">
        <v>95109</v>
      </c>
      <c r="M1590" s="655">
        <v>0</v>
      </c>
      <c r="N1590" s="655">
        <v>478136</v>
      </c>
      <c r="O1590" s="655">
        <v>0</v>
      </c>
      <c r="P1590" s="655">
        <v>78442</v>
      </c>
      <c r="Q1590" s="655">
        <v>88035</v>
      </c>
      <c r="R1590" s="655">
        <v>0</v>
      </c>
      <c r="S1590" s="655">
        <v>48036</v>
      </c>
      <c r="T1590" s="655">
        <v>5744</v>
      </c>
      <c r="U1590" s="655">
        <v>353220</v>
      </c>
      <c r="V1590" s="655">
        <v>0</v>
      </c>
      <c r="W1590" s="655">
        <v>134324</v>
      </c>
      <c r="X1590" s="655">
        <v>0</v>
      </c>
      <c r="Y1590" s="655">
        <v>0</v>
      </c>
      <c r="Z1590" s="655">
        <v>0</v>
      </c>
      <c r="AA1590" s="655">
        <v>0</v>
      </c>
      <c r="AB1590" s="655">
        <v>0</v>
      </c>
      <c r="AC1590" s="655">
        <v>0</v>
      </c>
      <c r="AD1590" s="655">
        <v>65942</v>
      </c>
      <c r="AE1590" s="655">
        <v>12908354</v>
      </c>
      <c r="AF1590" s="655">
        <v>290004</v>
      </c>
      <c r="AG1590" s="655">
        <v>750145</v>
      </c>
      <c r="AH1590" s="655">
        <v>0</v>
      </c>
      <c r="AI1590" s="655">
        <v>0</v>
      </c>
      <c r="AJ1590" s="655">
        <v>2561972.3800000027</v>
      </c>
      <c r="AK1590" s="655">
        <v>16510475.380000003</v>
      </c>
      <c r="AL1590" s="655">
        <v>0</v>
      </c>
      <c r="AM1590" s="655">
        <v>16510475.380000003</v>
      </c>
    </row>
    <row r="1591" spans="1:39" x14ac:dyDescent="0.2">
      <c r="A1591" s="648">
        <v>2017</v>
      </c>
      <c r="B1591" s="648">
        <v>15</v>
      </c>
      <c r="C1591" s="657" t="s">
        <v>332</v>
      </c>
      <c r="D1591" s="648">
        <v>5895</v>
      </c>
      <c r="E1591" s="648" t="s">
        <v>1277</v>
      </c>
      <c r="F1591" s="655">
        <v>1962141</v>
      </c>
      <c r="G1591" s="655">
        <v>0</v>
      </c>
      <c r="H1591" s="655">
        <v>143987</v>
      </c>
      <c r="I1591" s="655">
        <v>156668</v>
      </c>
      <c r="J1591" s="655">
        <v>209423</v>
      </c>
      <c r="K1591" s="655">
        <v>23069</v>
      </c>
      <c r="L1591" s="655">
        <v>23560</v>
      </c>
      <c r="M1591" s="655">
        <v>0</v>
      </c>
      <c r="N1591" s="655">
        <v>92294</v>
      </c>
      <c r="O1591" s="655">
        <v>0</v>
      </c>
      <c r="P1591" s="655">
        <v>16062</v>
      </c>
      <c r="Q1591" s="655">
        <v>17645</v>
      </c>
      <c r="R1591" s="655">
        <v>0</v>
      </c>
      <c r="S1591" s="655">
        <v>9245</v>
      </c>
      <c r="T1591" s="655">
        <v>1003</v>
      </c>
      <c r="U1591" s="655">
        <v>47974</v>
      </c>
      <c r="V1591" s="655">
        <v>0</v>
      </c>
      <c r="W1591" s="655">
        <v>73759</v>
      </c>
      <c r="X1591" s="655">
        <v>0</v>
      </c>
      <c r="Y1591" s="655">
        <v>0</v>
      </c>
      <c r="Z1591" s="655">
        <v>0</v>
      </c>
      <c r="AA1591" s="655">
        <v>0</v>
      </c>
      <c r="AB1591" s="655">
        <v>0</v>
      </c>
      <c r="AC1591" s="655">
        <v>0</v>
      </c>
      <c r="AD1591" s="655">
        <v>19164</v>
      </c>
      <c r="AE1591" s="655">
        <v>2757666</v>
      </c>
      <c r="AF1591" s="655">
        <v>56024</v>
      </c>
      <c r="AG1591" s="655">
        <v>142137</v>
      </c>
      <c r="AH1591" s="655">
        <v>0</v>
      </c>
      <c r="AI1591" s="655">
        <v>0</v>
      </c>
      <c r="AJ1591" s="655">
        <v>1301492.8200000003</v>
      </c>
      <c r="AK1591" s="655">
        <v>4257319.82</v>
      </c>
      <c r="AL1591" s="655">
        <v>0</v>
      </c>
      <c r="AM1591" s="655">
        <v>4257319.82</v>
      </c>
    </row>
    <row r="1592" spans="1:39" x14ac:dyDescent="0.2">
      <c r="A1592" s="648">
        <v>2017</v>
      </c>
      <c r="B1592" s="648">
        <v>7</v>
      </c>
      <c r="C1592" s="657" t="s">
        <v>333</v>
      </c>
      <c r="D1592" s="648">
        <v>5922</v>
      </c>
      <c r="E1592" s="648" t="s">
        <v>1483</v>
      </c>
      <c r="F1592" s="655">
        <v>4494037</v>
      </c>
      <c r="G1592" s="655">
        <v>60191</v>
      </c>
      <c r="H1592" s="655">
        <v>68398</v>
      </c>
      <c r="I1592" s="655">
        <v>685372</v>
      </c>
      <c r="J1592" s="655">
        <v>427460</v>
      </c>
      <c r="K1592" s="655">
        <v>49065</v>
      </c>
      <c r="L1592" s="655">
        <v>39173</v>
      </c>
      <c r="M1592" s="655">
        <v>0</v>
      </c>
      <c r="N1592" s="655">
        <v>228355</v>
      </c>
      <c r="O1592" s="655">
        <v>14167</v>
      </c>
      <c r="P1592" s="655">
        <v>38774</v>
      </c>
      <c r="Q1592" s="655">
        <v>43300</v>
      </c>
      <c r="R1592" s="655">
        <v>0</v>
      </c>
      <c r="S1592" s="655">
        <v>29165</v>
      </c>
      <c r="T1592" s="655">
        <v>3347</v>
      </c>
      <c r="U1592" s="655">
        <v>145065</v>
      </c>
      <c r="V1592" s="655">
        <v>0</v>
      </c>
      <c r="W1592" s="655">
        <v>179469</v>
      </c>
      <c r="X1592" s="655">
        <v>0</v>
      </c>
      <c r="Y1592" s="655">
        <v>0</v>
      </c>
      <c r="Z1592" s="655">
        <v>0</v>
      </c>
      <c r="AA1592" s="655">
        <v>0</v>
      </c>
      <c r="AB1592" s="655">
        <v>0</v>
      </c>
      <c r="AC1592" s="655">
        <v>13004</v>
      </c>
      <c r="AD1592" s="655">
        <v>51601</v>
      </c>
      <c r="AE1592" s="655">
        <v>6466741</v>
      </c>
      <c r="AF1592" s="655">
        <v>148298</v>
      </c>
      <c r="AG1592" s="655">
        <v>386745</v>
      </c>
      <c r="AH1592" s="655">
        <v>0</v>
      </c>
      <c r="AI1592" s="655">
        <v>0</v>
      </c>
      <c r="AJ1592" s="655">
        <v>2166224.6099999994</v>
      </c>
      <c r="AK1592" s="655">
        <v>9168008.6099999994</v>
      </c>
      <c r="AL1592" s="655">
        <v>0</v>
      </c>
      <c r="AM1592" s="655">
        <v>9168008.6099999994</v>
      </c>
    </row>
    <row r="1593" spans="1:39" x14ac:dyDescent="0.2">
      <c r="A1593" s="648">
        <v>2017</v>
      </c>
      <c r="B1593" s="648">
        <v>12</v>
      </c>
      <c r="C1593" s="657" t="s">
        <v>334</v>
      </c>
      <c r="D1593" s="648">
        <v>5949</v>
      </c>
      <c r="E1593" s="648" t="s">
        <v>1278</v>
      </c>
      <c r="F1593" s="655">
        <v>7114985</v>
      </c>
      <c r="G1593" s="655">
        <v>0</v>
      </c>
      <c r="H1593" s="655">
        <v>184752</v>
      </c>
      <c r="I1593" s="655">
        <v>1027537</v>
      </c>
      <c r="J1593" s="655">
        <v>591177</v>
      </c>
      <c r="K1593" s="655">
        <v>62417</v>
      </c>
      <c r="L1593" s="655">
        <v>73287</v>
      </c>
      <c r="M1593" s="655">
        <v>0</v>
      </c>
      <c r="N1593" s="655">
        <v>366074</v>
      </c>
      <c r="O1593" s="655">
        <v>0</v>
      </c>
      <c r="P1593" s="655">
        <v>71124</v>
      </c>
      <c r="Q1593" s="655">
        <v>79822</v>
      </c>
      <c r="R1593" s="655">
        <v>0</v>
      </c>
      <c r="S1593" s="655">
        <v>36778</v>
      </c>
      <c r="T1593" s="655">
        <v>4398</v>
      </c>
      <c r="U1593" s="655">
        <v>310156</v>
      </c>
      <c r="V1593" s="655">
        <v>0</v>
      </c>
      <c r="W1593" s="655">
        <v>77022</v>
      </c>
      <c r="X1593" s="655">
        <v>0</v>
      </c>
      <c r="Y1593" s="655">
        <v>0</v>
      </c>
      <c r="Z1593" s="655">
        <v>0</v>
      </c>
      <c r="AA1593" s="655">
        <v>0</v>
      </c>
      <c r="AB1593" s="655">
        <v>0</v>
      </c>
      <c r="AC1593" s="655">
        <v>-1934</v>
      </c>
      <c r="AD1593" s="655">
        <v>62057</v>
      </c>
      <c r="AE1593" s="655">
        <v>9935538</v>
      </c>
      <c r="AF1593" s="655">
        <v>181253</v>
      </c>
      <c r="AG1593" s="655">
        <v>534051</v>
      </c>
      <c r="AH1593" s="655">
        <v>0</v>
      </c>
      <c r="AI1593" s="655">
        <v>0</v>
      </c>
      <c r="AJ1593" s="655">
        <v>2098568.16</v>
      </c>
      <c r="AK1593" s="655">
        <v>12749410.16</v>
      </c>
      <c r="AL1593" s="655">
        <v>0</v>
      </c>
      <c r="AM1593" s="655">
        <v>12749410.16</v>
      </c>
    </row>
    <row r="1594" spans="1:39" x14ac:dyDescent="0.2">
      <c r="A1594" s="648">
        <v>2017</v>
      </c>
      <c r="B1594" s="648">
        <v>13</v>
      </c>
      <c r="C1594" s="657" t="s">
        <v>335</v>
      </c>
      <c r="D1594" s="648">
        <v>5976</v>
      </c>
      <c r="E1594" s="648" t="s">
        <v>1279</v>
      </c>
      <c r="F1594" s="655">
        <v>7444535</v>
      </c>
      <c r="G1594" s="655">
        <v>0</v>
      </c>
      <c r="H1594" s="655">
        <v>88642</v>
      </c>
      <c r="I1594" s="655">
        <v>751835</v>
      </c>
      <c r="J1594" s="655">
        <v>676898</v>
      </c>
      <c r="K1594" s="655">
        <v>73169</v>
      </c>
      <c r="L1594" s="655">
        <v>86045</v>
      </c>
      <c r="M1594" s="655">
        <v>0</v>
      </c>
      <c r="N1594" s="655">
        <v>360312</v>
      </c>
      <c r="O1594" s="655">
        <v>0</v>
      </c>
      <c r="P1594" s="655">
        <v>61049</v>
      </c>
      <c r="Q1594" s="655">
        <v>67512</v>
      </c>
      <c r="R1594" s="655">
        <v>0</v>
      </c>
      <c r="S1594" s="655">
        <v>36996</v>
      </c>
      <c r="T1594" s="655">
        <v>3942</v>
      </c>
      <c r="U1594" s="655">
        <v>159588</v>
      </c>
      <c r="V1594" s="655">
        <v>0</v>
      </c>
      <c r="W1594" s="655">
        <v>477320</v>
      </c>
      <c r="X1594" s="655">
        <v>0</v>
      </c>
      <c r="Y1594" s="655">
        <v>0</v>
      </c>
      <c r="Z1594" s="655">
        <v>0</v>
      </c>
      <c r="AA1594" s="655">
        <v>0</v>
      </c>
      <c r="AB1594" s="655">
        <v>0</v>
      </c>
      <c r="AC1594" s="655">
        <v>-1982</v>
      </c>
      <c r="AD1594" s="655">
        <v>66881</v>
      </c>
      <c r="AE1594" s="655">
        <v>10218980</v>
      </c>
      <c r="AF1594" s="655">
        <v>49433</v>
      </c>
      <c r="AG1594" s="655">
        <v>554172</v>
      </c>
      <c r="AH1594" s="655">
        <v>0</v>
      </c>
      <c r="AI1594" s="655">
        <v>0</v>
      </c>
      <c r="AJ1594" s="655">
        <v>1573958.5600000005</v>
      </c>
      <c r="AK1594" s="655">
        <v>12396543.560000001</v>
      </c>
      <c r="AL1594" s="655">
        <v>0</v>
      </c>
      <c r="AM1594" s="655">
        <v>12396543.560000001</v>
      </c>
    </row>
    <row r="1595" spans="1:39" x14ac:dyDescent="0.2">
      <c r="A1595" s="648">
        <v>2017</v>
      </c>
      <c r="B1595" s="648">
        <v>12</v>
      </c>
      <c r="C1595" s="657" t="s">
        <v>336</v>
      </c>
      <c r="D1595" s="648">
        <v>5994</v>
      </c>
      <c r="E1595" s="648" t="s">
        <v>1280</v>
      </c>
      <c r="F1595" s="655">
        <v>5085590</v>
      </c>
      <c r="G1595" s="655">
        <v>35171</v>
      </c>
      <c r="H1595" s="655">
        <v>133797</v>
      </c>
      <c r="I1595" s="655">
        <v>354290</v>
      </c>
      <c r="J1595" s="655">
        <v>457519</v>
      </c>
      <c r="K1595" s="655">
        <v>46501</v>
      </c>
      <c r="L1595" s="655">
        <v>53375</v>
      </c>
      <c r="M1595" s="655">
        <v>0</v>
      </c>
      <c r="N1595" s="655">
        <v>243459</v>
      </c>
      <c r="O1595" s="655">
        <v>2236</v>
      </c>
      <c r="P1595" s="655">
        <v>42121</v>
      </c>
      <c r="Q1595" s="655">
        <v>47273</v>
      </c>
      <c r="R1595" s="655">
        <v>0</v>
      </c>
      <c r="S1595" s="655">
        <v>24675</v>
      </c>
      <c r="T1595" s="655">
        <v>2949</v>
      </c>
      <c r="U1595" s="655">
        <v>222261</v>
      </c>
      <c r="V1595" s="655">
        <v>0</v>
      </c>
      <c r="W1595" s="655">
        <v>29132</v>
      </c>
      <c r="X1595" s="655">
        <v>0</v>
      </c>
      <c r="Y1595" s="655">
        <v>0</v>
      </c>
      <c r="Z1595" s="655">
        <v>0</v>
      </c>
      <c r="AA1595" s="655">
        <v>0</v>
      </c>
      <c r="AB1595" s="655">
        <v>0</v>
      </c>
      <c r="AC1595" s="655">
        <v>-1425</v>
      </c>
      <c r="AD1595" s="655">
        <v>51282</v>
      </c>
      <c r="AE1595" s="655">
        <v>6727642</v>
      </c>
      <c r="AF1595" s="655">
        <v>118638</v>
      </c>
      <c r="AG1595" s="655">
        <v>402031</v>
      </c>
      <c r="AH1595" s="655">
        <v>0</v>
      </c>
      <c r="AI1595" s="655">
        <v>0</v>
      </c>
      <c r="AJ1595" s="655">
        <v>1416316.2400000002</v>
      </c>
      <c r="AK1595" s="655">
        <v>8664627.2400000002</v>
      </c>
      <c r="AL1595" s="655">
        <v>0</v>
      </c>
      <c r="AM1595" s="655">
        <v>8664627.2400000002</v>
      </c>
    </row>
    <row r="1596" spans="1:39" x14ac:dyDescent="0.2">
      <c r="A1596" s="648">
        <v>2017</v>
      </c>
      <c r="B1596" s="648">
        <v>13</v>
      </c>
      <c r="C1596" s="657" t="s">
        <v>337</v>
      </c>
      <c r="D1596" s="648">
        <v>6003</v>
      </c>
      <c r="E1596" s="648" t="s">
        <v>1281</v>
      </c>
      <c r="F1596" s="655">
        <v>2554040</v>
      </c>
      <c r="G1596" s="655">
        <v>0</v>
      </c>
      <c r="H1596" s="655">
        <v>210061</v>
      </c>
      <c r="I1596" s="655">
        <v>355704</v>
      </c>
      <c r="J1596" s="655">
        <v>247219</v>
      </c>
      <c r="K1596" s="655">
        <v>26043</v>
      </c>
      <c r="L1596" s="655">
        <v>27691</v>
      </c>
      <c r="M1596" s="655">
        <v>0</v>
      </c>
      <c r="N1596" s="655">
        <v>127680</v>
      </c>
      <c r="O1596" s="655">
        <v>0</v>
      </c>
      <c r="P1596" s="655">
        <v>20871</v>
      </c>
      <c r="Q1596" s="655">
        <v>23081</v>
      </c>
      <c r="R1596" s="655">
        <v>0</v>
      </c>
      <c r="S1596" s="655">
        <v>13110</v>
      </c>
      <c r="T1596" s="655">
        <v>1397</v>
      </c>
      <c r="U1596" s="655">
        <v>38794</v>
      </c>
      <c r="V1596" s="655">
        <v>0</v>
      </c>
      <c r="W1596" s="655">
        <v>165735</v>
      </c>
      <c r="X1596" s="655">
        <v>0</v>
      </c>
      <c r="Y1596" s="655">
        <v>0</v>
      </c>
      <c r="Z1596" s="655">
        <v>0</v>
      </c>
      <c r="AA1596" s="655">
        <v>0</v>
      </c>
      <c r="AB1596" s="655">
        <v>0</v>
      </c>
      <c r="AC1596" s="655">
        <v>-5748</v>
      </c>
      <c r="AD1596" s="655">
        <v>26193</v>
      </c>
      <c r="AE1596" s="655">
        <v>3779485</v>
      </c>
      <c r="AF1596" s="655">
        <v>98865</v>
      </c>
      <c r="AG1596" s="655">
        <v>209125</v>
      </c>
      <c r="AH1596" s="655">
        <v>0</v>
      </c>
      <c r="AI1596" s="655">
        <v>0</v>
      </c>
      <c r="AJ1596" s="655">
        <v>1298209.9800000004</v>
      </c>
      <c r="AK1596" s="655">
        <v>5385684.9800000004</v>
      </c>
      <c r="AL1596" s="655">
        <v>0</v>
      </c>
      <c r="AM1596" s="655">
        <v>5385684.9800000004</v>
      </c>
    </row>
    <row r="1597" spans="1:39" x14ac:dyDescent="0.2">
      <c r="A1597" s="648">
        <v>2017</v>
      </c>
      <c r="B1597" s="648">
        <v>15</v>
      </c>
      <c r="C1597" s="657" t="s">
        <v>338</v>
      </c>
      <c r="D1597" s="648">
        <v>6012</v>
      </c>
      <c r="E1597" s="648" t="s">
        <v>1282</v>
      </c>
      <c r="F1597" s="655">
        <v>3494830</v>
      </c>
      <c r="G1597" s="655">
        <v>51256</v>
      </c>
      <c r="H1597" s="655">
        <v>106250</v>
      </c>
      <c r="I1597" s="655">
        <v>370468</v>
      </c>
      <c r="J1597" s="655">
        <v>325497</v>
      </c>
      <c r="K1597" s="655">
        <v>33924</v>
      </c>
      <c r="L1597" s="655">
        <v>35186</v>
      </c>
      <c r="M1597" s="655">
        <v>0</v>
      </c>
      <c r="N1597" s="655">
        <v>168166</v>
      </c>
      <c r="O1597" s="655">
        <v>5991</v>
      </c>
      <c r="P1597" s="655">
        <v>28567</v>
      </c>
      <c r="Q1597" s="655">
        <v>31381</v>
      </c>
      <c r="R1597" s="655">
        <v>0</v>
      </c>
      <c r="S1597" s="655">
        <v>17018</v>
      </c>
      <c r="T1597" s="655">
        <v>1840</v>
      </c>
      <c r="U1597" s="655">
        <v>134125</v>
      </c>
      <c r="V1597" s="655">
        <v>0</v>
      </c>
      <c r="W1597" s="655">
        <v>78500</v>
      </c>
      <c r="X1597" s="655">
        <v>0</v>
      </c>
      <c r="Y1597" s="655">
        <v>0</v>
      </c>
      <c r="Z1597" s="655">
        <v>0</v>
      </c>
      <c r="AA1597" s="655">
        <v>0</v>
      </c>
      <c r="AB1597" s="655">
        <v>0</v>
      </c>
      <c r="AC1597" s="655">
        <v>-2711</v>
      </c>
      <c r="AD1597" s="655">
        <v>38115</v>
      </c>
      <c r="AE1597" s="655">
        <v>4842173</v>
      </c>
      <c r="AF1597" s="655">
        <v>102161</v>
      </c>
      <c r="AG1597" s="655">
        <v>266666</v>
      </c>
      <c r="AH1597" s="655">
        <v>0</v>
      </c>
      <c r="AI1597" s="655">
        <v>0</v>
      </c>
      <c r="AJ1597" s="655">
        <v>1593945</v>
      </c>
      <c r="AK1597" s="655">
        <v>6804945</v>
      </c>
      <c r="AL1597" s="655">
        <v>0</v>
      </c>
      <c r="AM1597" s="655">
        <v>6804945</v>
      </c>
    </row>
    <row r="1598" spans="1:39" x14ac:dyDescent="0.2">
      <c r="A1598" s="648">
        <v>2017</v>
      </c>
      <c r="B1598" s="648">
        <v>12</v>
      </c>
      <c r="C1598" s="657" t="s">
        <v>339</v>
      </c>
      <c r="D1598" s="648">
        <v>6030</v>
      </c>
      <c r="E1598" s="648" t="s">
        <v>1283</v>
      </c>
      <c r="F1598" s="655">
        <v>7875586</v>
      </c>
      <c r="G1598" s="655">
        <v>0</v>
      </c>
      <c r="H1598" s="655">
        <v>316618</v>
      </c>
      <c r="I1598" s="655">
        <v>1036039</v>
      </c>
      <c r="J1598" s="655">
        <v>685239</v>
      </c>
      <c r="K1598" s="655">
        <v>88363</v>
      </c>
      <c r="L1598" s="655">
        <v>92844</v>
      </c>
      <c r="M1598" s="655">
        <v>0</v>
      </c>
      <c r="N1598" s="655">
        <v>400651</v>
      </c>
      <c r="O1598" s="655">
        <v>0</v>
      </c>
      <c r="P1598" s="655">
        <v>104029</v>
      </c>
      <c r="Q1598" s="655">
        <v>116752</v>
      </c>
      <c r="R1598" s="655">
        <v>0</v>
      </c>
      <c r="S1598" s="655">
        <v>40252</v>
      </c>
      <c r="T1598" s="655">
        <v>4813</v>
      </c>
      <c r="U1598" s="655">
        <v>385116</v>
      </c>
      <c r="V1598" s="655">
        <v>0</v>
      </c>
      <c r="W1598" s="655">
        <v>396778</v>
      </c>
      <c r="X1598" s="655">
        <v>0</v>
      </c>
      <c r="Y1598" s="655">
        <v>0</v>
      </c>
      <c r="Z1598" s="655">
        <v>0</v>
      </c>
      <c r="AA1598" s="655">
        <v>0</v>
      </c>
      <c r="AB1598" s="655">
        <v>0</v>
      </c>
      <c r="AC1598" s="655">
        <v>0</v>
      </c>
      <c r="AD1598" s="655">
        <v>56400</v>
      </c>
      <c r="AE1598" s="655">
        <v>11486680</v>
      </c>
      <c r="AF1598" s="655">
        <v>392165</v>
      </c>
      <c r="AG1598" s="655">
        <v>602876</v>
      </c>
      <c r="AH1598" s="655">
        <v>0</v>
      </c>
      <c r="AI1598" s="655">
        <v>0</v>
      </c>
      <c r="AJ1598" s="655">
        <v>1462654.8200000003</v>
      </c>
      <c r="AK1598" s="655">
        <v>13944375.82</v>
      </c>
      <c r="AL1598" s="655">
        <v>0</v>
      </c>
      <c r="AM1598" s="655">
        <v>13944375.82</v>
      </c>
    </row>
    <row r="1599" spans="1:39" x14ac:dyDescent="0.2">
      <c r="A1599" s="648">
        <v>2017</v>
      </c>
      <c r="B1599" s="648">
        <v>12</v>
      </c>
      <c r="C1599" s="657" t="s">
        <v>340</v>
      </c>
      <c r="D1599" s="648">
        <v>6039</v>
      </c>
      <c r="E1599" s="648" t="s">
        <v>1284</v>
      </c>
      <c r="F1599" s="655">
        <v>96326147</v>
      </c>
      <c r="G1599" s="655">
        <v>0</v>
      </c>
      <c r="H1599" s="655">
        <v>3694321</v>
      </c>
      <c r="I1599" s="655">
        <v>16143402</v>
      </c>
      <c r="J1599" s="655">
        <v>8057724</v>
      </c>
      <c r="K1599" s="655">
        <v>961946</v>
      </c>
      <c r="L1599" s="655">
        <v>1207913</v>
      </c>
      <c r="M1599" s="655">
        <v>4672644</v>
      </c>
      <c r="N1599" s="655">
        <v>5056437</v>
      </c>
      <c r="O1599" s="655">
        <v>0</v>
      </c>
      <c r="P1599" s="655">
        <v>859391</v>
      </c>
      <c r="Q1599" s="655">
        <v>964497</v>
      </c>
      <c r="R1599" s="655">
        <v>0</v>
      </c>
      <c r="S1599" s="655">
        <v>507999</v>
      </c>
      <c r="T1599" s="655">
        <v>60748</v>
      </c>
      <c r="U1599" s="655">
        <v>4710350</v>
      </c>
      <c r="V1599" s="655">
        <v>0</v>
      </c>
      <c r="W1599" s="655">
        <v>1532639</v>
      </c>
      <c r="X1599" s="655">
        <v>0</v>
      </c>
      <c r="Y1599" s="655">
        <v>0</v>
      </c>
      <c r="Z1599" s="655">
        <v>0</v>
      </c>
      <c r="AA1599" s="655">
        <v>0</v>
      </c>
      <c r="AB1599" s="655">
        <v>0</v>
      </c>
      <c r="AC1599" s="655">
        <v>19467</v>
      </c>
      <c r="AD1599" s="655">
        <v>792732</v>
      </c>
      <c r="AE1599" s="655">
        <v>143982893</v>
      </c>
      <c r="AF1599" s="655">
        <v>2577081</v>
      </c>
      <c r="AG1599" s="655">
        <v>4934789</v>
      </c>
      <c r="AH1599" s="655">
        <v>0</v>
      </c>
      <c r="AI1599" s="655">
        <v>0</v>
      </c>
      <c r="AJ1599" s="655">
        <v>16527437.75999999</v>
      </c>
      <c r="AK1599" s="655">
        <v>168022200.75999999</v>
      </c>
      <c r="AL1599" s="655">
        <v>0</v>
      </c>
      <c r="AM1599" s="655">
        <v>168022200.75999999</v>
      </c>
    </row>
    <row r="1600" spans="1:39" x14ac:dyDescent="0.2">
      <c r="A1600" s="648">
        <v>2017</v>
      </c>
      <c r="B1600" s="648">
        <v>5</v>
      </c>
      <c r="C1600" s="657" t="s">
        <v>341</v>
      </c>
      <c r="D1600" s="648">
        <v>6035</v>
      </c>
      <c r="E1600" s="648" t="s">
        <v>651</v>
      </c>
      <c r="F1600" s="655">
        <v>3187395</v>
      </c>
      <c r="G1600" s="655">
        <v>0</v>
      </c>
      <c r="H1600" s="655">
        <v>136870</v>
      </c>
      <c r="I1600" s="655">
        <v>490628</v>
      </c>
      <c r="J1600" s="655">
        <v>332139</v>
      </c>
      <c r="K1600" s="655">
        <v>38055</v>
      </c>
      <c r="L1600" s="655">
        <v>34475</v>
      </c>
      <c r="M1600" s="655">
        <v>0</v>
      </c>
      <c r="N1600" s="655">
        <v>166858</v>
      </c>
      <c r="O1600" s="655">
        <v>0</v>
      </c>
      <c r="P1600" s="655">
        <v>26217</v>
      </c>
      <c r="Q1600" s="655">
        <v>29434</v>
      </c>
      <c r="R1600" s="655">
        <v>488</v>
      </c>
      <c r="S1600" s="655">
        <v>17755</v>
      </c>
      <c r="T1600" s="655">
        <v>2116</v>
      </c>
      <c r="U1600" s="655">
        <v>150994</v>
      </c>
      <c r="V1600" s="655">
        <v>0</v>
      </c>
      <c r="W1600" s="655">
        <v>45942</v>
      </c>
      <c r="X1600" s="655">
        <v>0</v>
      </c>
      <c r="Y1600" s="655">
        <v>0</v>
      </c>
      <c r="Z1600" s="655">
        <v>0</v>
      </c>
      <c r="AA1600" s="655">
        <v>0</v>
      </c>
      <c r="AB1600" s="655">
        <v>0</v>
      </c>
      <c r="AC1600" s="655">
        <v>0</v>
      </c>
      <c r="AD1600" s="655">
        <v>34028</v>
      </c>
      <c r="AE1600" s="655">
        <v>4625338</v>
      </c>
      <c r="AF1600" s="655">
        <v>85683</v>
      </c>
      <c r="AG1600" s="655">
        <v>0</v>
      </c>
      <c r="AH1600" s="655">
        <v>0</v>
      </c>
      <c r="AI1600" s="655">
        <v>0</v>
      </c>
      <c r="AJ1600" s="655">
        <v>2514879.4299999997</v>
      </c>
      <c r="AK1600" s="655">
        <v>7225900.4299999997</v>
      </c>
      <c r="AL1600" s="655">
        <v>0</v>
      </c>
      <c r="AM1600" s="655">
        <v>7225900.4299999997</v>
      </c>
    </row>
    <row r="1601" spans="1:39" x14ac:dyDescent="0.2">
      <c r="A1601" s="648">
        <v>2017</v>
      </c>
      <c r="B1601" s="648">
        <v>5</v>
      </c>
      <c r="C1601" s="657" t="s">
        <v>1871</v>
      </c>
      <c r="D1601" s="648">
        <v>6091</v>
      </c>
      <c r="E1601" s="648" t="s">
        <v>1639</v>
      </c>
      <c r="F1601" s="655">
        <v>6100042</v>
      </c>
      <c r="G1601" s="655">
        <v>0</v>
      </c>
      <c r="H1601" s="655">
        <v>727507</v>
      </c>
      <c r="I1601" s="655">
        <v>754871</v>
      </c>
      <c r="J1601" s="655">
        <v>581908</v>
      </c>
      <c r="K1601" s="655">
        <v>59306</v>
      </c>
      <c r="L1601" s="655">
        <v>62575</v>
      </c>
      <c r="M1601" s="655">
        <v>0</v>
      </c>
      <c r="N1601" s="655">
        <v>310137</v>
      </c>
      <c r="O1601" s="655">
        <v>0</v>
      </c>
      <c r="P1601" s="655">
        <v>50589</v>
      </c>
      <c r="Q1601" s="655">
        <v>56796</v>
      </c>
      <c r="R1601" s="655">
        <v>905</v>
      </c>
      <c r="S1601" s="655">
        <v>33002</v>
      </c>
      <c r="T1601" s="655">
        <v>3932</v>
      </c>
      <c r="U1601" s="655">
        <v>298326</v>
      </c>
      <c r="V1601" s="655">
        <v>0</v>
      </c>
      <c r="W1601" s="655">
        <v>64460</v>
      </c>
      <c r="X1601" s="655">
        <v>0</v>
      </c>
      <c r="Y1601" s="655">
        <v>0</v>
      </c>
      <c r="Z1601" s="655">
        <v>0</v>
      </c>
      <c r="AA1601" s="655">
        <v>0</v>
      </c>
      <c r="AB1601" s="655">
        <v>0</v>
      </c>
      <c r="AC1601" s="655">
        <v>19437</v>
      </c>
      <c r="AD1601" s="655">
        <v>64306</v>
      </c>
      <c r="AE1601" s="655">
        <v>9059487</v>
      </c>
      <c r="AF1601" s="655">
        <v>164775</v>
      </c>
      <c r="AG1601" s="655">
        <v>505388</v>
      </c>
      <c r="AH1601" s="655">
        <v>0</v>
      </c>
      <c r="AI1601" s="655">
        <v>0</v>
      </c>
      <c r="AJ1601" s="655">
        <v>6344408.75</v>
      </c>
      <c r="AK1601" s="655">
        <v>16074058.75</v>
      </c>
      <c r="AL1601" s="655">
        <v>0</v>
      </c>
      <c r="AM1601" s="655">
        <v>16074058.75</v>
      </c>
    </row>
    <row r="1602" spans="1:39" x14ac:dyDescent="0.2">
      <c r="A1602" s="648">
        <v>2017</v>
      </c>
      <c r="B1602" s="648">
        <v>10</v>
      </c>
      <c r="C1602" s="657" t="s">
        <v>342</v>
      </c>
      <c r="D1602" s="648">
        <v>6093</v>
      </c>
      <c r="E1602" s="648" t="s">
        <v>1285</v>
      </c>
      <c r="F1602" s="655">
        <v>8548527</v>
      </c>
      <c r="G1602" s="655">
        <v>0</v>
      </c>
      <c r="H1602" s="655">
        <v>79494</v>
      </c>
      <c r="I1602" s="655">
        <v>663121</v>
      </c>
      <c r="J1602" s="655">
        <v>704038</v>
      </c>
      <c r="K1602" s="655">
        <v>72684</v>
      </c>
      <c r="L1602" s="655">
        <v>66017</v>
      </c>
      <c r="M1602" s="655">
        <v>414677</v>
      </c>
      <c r="N1602" s="655">
        <v>403602</v>
      </c>
      <c r="O1602" s="655">
        <v>0</v>
      </c>
      <c r="P1602" s="655">
        <v>71067</v>
      </c>
      <c r="Q1602" s="655">
        <v>78078</v>
      </c>
      <c r="R1602" s="655">
        <v>0</v>
      </c>
      <c r="S1602" s="655">
        <v>37708</v>
      </c>
      <c r="T1602" s="655">
        <v>4388</v>
      </c>
      <c r="U1602" s="655">
        <v>209012</v>
      </c>
      <c r="V1602" s="655">
        <v>0</v>
      </c>
      <c r="W1602" s="655">
        <v>208276</v>
      </c>
      <c r="X1602" s="655">
        <v>0</v>
      </c>
      <c r="Y1602" s="655">
        <v>0</v>
      </c>
      <c r="Z1602" s="655">
        <v>0</v>
      </c>
      <c r="AA1602" s="655">
        <v>0</v>
      </c>
      <c r="AB1602" s="655">
        <v>0</v>
      </c>
      <c r="AC1602" s="655">
        <v>0</v>
      </c>
      <c r="AD1602" s="655">
        <v>57191</v>
      </c>
      <c r="AE1602" s="655">
        <v>11503498</v>
      </c>
      <c r="AF1602" s="655">
        <v>201026</v>
      </c>
      <c r="AG1602" s="655">
        <v>647209</v>
      </c>
      <c r="AH1602" s="655">
        <v>0</v>
      </c>
      <c r="AI1602" s="655">
        <v>0</v>
      </c>
      <c r="AJ1602" s="655">
        <v>4684417.2699999996</v>
      </c>
      <c r="AK1602" s="655">
        <v>17036150.27</v>
      </c>
      <c r="AL1602" s="655">
        <v>0</v>
      </c>
      <c r="AM1602" s="655">
        <v>17036150.27</v>
      </c>
    </row>
    <row r="1603" spans="1:39" x14ac:dyDescent="0.2">
      <c r="A1603" s="648">
        <v>2017</v>
      </c>
      <c r="B1603" s="648">
        <v>11</v>
      </c>
      <c r="C1603" s="657" t="s">
        <v>343</v>
      </c>
      <c r="D1603" s="648">
        <v>6094</v>
      </c>
      <c r="E1603" s="648" t="s">
        <v>1286</v>
      </c>
      <c r="F1603" s="655">
        <v>3937463</v>
      </c>
      <c r="G1603" s="655">
        <v>0</v>
      </c>
      <c r="H1603" s="655">
        <v>85413</v>
      </c>
      <c r="I1603" s="655">
        <v>470993</v>
      </c>
      <c r="J1603" s="655">
        <v>346313</v>
      </c>
      <c r="K1603" s="655">
        <v>36519</v>
      </c>
      <c r="L1603" s="655">
        <v>35061</v>
      </c>
      <c r="M1603" s="655">
        <v>0</v>
      </c>
      <c r="N1603" s="655">
        <v>188404</v>
      </c>
      <c r="O1603" s="655">
        <v>0</v>
      </c>
      <c r="P1603" s="655">
        <v>32119</v>
      </c>
      <c r="Q1603" s="655">
        <v>35259</v>
      </c>
      <c r="R1603" s="655">
        <v>0</v>
      </c>
      <c r="S1603" s="655">
        <v>15524</v>
      </c>
      <c r="T1603" s="655">
        <v>1973</v>
      </c>
      <c r="U1603" s="655">
        <v>158701</v>
      </c>
      <c r="V1603" s="655">
        <v>0</v>
      </c>
      <c r="W1603" s="655">
        <v>135366</v>
      </c>
      <c r="X1603" s="655">
        <v>0</v>
      </c>
      <c r="Y1603" s="655">
        <v>0</v>
      </c>
      <c r="Z1603" s="655">
        <v>0</v>
      </c>
      <c r="AA1603" s="655">
        <v>0</v>
      </c>
      <c r="AB1603" s="655">
        <v>0</v>
      </c>
      <c r="AC1603" s="655">
        <v>-6446</v>
      </c>
      <c r="AD1603" s="655">
        <v>31105</v>
      </c>
      <c r="AE1603" s="655">
        <v>5441557</v>
      </c>
      <c r="AF1603" s="655">
        <v>46137</v>
      </c>
      <c r="AG1603" s="655">
        <v>260109</v>
      </c>
      <c r="AH1603" s="655">
        <v>0</v>
      </c>
      <c r="AI1603" s="655">
        <v>0</v>
      </c>
      <c r="AJ1603" s="655">
        <v>1500641.7599999998</v>
      </c>
      <c r="AK1603" s="655">
        <v>7248444.7599999998</v>
      </c>
      <c r="AL1603" s="655">
        <v>0</v>
      </c>
      <c r="AM1603" s="655">
        <v>7248444.7599999998</v>
      </c>
    </row>
    <row r="1604" spans="1:39" x14ac:dyDescent="0.2">
      <c r="A1604" s="648">
        <v>2017</v>
      </c>
      <c r="B1604" s="648">
        <v>5</v>
      </c>
      <c r="C1604" s="657" t="s">
        <v>344</v>
      </c>
      <c r="D1604" s="648">
        <v>6095</v>
      </c>
      <c r="E1604" s="648" t="s">
        <v>1287</v>
      </c>
      <c r="F1604" s="655">
        <v>4333099</v>
      </c>
      <c r="G1604" s="655">
        <v>0</v>
      </c>
      <c r="H1604" s="655">
        <v>98278</v>
      </c>
      <c r="I1604" s="655">
        <v>442291</v>
      </c>
      <c r="J1604" s="655">
        <v>412338</v>
      </c>
      <c r="K1604" s="655">
        <v>48795</v>
      </c>
      <c r="L1604" s="655">
        <v>46333</v>
      </c>
      <c r="M1604" s="655">
        <v>0</v>
      </c>
      <c r="N1604" s="655">
        <v>215111</v>
      </c>
      <c r="O1604" s="655">
        <v>0</v>
      </c>
      <c r="P1604" s="655">
        <v>35391</v>
      </c>
      <c r="Q1604" s="655">
        <v>39733</v>
      </c>
      <c r="R1604" s="655">
        <v>629</v>
      </c>
      <c r="S1604" s="655">
        <v>22890</v>
      </c>
      <c r="T1604" s="655">
        <v>2728</v>
      </c>
      <c r="U1604" s="655">
        <v>74130</v>
      </c>
      <c r="V1604" s="655">
        <v>0</v>
      </c>
      <c r="W1604" s="655">
        <v>89599</v>
      </c>
      <c r="X1604" s="655">
        <v>0</v>
      </c>
      <c r="Y1604" s="655">
        <v>0</v>
      </c>
      <c r="Z1604" s="655">
        <v>0</v>
      </c>
      <c r="AA1604" s="655">
        <v>0</v>
      </c>
      <c r="AB1604" s="655">
        <v>0</v>
      </c>
      <c r="AC1604" s="655">
        <v>-11714</v>
      </c>
      <c r="AD1604" s="655">
        <v>40995</v>
      </c>
      <c r="AE1604" s="655">
        <v>5808636</v>
      </c>
      <c r="AF1604" s="655">
        <v>98865</v>
      </c>
      <c r="AG1604" s="655">
        <v>344525</v>
      </c>
      <c r="AH1604" s="655">
        <v>0</v>
      </c>
      <c r="AI1604" s="655">
        <v>0</v>
      </c>
      <c r="AJ1604" s="655">
        <v>274359.80999999959</v>
      </c>
      <c r="AK1604" s="655">
        <v>6526385.8099999996</v>
      </c>
      <c r="AL1604" s="655">
        <v>0</v>
      </c>
      <c r="AM1604" s="655">
        <v>6526385.8099999996</v>
      </c>
    </row>
    <row r="1605" spans="1:39" x14ac:dyDescent="0.2">
      <c r="A1605" s="648">
        <v>2017</v>
      </c>
      <c r="B1605" s="648">
        <v>5</v>
      </c>
      <c r="C1605" s="657" t="s">
        <v>1469</v>
      </c>
      <c r="D1605" s="648">
        <v>6096</v>
      </c>
      <c r="E1605" s="648" t="s">
        <v>980</v>
      </c>
      <c r="F1605" s="655">
        <v>3599232</v>
      </c>
      <c r="G1605" s="655">
        <v>0</v>
      </c>
      <c r="H1605" s="655">
        <v>223554</v>
      </c>
      <c r="I1605" s="655">
        <v>452794</v>
      </c>
      <c r="J1605" s="655">
        <v>337289</v>
      </c>
      <c r="K1605" s="655">
        <v>39243</v>
      </c>
      <c r="L1605" s="655">
        <v>40829</v>
      </c>
      <c r="M1605" s="655">
        <v>0</v>
      </c>
      <c r="N1605" s="655">
        <v>180707</v>
      </c>
      <c r="O1605" s="655">
        <v>0</v>
      </c>
      <c r="P1605" s="655">
        <v>29420</v>
      </c>
      <c r="Q1605" s="655">
        <v>33029</v>
      </c>
      <c r="R1605" s="655">
        <v>527</v>
      </c>
      <c r="S1605" s="655">
        <v>19229</v>
      </c>
      <c r="T1605" s="655">
        <v>2291</v>
      </c>
      <c r="U1605" s="655">
        <v>123255</v>
      </c>
      <c r="V1605" s="655">
        <v>0</v>
      </c>
      <c r="W1605" s="655">
        <v>101802</v>
      </c>
      <c r="X1605" s="655">
        <v>0</v>
      </c>
      <c r="Y1605" s="655">
        <v>0</v>
      </c>
      <c r="Z1605" s="655">
        <v>0</v>
      </c>
      <c r="AA1605" s="655">
        <v>0</v>
      </c>
      <c r="AB1605" s="655">
        <v>0</v>
      </c>
      <c r="AC1605" s="655">
        <v>0</v>
      </c>
      <c r="AD1605" s="655">
        <v>37837</v>
      </c>
      <c r="AE1605" s="655">
        <v>5145364</v>
      </c>
      <c r="AF1605" s="655">
        <v>102161</v>
      </c>
      <c r="AG1605" s="655">
        <v>288082</v>
      </c>
      <c r="AH1605" s="655">
        <v>0</v>
      </c>
      <c r="AI1605" s="655">
        <v>0</v>
      </c>
      <c r="AJ1605" s="655">
        <v>892571.51999999955</v>
      </c>
      <c r="AK1605" s="655">
        <v>6428178.5199999996</v>
      </c>
      <c r="AL1605" s="655">
        <v>0</v>
      </c>
      <c r="AM1605" s="655">
        <v>6428178.5199999996</v>
      </c>
    </row>
    <row r="1606" spans="1:39" x14ac:dyDescent="0.2">
      <c r="A1606" s="648">
        <v>2017</v>
      </c>
      <c r="B1606" s="648">
        <v>13</v>
      </c>
      <c r="C1606" s="657" t="s">
        <v>345</v>
      </c>
      <c r="D1606" s="648">
        <v>6097</v>
      </c>
      <c r="E1606" s="648" t="s">
        <v>1288</v>
      </c>
      <c r="F1606" s="655">
        <v>1232517</v>
      </c>
      <c r="G1606" s="655">
        <v>63065</v>
      </c>
      <c r="H1606" s="655">
        <v>164735</v>
      </c>
      <c r="I1606" s="655">
        <v>214669</v>
      </c>
      <c r="J1606" s="655">
        <v>129545</v>
      </c>
      <c r="K1606" s="655">
        <v>12977</v>
      </c>
      <c r="L1606" s="655">
        <v>10545</v>
      </c>
      <c r="M1606" s="655">
        <v>0</v>
      </c>
      <c r="N1606" s="655">
        <v>63618</v>
      </c>
      <c r="O1606" s="655">
        <v>15630</v>
      </c>
      <c r="P1606" s="655">
        <v>10139</v>
      </c>
      <c r="Q1606" s="655">
        <v>11212</v>
      </c>
      <c r="R1606" s="655">
        <v>0</v>
      </c>
      <c r="S1606" s="655">
        <v>6792</v>
      </c>
      <c r="T1606" s="655">
        <v>721</v>
      </c>
      <c r="U1606" s="655">
        <v>19574</v>
      </c>
      <c r="V1606" s="655">
        <v>0</v>
      </c>
      <c r="W1606" s="655">
        <v>85379</v>
      </c>
      <c r="X1606" s="655">
        <v>0</v>
      </c>
      <c r="Y1606" s="655">
        <v>0</v>
      </c>
      <c r="Z1606" s="655">
        <v>0</v>
      </c>
      <c r="AA1606" s="655">
        <v>0</v>
      </c>
      <c r="AB1606" s="655">
        <v>0</v>
      </c>
      <c r="AC1606" s="655">
        <v>6446</v>
      </c>
      <c r="AD1606" s="655">
        <v>18241</v>
      </c>
      <c r="AE1606" s="655">
        <v>2029323</v>
      </c>
      <c r="AF1606" s="655">
        <v>29660</v>
      </c>
      <c r="AG1606" s="655">
        <v>111809</v>
      </c>
      <c r="AH1606" s="655">
        <v>0</v>
      </c>
      <c r="AI1606" s="655">
        <v>0</v>
      </c>
      <c r="AJ1606" s="655">
        <v>546271.06999999983</v>
      </c>
      <c r="AK1606" s="655">
        <v>2717063.07</v>
      </c>
      <c r="AL1606" s="655">
        <v>0</v>
      </c>
      <c r="AM1606" s="655">
        <v>2717063.07</v>
      </c>
    </row>
    <row r="1607" spans="1:39" x14ac:dyDescent="0.2">
      <c r="A1607" s="648">
        <v>2017</v>
      </c>
      <c r="B1607" s="648">
        <v>7</v>
      </c>
      <c r="C1607" s="657" t="s">
        <v>346</v>
      </c>
      <c r="D1607" s="648">
        <v>6098</v>
      </c>
      <c r="E1607" s="648" t="s">
        <v>1289</v>
      </c>
      <c r="F1607" s="655">
        <v>10208045</v>
      </c>
      <c r="G1607" s="655">
        <v>0</v>
      </c>
      <c r="H1607" s="655">
        <v>357873</v>
      </c>
      <c r="I1607" s="655">
        <v>1625711</v>
      </c>
      <c r="J1607" s="655">
        <v>906140</v>
      </c>
      <c r="K1607" s="655">
        <v>94221</v>
      </c>
      <c r="L1607" s="655">
        <v>118371</v>
      </c>
      <c r="M1607" s="655">
        <v>0</v>
      </c>
      <c r="N1607" s="655">
        <v>524580</v>
      </c>
      <c r="O1607" s="655">
        <v>0</v>
      </c>
      <c r="P1607" s="655">
        <v>84057</v>
      </c>
      <c r="Q1607" s="655">
        <v>93868</v>
      </c>
      <c r="R1607" s="655">
        <v>0</v>
      </c>
      <c r="S1607" s="655">
        <v>66517</v>
      </c>
      <c r="T1607" s="655">
        <v>7643</v>
      </c>
      <c r="U1607" s="655">
        <v>221498</v>
      </c>
      <c r="V1607" s="655">
        <v>0</v>
      </c>
      <c r="W1607" s="655">
        <v>248325</v>
      </c>
      <c r="X1607" s="655">
        <v>0</v>
      </c>
      <c r="Y1607" s="655">
        <v>0</v>
      </c>
      <c r="Z1607" s="655">
        <v>0</v>
      </c>
      <c r="AA1607" s="655">
        <v>0</v>
      </c>
      <c r="AB1607" s="655">
        <v>0</v>
      </c>
      <c r="AC1607" s="655">
        <v>0</v>
      </c>
      <c r="AD1607" s="655">
        <v>88191</v>
      </c>
      <c r="AE1607" s="655">
        <v>14468658</v>
      </c>
      <c r="AF1607" s="655">
        <v>299891</v>
      </c>
      <c r="AG1607" s="655">
        <v>653315</v>
      </c>
      <c r="AH1607" s="655">
        <v>0</v>
      </c>
      <c r="AI1607" s="655">
        <v>0</v>
      </c>
      <c r="AJ1607" s="655">
        <v>2282801.2899999991</v>
      </c>
      <c r="AK1607" s="655">
        <v>17704665.289999999</v>
      </c>
      <c r="AL1607" s="655">
        <v>0</v>
      </c>
      <c r="AM1607" s="655">
        <v>17704665.289999999</v>
      </c>
    </row>
    <row r="1608" spans="1:39" x14ac:dyDescent="0.2">
      <c r="A1608" s="648">
        <v>2017</v>
      </c>
      <c r="B1608" s="648">
        <v>1</v>
      </c>
      <c r="C1608" s="657" t="s">
        <v>347</v>
      </c>
      <c r="D1608" s="648">
        <v>6100</v>
      </c>
      <c r="E1608" s="648" t="s">
        <v>1290</v>
      </c>
      <c r="F1608" s="655">
        <v>3598686</v>
      </c>
      <c r="G1608" s="655">
        <v>45218</v>
      </c>
      <c r="H1608" s="655">
        <v>179908</v>
      </c>
      <c r="I1608" s="655">
        <v>595365</v>
      </c>
      <c r="J1608" s="655">
        <v>322096</v>
      </c>
      <c r="K1608" s="655">
        <v>37103</v>
      </c>
      <c r="L1608" s="655">
        <v>27808</v>
      </c>
      <c r="M1608" s="655">
        <v>0</v>
      </c>
      <c r="N1608" s="655">
        <v>193406</v>
      </c>
      <c r="O1608" s="655">
        <v>129</v>
      </c>
      <c r="P1608" s="655">
        <v>38482</v>
      </c>
      <c r="Q1608" s="655">
        <v>42934</v>
      </c>
      <c r="R1608" s="655">
        <v>0</v>
      </c>
      <c r="S1608" s="655">
        <v>19045</v>
      </c>
      <c r="T1608" s="655">
        <v>2043</v>
      </c>
      <c r="U1608" s="655">
        <v>128468</v>
      </c>
      <c r="V1608" s="655">
        <v>0</v>
      </c>
      <c r="W1608" s="655">
        <v>65910</v>
      </c>
      <c r="X1608" s="655">
        <v>0</v>
      </c>
      <c r="Y1608" s="655">
        <v>0</v>
      </c>
      <c r="Z1608" s="655">
        <v>0</v>
      </c>
      <c r="AA1608" s="655">
        <v>0</v>
      </c>
      <c r="AB1608" s="655">
        <v>0</v>
      </c>
      <c r="AC1608" s="655">
        <v>-6059</v>
      </c>
      <c r="AD1608" s="655">
        <v>43915</v>
      </c>
      <c r="AE1608" s="655">
        <v>5246627</v>
      </c>
      <c r="AF1608" s="655">
        <v>201026</v>
      </c>
      <c r="AG1608" s="655">
        <v>303172</v>
      </c>
      <c r="AH1608" s="655">
        <v>0</v>
      </c>
      <c r="AI1608" s="655">
        <v>0</v>
      </c>
      <c r="AJ1608" s="655">
        <v>1160046.8499999996</v>
      </c>
      <c r="AK1608" s="655">
        <v>6910871.8499999996</v>
      </c>
      <c r="AL1608" s="655">
        <v>0</v>
      </c>
      <c r="AM1608" s="655">
        <v>6910871.8499999996</v>
      </c>
    </row>
    <row r="1609" spans="1:39" x14ac:dyDescent="0.2">
      <c r="A1609" s="648">
        <v>2017</v>
      </c>
      <c r="B1609" s="648">
        <v>11</v>
      </c>
      <c r="C1609" s="657" t="s">
        <v>348</v>
      </c>
      <c r="D1609" s="648">
        <v>6101</v>
      </c>
      <c r="E1609" s="648" t="s">
        <v>1291</v>
      </c>
      <c r="F1609" s="655">
        <v>44828687</v>
      </c>
      <c r="G1609" s="655">
        <v>0</v>
      </c>
      <c r="H1609" s="655">
        <v>768834</v>
      </c>
      <c r="I1609" s="655">
        <v>4489460</v>
      </c>
      <c r="J1609" s="655">
        <v>3632749</v>
      </c>
      <c r="K1609" s="655">
        <v>416048</v>
      </c>
      <c r="L1609" s="655">
        <v>411831</v>
      </c>
      <c r="M1609" s="655">
        <v>2174576</v>
      </c>
      <c r="N1609" s="655">
        <v>2107713</v>
      </c>
      <c r="O1609" s="655">
        <v>0</v>
      </c>
      <c r="P1609" s="655">
        <v>377568</v>
      </c>
      <c r="Q1609" s="655">
        <v>414483</v>
      </c>
      <c r="R1609" s="655">
        <v>0</v>
      </c>
      <c r="S1609" s="655">
        <v>173672</v>
      </c>
      <c r="T1609" s="655">
        <v>22074</v>
      </c>
      <c r="U1609" s="655">
        <v>1616051</v>
      </c>
      <c r="V1609" s="655">
        <v>0</v>
      </c>
      <c r="W1609" s="655">
        <v>581416</v>
      </c>
      <c r="X1609" s="655">
        <v>0</v>
      </c>
      <c r="Y1609" s="655">
        <v>0</v>
      </c>
      <c r="Z1609" s="655">
        <v>0</v>
      </c>
      <c r="AA1609" s="655">
        <v>0</v>
      </c>
      <c r="AB1609" s="655">
        <v>0</v>
      </c>
      <c r="AC1609" s="655">
        <v>0</v>
      </c>
      <c r="AD1609" s="655">
        <v>232049</v>
      </c>
      <c r="AE1609" s="655">
        <v>61783113</v>
      </c>
      <c r="AF1609" s="655">
        <v>919445</v>
      </c>
      <c r="AG1609" s="655">
        <v>2817483</v>
      </c>
      <c r="AH1609" s="655">
        <v>0</v>
      </c>
      <c r="AI1609" s="655">
        <v>0</v>
      </c>
      <c r="AJ1609" s="655">
        <v>3735715.3900000006</v>
      </c>
      <c r="AK1609" s="655">
        <v>69255756.390000001</v>
      </c>
      <c r="AL1609" s="655">
        <v>0</v>
      </c>
      <c r="AM1609" s="655">
        <v>69255756.390000001</v>
      </c>
    </row>
    <row r="1610" spans="1:39" x14ac:dyDescent="0.2">
      <c r="A1610" s="648">
        <v>2017</v>
      </c>
      <c r="B1610" s="648">
        <v>5</v>
      </c>
      <c r="C1610" s="657" t="s">
        <v>349</v>
      </c>
      <c r="D1610" s="648">
        <v>6102</v>
      </c>
      <c r="E1610" s="648" t="s">
        <v>1292</v>
      </c>
      <c r="F1610" s="655">
        <v>12358125</v>
      </c>
      <c r="G1610" s="655">
        <v>169302</v>
      </c>
      <c r="H1610" s="655">
        <v>198448</v>
      </c>
      <c r="I1610" s="655">
        <v>2286154</v>
      </c>
      <c r="J1610" s="655">
        <v>1084518</v>
      </c>
      <c r="K1610" s="655">
        <v>131404</v>
      </c>
      <c r="L1610" s="655">
        <v>128267</v>
      </c>
      <c r="M1610" s="655">
        <v>601659</v>
      </c>
      <c r="N1610" s="655">
        <v>665869</v>
      </c>
      <c r="O1610" s="655">
        <v>140</v>
      </c>
      <c r="P1610" s="655">
        <v>112197</v>
      </c>
      <c r="Q1610" s="655">
        <v>125963</v>
      </c>
      <c r="R1610" s="655">
        <v>1942</v>
      </c>
      <c r="S1610" s="655">
        <v>70933</v>
      </c>
      <c r="T1610" s="655">
        <v>8447</v>
      </c>
      <c r="U1610" s="655">
        <v>604312</v>
      </c>
      <c r="V1610" s="655">
        <v>0</v>
      </c>
      <c r="W1610" s="655">
        <v>44476</v>
      </c>
      <c r="X1610" s="655">
        <v>0</v>
      </c>
      <c r="Y1610" s="655">
        <v>0</v>
      </c>
      <c r="Z1610" s="655">
        <v>0</v>
      </c>
      <c r="AA1610" s="655">
        <v>0</v>
      </c>
      <c r="AB1610" s="655">
        <v>0</v>
      </c>
      <c r="AC1610" s="655">
        <v>0</v>
      </c>
      <c r="AD1610" s="655">
        <v>117869</v>
      </c>
      <c r="AE1610" s="655">
        <v>18474287</v>
      </c>
      <c r="AF1610" s="655">
        <v>415233</v>
      </c>
      <c r="AG1610" s="655">
        <v>670493</v>
      </c>
      <c r="AH1610" s="655">
        <v>0</v>
      </c>
      <c r="AI1610" s="655">
        <v>0</v>
      </c>
      <c r="AJ1610" s="655">
        <v>7905470.4899999984</v>
      </c>
      <c r="AK1610" s="655">
        <v>27465483.489999998</v>
      </c>
      <c r="AL1610" s="655">
        <v>0</v>
      </c>
      <c r="AM1610" s="655">
        <v>27465483.489999998</v>
      </c>
    </row>
    <row r="1611" spans="1:39" x14ac:dyDescent="0.2">
      <c r="A1611" s="648">
        <v>2017</v>
      </c>
      <c r="B1611" s="648">
        <v>5</v>
      </c>
      <c r="C1611" s="657" t="s">
        <v>350</v>
      </c>
      <c r="D1611" s="648">
        <v>6120</v>
      </c>
      <c r="E1611" s="648" t="s">
        <v>1293</v>
      </c>
      <c r="F1611" s="655">
        <v>7716084</v>
      </c>
      <c r="G1611" s="655">
        <v>0</v>
      </c>
      <c r="H1611" s="655">
        <v>94383</v>
      </c>
      <c r="I1611" s="655">
        <v>844703</v>
      </c>
      <c r="J1611" s="655">
        <v>668353</v>
      </c>
      <c r="K1611" s="655">
        <v>79385</v>
      </c>
      <c r="L1611" s="655">
        <v>75569</v>
      </c>
      <c r="M1611" s="655">
        <v>0</v>
      </c>
      <c r="N1611" s="655">
        <v>389255</v>
      </c>
      <c r="O1611" s="655">
        <v>0</v>
      </c>
      <c r="P1611" s="655">
        <v>63942</v>
      </c>
      <c r="Q1611" s="655">
        <v>71787</v>
      </c>
      <c r="R1611" s="655">
        <v>1136</v>
      </c>
      <c r="S1611" s="655">
        <v>41421</v>
      </c>
      <c r="T1611" s="655">
        <v>4936</v>
      </c>
      <c r="U1611" s="655">
        <v>223410</v>
      </c>
      <c r="V1611" s="655">
        <v>0</v>
      </c>
      <c r="W1611" s="655">
        <v>137621</v>
      </c>
      <c r="X1611" s="655">
        <v>0</v>
      </c>
      <c r="Y1611" s="655">
        <v>0</v>
      </c>
      <c r="Z1611" s="655">
        <v>0</v>
      </c>
      <c r="AA1611" s="655">
        <v>0</v>
      </c>
      <c r="AB1611" s="655">
        <v>0</v>
      </c>
      <c r="AC1611" s="655">
        <v>0</v>
      </c>
      <c r="AD1611" s="655">
        <v>65341</v>
      </c>
      <c r="AE1611" s="655">
        <v>10346644</v>
      </c>
      <c r="AF1611" s="655">
        <v>158184</v>
      </c>
      <c r="AG1611" s="655">
        <v>702009</v>
      </c>
      <c r="AH1611" s="655">
        <v>0</v>
      </c>
      <c r="AI1611" s="655">
        <v>0</v>
      </c>
      <c r="AJ1611" s="655">
        <v>2329672.3599999994</v>
      </c>
      <c r="AK1611" s="655">
        <v>13536509.359999999</v>
      </c>
      <c r="AL1611" s="655">
        <v>0</v>
      </c>
      <c r="AM1611" s="655">
        <v>13536509.359999999</v>
      </c>
    </row>
    <row r="1612" spans="1:39" x14ac:dyDescent="0.2">
      <c r="A1612" s="648">
        <v>2017</v>
      </c>
      <c r="B1612" s="648">
        <v>10</v>
      </c>
      <c r="C1612" s="657" t="s">
        <v>351</v>
      </c>
      <c r="D1612" s="648">
        <v>6138</v>
      </c>
      <c r="E1612" s="648" t="s">
        <v>1294</v>
      </c>
      <c r="F1612" s="655">
        <v>2383237</v>
      </c>
      <c r="G1612" s="655">
        <v>26257</v>
      </c>
      <c r="H1612" s="655">
        <v>184888</v>
      </c>
      <c r="I1612" s="655">
        <v>271024</v>
      </c>
      <c r="J1612" s="655">
        <v>221587</v>
      </c>
      <c r="K1612" s="655">
        <v>21077</v>
      </c>
      <c r="L1612" s="655">
        <v>19348</v>
      </c>
      <c r="M1612" s="655">
        <v>114972</v>
      </c>
      <c r="N1612" s="655">
        <v>115558</v>
      </c>
      <c r="O1612" s="655">
        <v>13427</v>
      </c>
      <c r="P1612" s="655">
        <v>19789</v>
      </c>
      <c r="Q1612" s="655">
        <v>21741</v>
      </c>
      <c r="R1612" s="655">
        <v>0</v>
      </c>
      <c r="S1612" s="655">
        <v>10898</v>
      </c>
      <c r="T1612" s="655">
        <v>1267</v>
      </c>
      <c r="U1612" s="655">
        <v>31407</v>
      </c>
      <c r="V1612" s="655">
        <v>0</v>
      </c>
      <c r="W1612" s="655">
        <v>117805</v>
      </c>
      <c r="X1612" s="655">
        <v>0</v>
      </c>
      <c r="Y1612" s="655">
        <v>0</v>
      </c>
      <c r="Z1612" s="655">
        <v>0</v>
      </c>
      <c r="AA1612" s="655">
        <v>0</v>
      </c>
      <c r="AB1612" s="655">
        <v>0</v>
      </c>
      <c r="AC1612" s="655">
        <v>0</v>
      </c>
      <c r="AD1612" s="655">
        <v>25488</v>
      </c>
      <c r="AE1612" s="655">
        <v>3548794</v>
      </c>
      <c r="AF1612" s="655">
        <v>69206</v>
      </c>
      <c r="AG1612" s="655">
        <v>189169</v>
      </c>
      <c r="AH1612" s="655">
        <v>0</v>
      </c>
      <c r="AI1612" s="655">
        <v>0</v>
      </c>
      <c r="AJ1612" s="655">
        <v>1595620.0099999998</v>
      </c>
      <c r="AK1612" s="655">
        <v>5402789.0099999998</v>
      </c>
      <c r="AL1612" s="655">
        <v>0</v>
      </c>
      <c r="AM1612" s="655">
        <v>5402789.0099999998</v>
      </c>
    </row>
    <row r="1613" spans="1:39" x14ac:dyDescent="0.2">
      <c r="A1613" s="648">
        <v>2017</v>
      </c>
      <c r="B1613" s="648">
        <v>13</v>
      </c>
      <c r="C1613" s="657" t="s">
        <v>352</v>
      </c>
      <c r="D1613" s="648">
        <v>6165</v>
      </c>
      <c r="E1613" s="648" t="s">
        <v>1295</v>
      </c>
      <c r="F1613" s="655">
        <v>1225926</v>
      </c>
      <c r="G1613" s="655">
        <v>0</v>
      </c>
      <c r="H1613" s="655">
        <v>178254</v>
      </c>
      <c r="I1613" s="655">
        <v>147045</v>
      </c>
      <c r="J1613" s="655">
        <v>122647</v>
      </c>
      <c r="K1613" s="655">
        <v>15206</v>
      </c>
      <c r="L1613" s="655">
        <v>12198</v>
      </c>
      <c r="M1613" s="655">
        <v>0</v>
      </c>
      <c r="N1613" s="655">
        <v>60356</v>
      </c>
      <c r="O1613" s="655">
        <v>1591</v>
      </c>
      <c r="P1613" s="655">
        <v>10031</v>
      </c>
      <c r="Q1613" s="655">
        <v>11093</v>
      </c>
      <c r="R1613" s="655">
        <v>0</v>
      </c>
      <c r="S1613" s="655">
        <v>6197</v>
      </c>
      <c r="T1613" s="655">
        <v>660</v>
      </c>
      <c r="U1613" s="655">
        <v>6814</v>
      </c>
      <c r="V1613" s="655">
        <v>0</v>
      </c>
      <c r="W1613" s="655">
        <v>119297</v>
      </c>
      <c r="X1613" s="655">
        <v>0</v>
      </c>
      <c r="Y1613" s="655">
        <v>0</v>
      </c>
      <c r="Z1613" s="655">
        <v>0</v>
      </c>
      <c r="AA1613" s="655">
        <v>0</v>
      </c>
      <c r="AB1613" s="655">
        <v>0</v>
      </c>
      <c r="AC1613" s="655">
        <v>-387</v>
      </c>
      <c r="AD1613" s="655">
        <v>14055</v>
      </c>
      <c r="AE1613" s="655">
        <v>1902873</v>
      </c>
      <c r="AF1613" s="655">
        <v>65838</v>
      </c>
      <c r="AG1613" s="655">
        <v>98945</v>
      </c>
      <c r="AH1613" s="655">
        <v>0</v>
      </c>
      <c r="AI1613" s="655">
        <v>0</v>
      </c>
      <c r="AJ1613" s="655">
        <v>474936.20999999996</v>
      </c>
      <c r="AK1613" s="655">
        <v>2542592.21</v>
      </c>
      <c r="AL1613" s="655">
        <v>0</v>
      </c>
      <c r="AM1613" s="655">
        <v>2542592.21</v>
      </c>
    </row>
    <row r="1614" spans="1:39" x14ac:dyDescent="0.2">
      <c r="A1614" s="648">
        <v>2017</v>
      </c>
      <c r="B1614" s="648">
        <v>1</v>
      </c>
      <c r="C1614" s="657" t="s">
        <v>353</v>
      </c>
      <c r="D1614" s="648">
        <v>6175</v>
      </c>
      <c r="E1614" s="648" t="s">
        <v>1296</v>
      </c>
      <c r="F1614" s="655">
        <v>4097742</v>
      </c>
      <c r="G1614" s="655">
        <v>0</v>
      </c>
      <c r="H1614" s="655">
        <v>151981</v>
      </c>
      <c r="I1614" s="655">
        <v>498017</v>
      </c>
      <c r="J1614" s="655">
        <v>386987</v>
      </c>
      <c r="K1614" s="655">
        <v>42907</v>
      </c>
      <c r="L1614" s="655">
        <v>47523</v>
      </c>
      <c r="M1614" s="655">
        <v>0</v>
      </c>
      <c r="N1614" s="655">
        <v>211481</v>
      </c>
      <c r="O1614" s="655">
        <v>5752</v>
      </c>
      <c r="P1614" s="655">
        <v>33604</v>
      </c>
      <c r="Q1614" s="655">
        <v>37491</v>
      </c>
      <c r="R1614" s="655">
        <v>0</v>
      </c>
      <c r="S1614" s="655">
        <v>20825</v>
      </c>
      <c r="T1614" s="655">
        <v>2234</v>
      </c>
      <c r="U1614" s="655">
        <v>103648</v>
      </c>
      <c r="V1614" s="655">
        <v>0</v>
      </c>
      <c r="W1614" s="655">
        <v>101663</v>
      </c>
      <c r="X1614" s="655">
        <v>0</v>
      </c>
      <c r="Y1614" s="655">
        <v>0</v>
      </c>
      <c r="Z1614" s="655">
        <v>0</v>
      </c>
      <c r="AA1614" s="655">
        <v>0</v>
      </c>
      <c r="AB1614" s="655">
        <v>0</v>
      </c>
      <c r="AC1614" s="655">
        <v>0</v>
      </c>
      <c r="AD1614" s="655">
        <v>48637</v>
      </c>
      <c r="AE1614" s="655">
        <v>5693218</v>
      </c>
      <c r="AF1614" s="655">
        <v>141707</v>
      </c>
      <c r="AG1614" s="655">
        <v>325156</v>
      </c>
      <c r="AH1614" s="655">
        <v>0</v>
      </c>
      <c r="AI1614" s="655">
        <v>0</v>
      </c>
      <c r="AJ1614" s="655">
        <v>223954</v>
      </c>
      <c r="AK1614" s="655">
        <v>6384035</v>
      </c>
      <c r="AL1614" s="655">
        <v>0</v>
      </c>
      <c r="AM1614" s="655">
        <v>6384035</v>
      </c>
    </row>
    <row r="1615" spans="1:39" x14ac:dyDescent="0.2">
      <c r="A1615" s="648">
        <v>2017</v>
      </c>
      <c r="B1615" s="648">
        <v>5</v>
      </c>
      <c r="C1615" s="657" t="s">
        <v>354</v>
      </c>
      <c r="D1615" s="648">
        <v>6219</v>
      </c>
      <c r="E1615" s="648" t="s">
        <v>1297</v>
      </c>
      <c r="F1615" s="655">
        <v>15302325</v>
      </c>
      <c r="G1615" s="655">
        <v>0</v>
      </c>
      <c r="H1615" s="655">
        <v>1316546</v>
      </c>
      <c r="I1615" s="655">
        <v>1928988</v>
      </c>
      <c r="J1615" s="655">
        <v>1287150</v>
      </c>
      <c r="K1615" s="655">
        <v>148473</v>
      </c>
      <c r="L1615" s="655">
        <v>190867</v>
      </c>
      <c r="M1615" s="655">
        <v>0</v>
      </c>
      <c r="N1615" s="655">
        <v>783501</v>
      </c>
      <c r="O1615" s="655">
        <v>0</v>
      </c>
      <c r="P1615" s="655">
        <v>138305</v>
      </c>
      <c r="Q1615" s="655">
        <v>155275</v>
      </c>
      <c r="R1615" s="655">
        <v>2287</v>
      </c>
      <c r="S1615" s="655">
        <v>83372</v>
      </c>
      <c r="T1615" s="655">
        <v>9935</v>
      </c>
      <c r="U1615" s="655">
        <v>456996</v>
      </c>
      <c r="V1615" s="655">
        <v>0</v>
      </c>
      <c r="W1615" s="655">
        <v>490937</v>
      </c>
      <c r="X1615" s="655">
        <v>0</v>
      </c>
      <c r="Y1615" s="655">
        <v>0</v>
      </c>
      <c r="Z1615" s="655">
        <v>0</v>
      </c>
      <c r="AA1615" s="655">
        <v>0</v>
      </c>
      <c r="AB1615" s="655">
        <v>0</v>
      </c>
      <c r="AC1615" s="655">
        <v>0</v>
      </c>
      <c r="AD1615" s="655">
        <v>103971</v>
      </c>
      <c r="AE1615" s="655">
        <v>22190986</v>
      </c>
      <c r="AF1615" s="655">
        <v>372392</v>
      </c>
      <c r="AG1615" s="655">
        <v>883710</v>
      </c>
      <c r="AH1615" s="655">
        <v>0</v>
      </c>
      <c r="AI1615" s="655">
        <v>0</v>
      </c>
      <c r="AJ1615" s="655">
        <v>12379024.260000005</v>
      </c>
      <c r="AK1615" s="655">
        <v>35826112.260000005</v>
      </c>
      <c r="AL1615" s="655">
        <v>0</v>
      </c>
      <c r="AM1615" s="655">
        <v>35826112.260000005</v>
      </c>
    </row>
    <row r="1616" spans="1:39" x14ac:dyDescent="0.2">
      <c r="A1616" s="648">
        <v>2017</v>
      </c>
      <c r="B1616" s="648">
        <v>5</v>
      </c>
      <c r="C1616" s="657" t="s">
        <v>355</v>
      </c>
      <c r="D1616" s="648">
        <v>6246</v>
      </c>
      <c r="E1616" s="648" t="s">
        <v>1298</v>
      </c>
      <c r="F1616" s="655">
        <v>1148190</v>
      </c>
      <c r="G1616" s="655">
        <v>34109</v>
      </c>
      <c r="H1616" s="655">
        <v>116017</v>
      </c>
      <c r="I1616" s="655">
        <v>166308</v>
      </c>
      <c r="J1616" s="655">
        <v>94462</v>
      </c>
      <c r="K1616" s="655">
        <v>9144</v>
      </c>
      <c r="L1616" s="655">
        <v>10449</v>
      </c>
      <c r="M1616" s="655">
        <v>55282</v>
      </c>
      <c r="N1616" s="655">
        <v>58224</v>
      </c>
      <c r="O1616" s="655">
        <v>5287</v>
      </c>
      <c r="P1616" s="655">
        <v>9445</v>
      </c>
      <c r="Q1616" s="655">
        <v>10604</v>
      </c>
      <c r="R1616" s="655">
        <v>171</v>
      </c>
      <c r="S1616" s="655">
        <v>6390</v>
      </c>
      <c r="T1616" s="655">
        <v>761</v>
      </c>
      <c r="U1616" s="655">
        <v>56038</v>
      </c>
      <c r="V1616" s="655">
        <v>0</v>
      </c>
      <c r="W1616" s="655">
        <v>18693</v>
      </c>
      <c r="X1616" s="655">
        <v>0</v>
      </c>
      <c r="Y1616" s="655">
        <v>0</v>
      </c>
      <c r="Z1616" s="655">
        <v>0</v>
      </c>
      <c r="AA1616" s="655">
        <v>0</v>
      </c>
      <c r="AB1616" s="655">
        <v>0</v>
      </c>
      <c r="AC1616" s="655">
        <v>0</v>
      </c>
      <c r="AD1616" s="655">
        <v>11679</v>
      </c>
      <c r="AE1616" s="655">
        <v>1787895</v>
      </c>
      <c r="AF1616" s="655">
        <v>32955</v>
      </c>
      <c r="AG1616" s="655">
        <v>96476</v>
      </c>
      <c r="AH1616" s="655">
        <v>0</v>
      </c>
      <c r="AI1616" s="655">
        <v>0</v>
      </c>
      <c r="AJ1616" s="655">
        <v>2361178.59</v>
      </c>
      <c r="AK1616" s="655">
        <v>4278504.59</v>
      </c>
      <c r="AL1616" s="655">
        <v>0</v>
      </c>
      <c r="AM1616" s="655">
        <v>4278504.59</v>
      </c>
    </row>
    <row r="1617" spans="1:39" x14ac:dyDescent="0.2">
      <c r="A1617" s="648">
        <v>2017</v>
      </c>
      <c r="B1617" s="648">
        <v>11</v>
      </c>
      <c r="C1617" s="657" t="s">
        <v>356</v>
      </c>
      <c r="D1617" s="648">
        <v>6264</v>
      </c>
      <c r="E1617" s="648" t="s">
        <v>1299</v>
      </c>
      <c r="F1617" s="655">
        <v>6105800</v>
      </c>
      <c r="G1617" s="655">
        <v>122733</v>
      </c>
      <c r="H1617" s="655">
        <v>75783</v>
      </c>
      <c r="I1617" s="655">
        <v>885248</v>
      </c>
      <c r="J1617" s="655">
        <v>540008</v>
      </c>
      <c r="K1617" s="655">
        <v>52483</v>
      </c>
      <c r="L1617" s="655">
        <v>58042</v>
      </c>
      <c r="M1617" s="655">
        <v>0</v>
      </c>
      <c r="N1617" s="655">
        <v>295815</v>
      </c>
      <c r="O1617" s="655">
        <v>0</v>
      </c>
      <c r="P1617" s="655">
        <v>49388</v>
      </c>
      <c r="Q1617" s="655">
        <v>54217</v>
      </c>
      <c r="R1617" s="655">
        <v>0</v>
      </c>
      <c r="S1617" s="655">
        <v>24375</v>
      </c>
      <c r="T1617" s="655">
        <v>3098</v>
      </c>
      <c r="U1617" s="655">
        <v>94360</v>
      </c>
      <c r="V1617" s="655">
        <v>0</v>
      </c>
      <c r="W1617" s="655">
        <v>201760</v>
      </c>
      <c r="X1617" s="655">
        <v>0</v>
      </c>
      <c r="Y1617" s="655">
        <v>0</v>
      </c>
      <c r="Z1617" s="655">
        <v>0</v>
      </c>
      <c r="AA1617" s="655">
        <v>0</v>
      </c>
      <c r="AB1617" s="655">
        <v>0</v>
      </c>
      <c r="AC1617" s="655">
        <v>-6512</v>
      </c>
      <c r="AD1617" s="655">
        <v>51272</v>
      </c>
      <c r="AE1617" s="655">
        <v>8505326</v>
      </c>
      <c r="AF1617" s="655">
        <v>171366</v>
      </c>
      <c r="AG1617" s="655">
        <v>509431</v>
      </c>
      <c r="AH1617" s="655">
        <v>0</v>
      </c>
      <c r="AI1617" s="655">
        <v>0</v>
      </c>
      <c r="AJ1617" s="655">
        <v>3655361.1899999995</v>
      </c>
      <c r="AK1617" s="655">
        <v>12841484.189999999</v>
      </c>
      <c r="AL1617" s="655">
        <v>0</v>
      </c>
      <c r="AM1617" s="655">
        <v>12841484.189999999</v>
      </c>
    </row>
    <row r="1618" spans="1:39" x14ac:dyDescent="0.2">
      <c r="A1618" s="648">
        <v>2017</v>
      </c>
      <c r="B1618" s="648">
        <v>7</v>
      </c>
      <c r="C1618" s="657" t="s">
        <v>357</v>
      </c>
      <c r="D1618" s="648">
        <v>6273</v>
      </c>
      <c r="E1618" s="648" t="s">
        <v>1640</v>
      </c>
      <c r="F1618" s="655">
        <v>5487008</v>
      </c>
      <c r="G1618" s="655">
        <v>0</v>
      </c>
      <c r="H1618" s="655">
        <v>264622</v>
      </c>
      <c r="I1618" s="655">
        <v>706555</v>
      </c>
      <c r="J1618" s="655">
        <v>487404</v>
      </c>
      <c r="K1618" s="655">
        <v>53580</v>
      </c>
      <c r="L1618" s="655">
        <v>49276</v>
      </c>
      <c r="M1618" s="655">
        <v>0</v>
      </c>
      <c r="N1618" s="655">
        <v>275388</v>
      </c>
      <c r="O1618" s="655">
        <v>0</v>
      </c>
      <c r="P1618" s="655">
        <v>45282</v>
      </c>
      <c r="Q1618" s="655">
        <v>50568</v>
      </c>
      <c r="R1618" s="655">
        <v>0</v>
      </c>
      <c r="S1618" s="655">
        <v>34919</v>
      </c>
      <c r="T1618" s="655">
        <v>4013</v>
      </c>
      <c r="U1618" s="655">
        <v>64731</v>
      </c>
      <c r="V1618" s="655">
        <v>0</v>
      </c>
      <c r="W1618" s="655">
        <v>75256</v>
      </c>
      <c r="X1618" s="655">
        <v>0</v>
      </c>
      <c r="Y1618" s="655">
        <v>0</v>
      </c>
      <c r="Z1618" s="655">
        <v>0</v>
      </c>
      <c r="AA1618" s="655">
        <v>0</v>
      </c>
      <c r="AB1618" s="655">
        <v>0</v>
      </c>
      <c r="AC1618" s="655">
        <v>0</v>
      </c>
      <c r="AD1618" s="655">
        <v>56122</v>
      </c>
      <c r="AE1618" s="655">
        <v>7542480</v>
      </c>
      <c r="AF1618" s="655">
        <v>177957</v>
      </c>
      <c r="AG1618" s="655">
        <v>439125</v>
      </c>
      <c r="AH1618" s="655">
        <v>0</v>
      </c>
      <c r="AI1618" s="655">
        <v>0</v>
      </c>
      <c r="AJ1618" s="655">
        <v>1198473</v>
      </c>
      <c r="AK1618" s="655">
        <v>9358035</v>
      </c>
      <c r="AL1618" s="655">
        <v>0</v>
      </c>
      <c r="AM1618" s="655">
        <v>9358035</v>
      </c>
    </row>
    <row r="1619" spans="1:39" x14ac:dyDescent="0.2">
      <c r="A1619" s="648">
        <v>2017</v>
      </c>
      <c r="B1619" s="648">
        <v>10</v>
      </c>
      <c r="C1619" s="657" t="s">
        <v>358</v>
      </c>
      <c r="D1619" s="648">
        <v>6408</v>
      </c>
      <c r="E1619" s="648" t="s">
        <v>1300</v>
      </c>
      <c r="F1619" s="655">
        <v>5787839</v>
      </c>
      <c r="G1619" s="655">
        <v>69375</v>
      </c>
      <c r="H1619" s="655">
        <v>36644</v>
      </c>
      <c r="I1619" s="655">
        <v>618902</v>
      </c>
      <c r="J1619" s="655">
        <v>486592</v>
      </c>
      <c r="K1619" s="655">
        <v>51622</v>
      </c>
      <c r="L1619" s="655">
        <v>56885</v>
      </c>
      <c r="M1619" s="655">
        <v>0</v>
      </c>
      <c r="N1619" s="655">
        <v>278551</v>
      </c>
      <c r="O1619" s="655">
        <v>2458</v>
      </c>
      <c r="P1619" s="655">
        <v>47072</v>
      </c>
      <c r="Q1619" s="655">
        <v>51717</v>
      </c>
      <c r="R1619" s="655">
        <v>0</v>
      </c>
      <c r="S1619" s="655">
        <v>26199</v>
      </c>
      <c r="T1619" s="655">
        <v>3045</v>
      </c>
      <c r="U1619" s="655">
        <v>19500</v>
      </c>
      <c r="V1619" s="655">
        <v>0</v>
      </c>
      <c r="W1619" s="655">
        <v>183983</v>
      </c>
      <c r="X1619" s="655">
        <v>0</v>
      </c>
      <c r="Y1619" s="655">
        <v>0</v>
      </c>
      <c r="Z1619" s="655">
        <v>0</v>
      </c>
      <c r="AA1619" s="655">
        <v>0</v>
      </c>
      <c r="AB1619" s="655">
        <v>0</v>
      </c>
      <c r="AC1619" s="655">
        <v>-6497</v>
      </c>
      <c r="AD1619" s="655">
        <v>44897</v>
      </c>
      <c r="AE1619" s="655">
        <v>7668990</v>
      </c>
      <c r="AF1619" s="655">
        <v>112047</v>
      </c>
      <c r="AG1619" s="655">
        <v>308324</v>
      </c>
      <c r="AH1619" s="655">
        <v>0</v>
      </c>
      <c r="AI1619" s="655">
        <v>0</v>
      </c>
      <c r="AJ1619" s="655">
        <v>3333119.24</v>
      </c>
      <c r="AK1619" s="655">
        <v>11422480.24</v>
      </c>
      <c r="AL1619" s="655">
        <v>0</v>
      </c>
      <c r="AM1619" s="655">
        <v>11422480.24</v>
      </c>
    </row>
    <row r="1620" spans="1:39" x14ac:dyDescent="0.2">
      <c r="A1620" s="648">
        <v>2017</v>
      </c>
      <c r="B1620" s="648">
        <v>13</v>
      </c>
      <c r="C1620" s="657" t="s">
        <v>359</v>
      </c>
      <c r="D1620" s="648">
        <v>6453</v>
      </c>
      <c r="E1620" s="648" t="s">
        <v>1301</v>
      </c>
      <c r="F1620" s="655">
        <v>3771370</v>
      </c>
      <c r="G1620" s="655">
        <v>0</v>
      </c>
      <c r="H1620" s="655">
        <v>36488</v>
      </c>
      <c r="I1620" s="655">
        <v>254610</v>
      </c>
      <c r="J1620" s="655">
        <v>329101</v>
      </c>
      <c r="K1620" s="655">
        <v>34504</v>
      </c>
      <c r="L1620" s="655">
        <v>36054</v>
      </c>
      <c r="M1620" s="655">
        <v>0</v>
      </c>
      <c r="N1620" s="655">
        <v>176982</v>
      </c>
      <c r="O1620" s="655">
        <v>0</v>
      </c>
      <c r="P1620" s="655">
        <v>33221</v>
      </c>
      <c r="Q1620" s="655">
        <v>36738</v>
      </c>
      <c r="R1620" s="655">
        <v>0</v>
      </c>
      <c r="S1620" s="655">
        <v>18172</v>
      </c>
      <c r="T1620" s="655">
        <v>1936</v>
      </c>
      <c r="U1620" s="655">
        <v>68700</v>
      </c>
      <c r="V1620" s="655">
        <v>0</v>
      </c>
      <c r="W1620" s="655">
        <v>98865</v>
      </c>
      <c r="X1620" s="655">
        <v>0</v>
      </c>
      <c r="Y1620" s="655">
        <v>0</v>
      </c>
      <c r="Z1620" s="655">
        <v>0</v>
      </c>
      <c r="AA1620" s="655">
        <v>0</v>
      </c>
      <c r="AB1620" s="655">
        <v>0</v>
      </c>
      <c r="AC1620" s="655">
        <v>0</v>
      </c>
      <c r="AD1620" s="655">
        <v>26447</v>
      </c>
      <c r="AE1620" s="655">
        <v>4870294</v>
      </c>
      <c r="AF1620" s="655">
        <v>0</v>
      </c>
      <c r="AG1620" s="655">
        <v>302728</v>
      </c>
      <c r="AH1620" s="655">
        <v>0</v>
      </c>
      <c r="AI1620" s="655">
        <v>0</v>
      </c>
      <c r="AJ1620" s="655">
        <v>2087572.2199999988</v>
      </c>
      <c r="AK1620" s="655">
        <v>7260594.2199999988</v>
      </c>
      <c r="AL1620" s="655">
        <v>0</v>
      </c>
      <c r="AM1620" s="655">
        <v>7260594.2199999988</v>
      </c>
    </row>
    <row r="1621" spans="1:39" x14ac:dyDescent="0.2">
      <c r="A1621" s="648">
        <v>2017</v>
      </c>
      <c r="B1621" s="648">
        <v>13</v>
      </c>
      <c r="C1621" s="657" t="s">
        <v>360</v>
      </c>
      <c r="D1621" s="648">
        <v>6460</v>
      </c>
      <c r="E1621" s="648" t="s">
        <v>1302</v>
      </c>
      <c r="F1621" s="655">
        <v>4289055</v>
      </c>
      <c r="G1621" s="655">
        <v>0</v>
      </c>
      <c r="H1621" s="655">
        <v>24704</v>
      </c>
      <c r="I1621" s="655">
        <v>388571</v>
      </c>
      <c r="J1621" s="655">
        <v>370634</v>
      </c>
      <c r="K1621" s="655">
        <v>41498</v>
      </c>
      <c r="L1621" s="655">
        <v>40397</v>
      </c>
      <c r="M1621" s="655">
        <v>0</v>
      </c>
      <c r="N1621" s="655">
        <v>204635</v>
      </c>
      <c r="O1621" s="655">
        <v>7122</v>
      </c>
      <c r="P1621" s="655">
        <v>35378</v>
      </c>
      <c r="Q1621" s="655">
        <v>39124</v>
      </c>
      <c r="R1621" s="655">
        <v>0</v>
      </c>
      <c r="S1621" s="655">
        <v>21012</v>
      </c>
      <c r="T1621" s="655">
        <v>2239</v>
      </c>
      <c r="U1621" s="655">
        <v>178396</v>
      </c>
      <c r="V1621" s="655">
        <v>0</v>
      </c>
      <c r="W1621" s="655">
        <v>77352</v>
      </c>
      <c r="X1621" s="655">
        <v>0</v>
      </c>
      <c r="Y1621" s="655">
        <v>0</v>
      </c>
      <c r="Z1621" s="655">
        <v>0</v>
      </c>
      <c r="AA1621" s="655">
        <v>0</v>
      </c>
      <c r="AB1621" s="655">
        <v>0</v>
      </c>
      <c r="AC1621" s="655">
        <v>0</v>
      </c>
      <c r="AD1621" s="655">
        <v>38852</v>
      </c>
      <c r="AE1621" s="655">
        <v>5681265</v>
      </c>
      <c r="AF1621" s="655">
        <v>112047</v>
      </c>
      <c r="AG1621" s="655">
        <v>333432</v>
      </c>
      <c r="AH1621" s="655">
        <v>0</v>
      </c>
      <c r="AI1621" s="655">
        <v>0</v>
      </c>
      <c r="AJ1621" s="655">
        <v>457050.12999999989</v>
      </c>
      <c r="AK1621" s="655">
        <v>6583794.1299999999</v>
      </c>
      <c r="AL1621" s="655">
        <v>0</v>
      </c>
      <c r="AM1621" s="655">
        <v>6583794.1299999999</v>
      </c>
    </row>
    <row r="1622" spans="1:39" x14ac:dyDescent="0.2">
      <c r="A1622" s="648">
        <v>2017</v>
      </c>
      <c r="B1622" s="648">
        <v>15</v>
      </c>
      <c r="C1622" s="657" t="s">
        <v>361</v>
      </c>
      <c r="D1622" s="648">
        <v>6462</v>
      </c>
      <c r="E1622" s="648" t="s">
        <v>1303</v>
      </c>
      <c r="F1622" s="655">
        <v>1747274</v>
      </c>
      <c r="G1622" s="655">
        <v>0</v>
      </c>
      <c r="H1622" s="655">
        <v>146353</v>
      </c>
      <c r="I1622" s="655">
        <v>215921</v>
      </c>
      <c r="J1622" s="655">
        <v>174791</v>
      </c>
      <c r="K1622" s="655">
        <v>15927</v>
      </c>
      <c r="L1622" s="655">
        <v>20474</v>
      </c>
      <c r="M1622" s="655">
        <v>84758</v>
      </c>
      <c r="N1622" s="655">
        <v>85516</v>
      </c>
      <c r="O1622" s="655">
        <v>8541</v>
      </c>
      <c r="P1622" s="655">
        <v>14391</v>
      </c>
      <c r="Q1622" s="655">
        <v>15809</v>
      </c>
      <c r="R1622" s="655">
        <v>0</v>
      </c>
      <c r="S1622" s="655">
        <v>8566</v>
      </c>
      <c r="T1622" s="655">
        <v>929</v>
      </c>
      <c r="U1622" s="655">
        <v>62118</v>
      </c>
      <c r="V1622" s="655">
        <v>0</v>
      </c>
      <c r="W1622" s="655">
        <v>117979</v>
      </c>
      <c r="X1622" s="655">
        <v>0</v>
      </c>
      <c r="Y1622" s="655">
        <v>0</v>
      </c>
      <c r="Z1622" s="655">
        <v>0</v>
      </c>
      <c r="AA1622" s="655">
        <v>0</v>
      </c>
      <c r="AB1622" s="655">
        <v>0</v>
      </c>
      <c r="AC1622" s="655">
        <v>0</v>
      </c>
      <c r="AD1622" s="655">
        <v>20126</v>
      </c>
      <c r="AE1622" s="655">
        <v>2699221</v>
      </c>
      <c r="AF1622" s="655">
        <v>59319</v>
      </c>
      <c r="AG1622" s="655">
        <v>141529</v>
      </c>
      <c r="AH1622" s="655">
        <v>0</v>
      </c>
      <c r="AI1622" s="655">
        <v>0</v>
      </c>
      <c r="AJ1622" s="655">
        <v>1024113.4500000002</v>
      </c>
      <c r="AK1622" s="655">
        <v>3924182.45</v>
      </c>
      <c r="AL1622" s="655">
        <v>0</v>
      </c>
      <c r="AM1622" s="655">
        <v>3924182.45</v>
      </c>
    </row>
    <row r="1623" spans="1:39" x14ac:dyDescent="0.2">
      <c r="A1623" s="648">
        <v>2017</v>
      </c>
      <c r="B1623" s="648">
        <v>7</v>
      </c>
      <c r="C1623" s="657" t="s">
        <v>362</v>
      </c>
      <c r="D1623" s="648">
        <v>6471</v>
      </c>
      <c r="E1623" s="648" t="s">
        <v>1304</v>
      </c>
      <c r="F1623" s="655">
        <v>2996760</v>
      </c>
      <c r="G1623" s="655">
        <v>0</v>
      </c>
      <c r="H1623" s="655">
        <v>145277</v>
      </c>
      <c r="I1623" s="655">
        <v>449315</v>
      </c>
      <c r="J1623" s="655">
        <v>280538</v>
      </c>
      <c r="K1623" s="655">
        <v>28874</v>
      </c>
      <c r="L1623" s="655">
        <v>29728</v>
      </c>
      <c r="M1623" s="655">
        <v>0</v>
      </c>
      <c r="N1623" s="655">
        <v>152324</v>
      </c>
      <c r="O1623" s="655">
        <v>0</v>
      </c>
      <c r="P1623" s="655">
        <v>25054</v>
      </c>
      <c r="Q1623" s="655">
        <v>27979</v>
      </c>
      <c r="R1623" s="655">
        <v>0</v>
      </c>
      <c r="S1623" s="655">
        <v>19315</v>
      </c>
      <c r="T1623" s="655">
        <v>2219</v>
      </c>
      <c r="U1623" s="655">
        <v>0</v>
      </c>
      <c r="V1623" s="655">
        <v>0</v>
      </c>
      <c r="W1623" s="655">
        <v>65918</v>
      </c>
      <c r="X1623" s="655">
        <v>0</v>
      </c>
      <c r="Y1623" s="655">
        <v>0</v>
      </c>
      <c r="Z1623" s="655">
        <v>0</v>
      </c>
      <c r="AA1623" s="655">
        <v>0</v>
      </c>
      <c r="AB1623" s="655">
        <v>0</v>
      </c>
      <c r="AC1623" s="655">
        <v>-12970</v>
      </c>
      <c r="AD1623" s="655">
        <v>26465</v>
      </c>
      <c r="AE1623" s="655">
        <v>4183866</v>
      </c>
      <c r="AF1623" s="655">
        <v>52728</v>
      </c>
      <c r="AG1623" s="655">
        <v>223948</v>
      </c>
      <c r="AH1623" s="655">
        <v>0</v>
      </c>
      <c r="AI1623" s="655">
        <v>0</v>
      </c>
      <c r="AJ1623" s="655">
        <v>536024.40000000037</v>
      </c>
      <c r="AK1623" s="655">
        <v>4996566.4000000004</v>
      </c>
      <c r="AL1623" s="655">
        <v>0</v>
      </c>
      <c r="AM1623" s="655">
        <v>4996566.4000000004</v>
      </c>
    </row>
    <row r="1624" spans="1:39" x14ac:dyDescent="0.2">
      <c r="A1624" s="648">
        <v>2017</v>
      </c>
      <c r="B1624" s="648">
        <v>1</v>
      </c>
      <c r="C1624" s="657" t="s">
        <v>363</v>
      </c>
      <c r="D1624" s="648">
        <v>6509</v>
      </c>
      <c r="E1624" s="648" t="s">
        <v>1305</v>
      </c>
      <c r="F1624" s="655">
        <v>2305830</v>
      </c>
      <c r="G1624" s="655">
        <v>106672</v>
      </c>
      <c r="H1624" s="655">
        <v>190859</v>
      </c>
      <c r="I1624" s="655">
        <v>289715</v>
      </c>
      <c r="J1624" s="655">
        <v>217583</v>
      </c>
      <c r="K1624" s="655">
        <v>24952</v>
      </c>
      <c r="L1624" s="655">
        <v>17543</v>
      </c>
      <c r="M1624" s="655">
        <v>0</v>
      </c>
      <c r="N1624" s="655">
        <v>116734</v>
      </c>
      <c r="O1624" s="655">
        <v>30020</v>
      </c>
      <c r="P1624" s="655">
        <v>21680</v>
      </c>
      <c r="Q1624" s="655">
        <v>24188</v>
      </c>
      <c r="R1624" s="655">
        <v>0</v>
      </c>
      <c r="S1624" s="655">
        <v>11888</v>
      </c>
      <c r="T1624" s="655">
        <v>1271</v>
      </c>
      <c r="U1624" s="655">
        <v>69959</v>
      </c>
      <c r="V1624" s="655">
        <v>0</v>
      </c>
      <c r="W1624" s="655">
        <v>146180</v>
      </c>
      <c r="X1624" s="655">
        <v>0</v>
      </c>
      <c r="Y1624" s="655">
        <v>0</v>
      </c>
      <c r="Z1624" s="655">
        <v>0</v>
      </c>
      <c r="AA1624" s="655">
        <v>0</v>
      </c>
      <c r="AB1624" s="655">
        <v>0</v>
      </c>
      <c r="AC1624" s="655">
        <v>0</v>
      </c>
      <c r="AD1624" s="655">
        <v>34465</v>
      </c>
      <c r="AE1624" s="655">
        <v>3540609</v>
      </c>
      <c r="AF1624" s="655">
        <v>62615</v>
      </c>
      <c r="AG1624" s="655">
        <v>208995</v>
      </c>
      <c r="AH1624" s="655">
        <v>0</v>
      </c>
      <c r="AI1624" s="655">
        <v>0</v>
      </c>
      <c r="AJ1624" s="655">
        <v>514636</v>
      </c>
      <c r="AK1624" s="655">
        <v>4326855</v>
      </c>
      <c r="AL1624" s="655">
        <v>0</v>
      </c>
      <c r="AM1624" s="655">
        <v>4326855</v>
      </c>
    </row>
    <row r="1625" spans="1:39" x14ac:dyDescent="0.2">
      <c r="A1625" s="648">
        <v>2017</v>
      </c>
      <c r="B1625" s="648">
        <v>11</v>
      </c>
      <c r="C1625" s="657" t="s">
        <v>364</v>
      </c>
      <c r="D1625" s="648">
        <v>6512</v>
      </c>
      <c r="E1625" s="648" t="s">
        <v>1306</v>
      </c>
      <c r="F1625" s="655">
        <v>2281184</v>
      </c>
      <c r="G1625" s="655">
        <v>79450</v>
      </c>
      <c r="H1625" s="655">
        <v>170096</v>
      </c>
      <c r="I1625" s="655">
        <v>213907</v>
      </c>
      <c r="J1625" s="655">
        <v>219906</v>
      </c>
      <c r="K1625" s="655">
        <v>22869</v>
      </c>
      <c r="L1625" s="655">
        <v>26769</v>
      </c>
      <c r="M1625" s="655">
        <v>0</v>
      </c>
      <c r="N1625" s="655">
        <v>105830</v>
      </c>
      <c r="O1625" s="655">
        <v>12469</v>
      </c>
      <c r="P1625" s="655">
        <v>19314</v>
      </c>
      <c r="Q1625" s="655">
        <v>21203</v>
      </c>
      <c r="R1625" s="655">
        <v>0</v>
      </c>
      <c r="S1625" s="655">
        <v>9005</v>
      </c>
      <c r="T1625" s="655">
        <v>1146</v>
      </c>
      <c r="U1625" s="655">
        <v>70731</v>
      </c>
      <c r="V1625" s="655">
        <v>0</v>
      </c>
      <c r="W1625" s="655">
        <v>41585</v>
      </c>
      <c r="X1625" s="655">
        <v>0</v>
      </c>
      <c r="Y1625" s="655">
        <v>0</v>
      </c>
      <c r="Z1625" s="655">
        <v>0</v>
      </c>
      <c r="AA1625" s="655">
        <v>0</v>
      </c>
      <c r="AB1625" s="655">
        <v>0</v>
      </c>
      <c r="AC1625" s="655">
        <v>0</v>
      </c>
      <c r="AD1625" s="655">
        <v>24429</v>
      </c>
      <c r="AE1625" s="655">
        <v>3271035</v>
      </c>
      <c r="AF1625" s="655">
        <v>69206</v>
      </c>
      <c r="AG1625" s="655">
        <v>177897</v>
      </c>
      <c r="AH1625" s="655">
        <v>0</v>
      </c>
      <c r="AI1625" s="655">
        <v>0</v>
      </c>
      <c r="AJ1625" s="655">
        <v>1308063</v>
      </c>
      <c r="AK1625" s="655">
        <v>4826201</v>
      </c>
      <c r="AL1625" s="655">
        <v>0</v>
      </c>
      <c r="AM1625" s="655">
        <v>4826201</v>
      </c>
    </row>
    <row r="1626" spans="1:39" x14ac:dyDescent="0.2">
      <c r="A1626" s="648">
        <v>2017</v>
      </c>
      <c r="B1626" s="648">
        <v>5</v>
      </c>
      <c r="C1626" s="657" t="s">
        <v>365</v>
      </c>
      <c r="D1626" s="648">
        <v>6516</v>
      </c>
      <c r="E1626" s="648" t="s">
        <v>1307</v>
      </c>
      <c r="F1626" s="655">
        <v>1096092</v>
      </c>
      <c r="G1626" s="655">
        <v>67483</v>
      </c>
      <c r="H1626" s="655">
        <v>158764</v>
      </c>
      <c r="I1626" s="655">
        <v>147228</v>
      </c>
      <c r="J1626" s="655">
        <v>110024</v>
      </c>
      <c r="K1626" s="655">
        <v>10720</v>
      </c>
      <c r="L1626" s="655">
        <v>10546</v>
      </c>
      <c r="M1626" s="655">
        <v>54406</v>
      </c>
      <c r="N1626" s="655">
        <v>55071</v>
      </c>
      <c r="O1626" s="655">
        <v>2704</v>
      </c>
      <c r="P1626" s="655">
        <v>9445</v>
      </c>
      <c r="Q1626" s="655">
        <v>10604</v>
      </c>
      <c r="R1626" s="655">
        <v>162</v>
      </c>
      <c r="S1626" s="655">
        <v>6114</v>
      </c>
      <c r="T1626" s="655">
        <v>728</v>
      </c>
      <c r="U1626" s="655">
        <v>11213</v>
      </c>
      <c r="V1626" s="655">
        <v>0</v>
      </c>
      <c r="W1626" s="655">
        <v>58014</v>
      </c>
      <c r="X1626" s="655">
        <v>0</v>
      </c>
      <c r="Y1626" s="655">
        <v>0</v>
      </c>
      <c r="Z1626" s="655">
        <v>0</v>
      </c>
      <c r="AA1626" s="655">
        <v>0</v>
      </c>
      <c r="AB1626" s="655">
        <v>0</v>
      </c>
      <c r="AC1626" s="655">
        <v>0</v>
      </c>
      <c r="AD1626" s="655">
        <v>13468</v>
      </c>
      <c r="AE1626" s="655">
        <v>1795850</v>
      </c>
      <c r="AF1626" s="655">
        <v>52293</v>
      </c>
      <c r="AG1626" s="655">
        <v>103594</v>
      </c>
      <c r="AH1626" s="655">
        <v>290894</v>
      </c>
      <c r="AI1626" s="655">
        <v>0</v>
      </c>
      <c r="AJ1626" s="655">
        <v>2246531.79</v>
      </c>
      <c r="AK1626" s="655">
        <v>4489162.79</v>
      </c>
      <c r="AL1626" s="655">
        <v>0</v>
      </c>
      <c r="AM1626" s="655">
        <v>4489162.79</v>
      </c>
    </row>
    <row r="1627" spans="1:39" x14ac:dyDescent="0.2">
      <c r="A1627" s="648">
        <v>2017</v>
      </c>
      <c r="B1627" s="648">
        <v>13</v>
      </c>
      <c r="C1627" s="657" t="s">
        <v>366</v>
      </c>
      <c r="D1627" s="648">
        <v>6534</v>
      </c>
      <c r="E1627" s="648" t="s">
        <v>1312</v>
      </c>
      <c r="F1627" s="655">
        <v>4596563</v>
      </c>
      <c r="G1627" s="655">
        <v>0</v>
      </c>
      <c r="H1627" s="655">
        <v>46203</v>
      </c>
      <c r="I1627" s="655">
        <v>357891</v>
      </c>
      <c r="J1627" s="655">
        <v>376931</v>
      </c>
      <c r="K1627" s="655">
        <v>38761</v>
      </c>
      <c r="L1627" s="655">
        <v>42806</v>
      </c>
      <c r="M1627" s="655">
        <v>0</v>
      </c>
      <c r="N1627" s="655">
        <v>217798</v>
      </c>
      <c r="O1627" s="655">
        <v>0</v>
      </c>
      <c r="P1627" s="655">
        <v>39153</v>
      </c>
      <c r="Q1627" s="655">
        <v>43299</v>
      </c>
      <c r="R1627" s="655">
        <v>0</v>
      </c>
      <c r="S1627" s="655">
        <v>22363</v>
      </c>
      <c r="T1627" s="655">
        <v>2383</v>
      </c>
      <c r="U1627" s="655">
        <v>185497</v>
      </c>
      <c r="V1627" s="655">
        <v>0</v>
      </c>
      <c r="W1627" s="655">
        <v>64460</v>
      </c>
      <c r="X1627" s="655">
        <v>0</v>
      </c>
      <c r="Y1627" s="655">
        <v>0</v>
      </c>
      <c r="Z1627" s="655">
        <v>0</v>
      </c>
      <c r="AA1627" s="655">
        <v>0</v>
      </c>
      <c r="AB1627" s="655">
        <v>0</v>
      </c>
      <c r="AC1627" s="655">
        <v>0</v>
      </c>
      <c r="AD1627" s="655">
        <v>35931</v>
      </c>
      <c r="AE1627" s="655">
        <v>5998177</v>
      </c>
      <c r="AF1627" s="655">
        <v>82388</v>
      </c>
      <c r="AG1627" s="655">
        <v>360049</v>
      </c>
      <c r="AH1627" s="655">
        <v>0</v>
      </c>
      <c r="AI1627" s="655">
        <v>0</v>
      </c>
      <c r="AJ1627" s="655">
        <v>601069.58999999985</v>
      </c>
      <c r="AK1627" s="655">
        <v>7041683.5899999999</v>
      </c>
      <c r="AL1627" s="655">
        <v>0</v>
      </c>
      <c r="AM1627" s="655">
        <v>7041683.5899999999</v>
      </c>
    </row>
    <row r="1628" spans="1:39" x14ac:dyDescent="0.2">
      <c r="A1628" s="648">
        <v>2017</v>
      </c>
      <c r="B1628" s="648">
        <v>11</v>
      </c>
      <c r="C1628" s="657" t="s">
        <v>367</v>
      </c>
      <c r="D1628" s="648">
        <v>6561</v>
      </c>
      <c r="E1628" s="648" t="s">
        <v>1313</v>
      </c>
      <c r="F1628" s="655">
        <v>2258077</v>
      </c>
      <c r="G1628" s="655">
        <v>0</v>
      </c>
      <c r="H1628" s="655">
        <v>34141</v>
      </c>
      <c r="I1628" s="655">
        <v>230026</v>
      </c>
      <c r="J1628" s="655">
        <v>168302</v>
      </c>
      <c r="K1628" s="655">
        <v>14324</v>
      </c>
      <c r="L1628" s="655">
        <v>22810</v>
      </c>
      <c r="M1628" s="655">
        <v>109536</v>
      </c>
      <c r="N1628" s="655">
        <v>106334</v>
      </c>
      <c r="O1628" s="655">
        <v>0</v>
      </c>
      <c r="P1628" s="655">
        <v>18722</v>
      </c>
      <c r="Q1628" s="655">
        <v>20553</v>
      </c>
      <c r="R1628" s="655">
        <v>0</v>
      </c>
      <c r="S1628" s="655">
        <v>8762</v>
      </c>
      <c r="T1628" s="655">
        <v>1114</v>
      </c>
      <c r="U1628" s="655">
        <v>0</v>
      </c>
      <c r="V1628" s="655">
        <v>0</v>
      </c>
      <c r="W1628" s="655">
        <v>237375</v>
      </c>
      <c r="X1628" s="655">
        <v>0</v>
      </c>
      <c r="Y1628" s="655">
        <v>0</v>
      </c>
      <c r="Z1628" s="655">
        <v>0</v>
      </c>
      <c r="AA1628" s="655">
        <v>0</v>
      </c>
      <c r="AB1628" s="655">
        <v>0</v>
      </c>
      <c r="AC1628" s="655">
        <v>0</v>
      </c>
      <c r="AD1628" s="655">
        <v>22978</v>
      </c>
      <c r="AE1628" s="655">
        <v>3207098</v>
      </c>
      <c r="AF1628" s="655">
        <v>168071</v>
      </c>
      <c r="AG1628" s="655">
        <v>200879</v>
      </c>
      <c r="AH1628" s="655">
        <v>0</v>
      </c>
      <c r="AI1628" s="655">
        <v>0</v>
      </c>
      <c r="AJ1628" s="655">
        <v>554102.95000000019</v>
      </c>
      <c r="AK1628" s="655">
        <v>4130150.95</v>
      </c>
      <c r="AL1628" s="655">
        <v>0</v>
      </c>
      <c r="AM1628" s="655">
        <v>4130150.95</v>
      </c>
    </row>
    <row r="1629" spans="1:39" x14ac:dyDescent="0.2">
      <c r="A1629" s="648">
        <v>2017</v>
      </c>
      <c r="B1629" s="648">
        <v>11</v>
      </c>
      <c r="C1629" s="657" t="s">
        <v>368</v>
      </c>
      <c r="D1629" s="648">
        <v>6579</v>
      </c>
      <c r="E1629" s="648" t="s">
        <v>1314</v>
      </c>
      <c r="F1629" s="655">
        <v>22466742</v>
      </c>
      <c r="G1629" s="655">
        <v>0</v>
      </c>
      <c r="H1629" s="655">
        <v>619112</v>
      </c>
      <c r="I1629" s="655">
        <v>2018032</v>
      </c>
      <c r="J1629" s="655">
        <v>1962695</v>
      </c>
      <c r="K1629" s="655">
        <v>231689</v>
      </c>
      <c r="L1629" s="655">
        <v>222179</v>
      </c>
      <c r="M1629" s="655">
        <v>1089830</v>
      </c>
      <c r="N1629" s="655">
        <v>1046407</v>
      </c>
      <c r="O1629" s="655">
        <v>0</v>
      </c>
      <c r="P1629" s="655">
        <v>206753</v>
      </c>
      <c r="Q1629" s="655">
        <v>226968</v>
      </c>
      <c r="R1629" s="655">
        <v>0</v>
      </c>
      <c r="S1629" s="655">
        <v>86222</v>
      </c>
      <c r="T1629" s="655">
        <v>10959</v>
      </c>
      <c r="U1629" s="655">
        <v>409717</v>
      </c>
      <c r="V1629" s="655">
        <v>0</v>
      </c>
      <c r="W1629" s="655">
        <v>453769</v>
      </c>
      <c r="X1629" s="655">
        <v>0</v>
      </c>
      <c r="Y1629" s="655">
        <v>0</v>
      </c>
      <c r="Z1629" s="655">
        <v>0</v>
      </c>
      <c r="AA1629" s="655">
        <v>0</v>
      </c>
      <c r="AB1629" s="655">
        <v>0</v>
      </c>
      <c r="AC1629" s="655">
        <v>-4254</v>
      </c>
      <c r="AD1629" s="655">
        <v>161365</v>
      </c>
      <c r="AE1629" s="655">
        <v>30885455</v>
      </c>
      <c r="AF1629" s="655">
        <v>589895</v>
      </c>
      <c r="AG1629" s="655">
        <v>1719829</v>
      </c>
      <c r="AH1629" s="655">
        <v>0</v>
      </c>
      <c r="AI1629" s="655">
        <v>0</v>
      </c>
      <c r="AJ1629" s="655">
        <v>6766559.2600000054</v>
      </c>
      <c r="AK1629" s="655">
        <v>39961738.260000005</v>
      </c>
      <c r="AL1629" s="655">
        <v>0</v>
      </c>
      <c r="AM1629" s="655">
        <v>39961738.260000005</v>
      </c>
    </row>
    <row r="1630" spans="1:39" x14ac:dyDescent="0.2">
      <c r="A1630" s="648">
        <v>2017</v>
      </c>
      <c r="B1630" s="648">
        <v>1</v>
      </c>
      <c r="C1630" s="657" t="s">
        <v>369</v>
      </c>
      <c r="D1630" s="648">
        <v>6591</v>
      </c>
      <c r="E1630" s="648" t="s">
        <v>1333</v>
      </c>
      <c r="F1630" s="655">
        <v>2520595</v>
      </c>
      <c r="G1630" s="655">
        <v>53679</v>
      </c>
      <c r="H1630" s="655">
        <v>212462</v>
      </c>
      <c r="I1630" s="655">
        <v>304575</v>
      </c>
      <c r="J1630" s="655">
        <v>224493</v>
      </c>
      <c r="K1630" s="655">
        <v>24369</v>
      </c>
      <c r="L1630" s="655">
        <v>25480</v>
      </c>
      <c r="M1630" s="655">
        <v>123196</v>
      </c>
      <c r="N1630" s="655">
        <v>129828</v>
      </c>
      <c r="O1630" s="655">
        <v>22189</v>
      </c>
      <c r="P1630" s="655">
        <v>20650</v>
      </c>
      <c r="Q1630" s="655">
        <v>23039</v>
      </c>
      <c r="R1630" s="655">
        <v>0</v>
      </c>
      <c r="S1630" s="655">
        <v>13039</v>
      </c>
      <c r="T1630" s="655">
        <v>1394</v>
      </c>
      <c r="U1630" s="655">
        <v>101079</v>
      </c>
      <c r="V1630" s="655">
        <v>0</v>
      </c>
      <c r="W1630" s="655">
        <v>40131</v>
      </c>
      <c r="X1630" s="655">
        <v>0</v>
      </c>
      <c r="Y1630" s="655">
        <v>0</v>
      </c>
      <c r="Z1630" s="655">
        <v>0</v>
      </c>
      <c r="AA1630" s="655">
        <v>0</v>
      </c>
      <c r="AB1630" s="655">
        <v>0</v>
      </c>
      <c r="AC1630" s="655">
        <v>0</v>
      </c>
      <c r="AD1630" s="655">
        <v>32715</v>
      </c>
      <c r="AE1630" s="655">
        <v>3807483</v>
      </c>
      <c r="AF1630" s="655">
        <v>59319</v>
      </c>
      <c r="AG1630" s="655">
        <v>197910</v>
      </c>
      <c r="AH1630" s="655">
        <v>0</v>
      </c>
      <c r="AI1630" s="655">
        <v>0</v>
      </c>
      <c r="AJ1630" s="655">
        <v>973060.71</v>
      </c>
      <c r="AK1630" s="655">
        <v>5037772.71</v>
      </c>
      <c r="AL1630" s="655">
        <v>0</v>
      </c>
      <c r="AM1630" s="655">
        <v>5037772.71</v>
      </c>
    </row>
    <row r="1631" spans="1:39" x14ac:dyDescent="0.2">
      <c r="A1631" s="648">
        <v>2017</v>
      </c>
      <c r="B1631" s="648">
        <v>15</v>
      </c>
      <c r="C1631" s="657" t="s">
        <v>370</v>
      </c>
      <c r="D1631" s="648">
        <v>6592</v>
      </c>
      <c r="E1631" s="648" t="s">
        <v>2013</v>
      </c>
      <c r="F1631" s="655">
        <v>4160211</v>
      </c>
      <c r="G1631" s="655">
        <v>0</v>
      </c>
      <c r="H1631" s="655">
        <v>198426</v>
      </c>
      <c r="I1631" s="655">
        <v>542917</v>
      </c>
      <c r="J1631" s="655">
        <v>361469</v>
      </c>
      <c r="K1631" s="655">
        <v>35891</v>
      </c>
      <c r="L1631" s="655">
        <v>43300</v>
      </c>
      <c r="M1631" s="655">
        <v>0</v>
      </c>
      <c r="N1631" s="655">
        <v>204834</v>
      </c>
      <c r="O1631" s="655">
        <v>11925</v>
      </c>
      <c r="P1631" s="655">
        <v>34011</v>
      </c>
      <c r="Q1631" s="655">
        <v>37362</v>
      </c>
      <c r="R1631" s="655">
        <v>0</v>
      </c>
      <c r="S1631" s="655">
        <v>20519</v>
      </c>
      <c r="T1631" s="655">
        <v>2226</v>
      </c>
      <c r="U1631" s="655">
        <v>193839</v>
      </c>
      <c r="V1631" s="655">
        <v>0</v>
      </c>
      <c r="W1631" s="655">
        <v>124407</v>
      </c>
      <c r="X1631" s="655">
        <v>0</v>
      </c>
      <c r="Y1631" s="655">
        <v>0</v>
      </c>
      <c r="Z1631" s="655">
        <v>0</v>
      </c>
      <c r="AA1631" s="655">
        <v>0</v>
      </c>
      <c r="AB1631" s="655">
        <v>0</v>
      </c>
      <c r="AC1631" s="655">
        <v>0</v>
      </c>
      <c r="AD1631" s="655">
        <v>44741</v>
      </c>
      <c r="AE1631" s="655">
        <v>5926596</v>
      </c>
      <c r="AF1631" s="655">
        <v>108752</v>
      </c>
      <c r="AG1631" s="655">
        <v>321459</v>
      </c>
      <c r="AH1631" s="655">
        <v>0</v>
      </c>
      <c r="AI1631" s="655">
        <v>0</v>
      </c>
      <c r="AJ1631" s="655">
        <v>109513.5</v>
      </c>
      <c r="AK1631" s="655">
        <v>6466320.5</v>
      </c>
      <c r="AL1631" s="655">
        <v>0</v>
      </c>
      <c r="AM1631" s="655">
        <v>6466320.5</v>
      </c>
    </row>
    <row r="1632" spans="1:39" x14ac:dyDescent="0.2">
      <c r="A1632" s="648">
        <v>2017</v>
      </c>
      <c r="B1632" s="648">
        <v>11</v>
      </c>
      <c r="C1632" s="657" t="s">
        <v>371</v>
      </c>
      <c r="D1632" s="648">
        <v>6615</v>
      </c>
      <c r="E1632" s="648" t="s">
        <v>1334</v>
      </c>
      <c r="F1632" s="655">
        <v>3993487</v>
      </c>
      <c r="G1632" s="655">
        <v>0</v>
      </c>
      <c r="H1632" s="655">
        <v>46236</v>
      </c>
      <c r="I1632" s="655">
        <v>358946</v>
      </c>
      <c r="J1632" s="655">
        <v>355100</v>
      </c>
      <c r="K1632" s="655">
        <v>36572</v>
      </c>
      <c r="L1632" s="655">
        <v>38414</v>
      </c>
      <c r="M1632" s="655">
        <v>193718</v>
      </c>
      <c r="N1632" s="655">
        <v>186010</v>
      </c>
      <c r="O1632" s="655">
        <v>0</v>
      </c>
      <c r="P1632" s="655">
        <v>33733</v>
      </c>
      <c r="Q1632" s="655">
        <v>37031</v>
      </c>
      <c r="R1632" s="655">
        <v>0</v>
      </c>
      <c r="S1632" s="655">
        <v>15327</v>
      </c>
      <c r="T1632" s="655">
        <v>1948</v>
      </c>
      <c r="U1632" s="655">
        <v>42523</v>
      </c>
      <c r="V1632" s="655">
        <v>0</v>
      </c>
      <c r="W1632" s="655">
        <v>103479</v>
      </c>
      <c r="X1632" s="655">
        <v>0</v>
      </c>
      <c r="Y1632" s="655">
        <v>0</v>
      </c>
      <c r="Z1632" s="655">
        <v>0</v>
      </c>
      <c r="AA1632" s="655">
        <v>0</v>
      </c>
      <c r="AB1632" s="655">
        <v>0</v>
      </c>
      <c r="AC1632" s="655">
        <v>0</v>
      </c>
      <c r="AD1632" s="655">
        <v>25968</v>
      </c>
      <c r="AE1632" s="655">
        <v>5416556</v>
      </c>
      <c r="AF1632" s="655">
        <v>0</v>
      </c>
      <c r="AG1632" s="655">
        <v>301948</v>
      </c>
      <c r="AH1632" s="655">
        <v>0</v>
      </c>
      <c r="AI1632" s="655">
        <v>0</v>
      </c>
      <c r="AJ1632" s="655">
        <v>1881135.0099999998</v>
      </c>
      <c r="AK1632" s="655">
        <v>7599639.0099999998</v>
      </c>
      <c r="AL1632" s="655">
        <v>0</v>
      </c>
      <c r="AM1632" s="655">
        <v>7599639.0099999998</v>
      </c>
    </row>
    <row r="1633" spans="1:39" x14ac:dyDescent="0.2">
      <c r="A1633" s="648">
        <v>2017</v>
      </c>
      <c r="B1633" s="648">
        <v>13</v>
      </c>
      <c r="C1633" s="657" t="s">
        <v>372</v>
      </c>
      <c r="D1633" s="648">
        <v>6651</v>
      </c>
      <c r="E1633" s="648" t="s">
        <v>1335</v>
      </c>
      <c r="F1633" s="655">
        <v>1997073</v>
      </c>
      <c r="G1633" s="655">
        <v>196952</v>
      </c>
      <c r="H1633" s="655">
        <v>182294</v>
      </c>
      <c r="I1633" s="655">
        <v>281765</v>
      </c>
      <c r="J1633" s="655">
        <v>191874</v>
      </c>
      <c r="K1633" s="655">
        <v>20581</v>
      </c>
      <c r="L1633" s="655">
        <v>23486</v>
      </c>
      <c r="M1633" s="655">
        <v>0</v>
      </c>
      <c r="N1633" s="655">
        <v>100178</v>
      </c>
      <c r="O1633" s="655">
        <v>12658</v>
      </c>
      <c r="P1633" s="655">
        <v>16341</v>
      </c>
      <c r="Q1633" s="655">
        <v>18071</v>
      </c>
      <c r="R1633" s="655">
        <v>0</v>
      </c>
      <c r="S1633" s="655">
        <v>11052</v>
      </c>
      <c r="T1633" s="655">
        <v>1174</v>
      </c>
      <c r="U1633" s="655">
        <v>72266</v>
      </c>
      <c r="V1633" s="655">
        <v>0</v>
      </c>
      <c r="W1633" s="655">
        <v>38821</v>
      </c>
      <c r="X1633" s="655">
        <v>0</v>
      </c>
      <c r="Y1633" s="655">
        <v>0</v>
      </c>
      <c r="Z1633" s="655">
        <v>0</v>
      </c>
      <c r="AA1633" s="655">
        <v>0</v>
      </c>
      <c r="AB1633" s="655">
        <v>0</v>
      </c>
      <c r="AC1633" s="655">
        <v>0</v>
      </c>
      <c r="AD1633" s="655">
        <v>24060</v>
      </c>
      <c r="AE1633" s="655">
        <v>3140526</v>
      </c>
      <c r="AF1633" s="655">
        <v>52728</v>
      </c>
      <c r="AG1633" s="655">
        <v>180722</v>
      </c>
      <c r="AH1633" s="655">
        <v>0</v>
      </c>
      <c r="AI1633" s="655">
        <v>0</v>
      </c>
      <c r="AJ1633" s="655">
        <v>359022.75</v>
      </c>
      <c r="AK1633" s="655">
        <v>3732998.75</v>
      </c>
      <c r="AL1633" s="655">
        <v>0</v>
      </c>
      <c r="AM1633" s="655">
        <v>3732998.75</v>
      </c>
    </row>
    <row r="1634" spans="1:39" x14ac:dyDescent="0.2">
      <c r="A1634" s="648">
        <v>2017</v>
      </c>
      <c r="B1634" s="648">
        <v>10</v>
      </c>
      <c r="C1634" s="657" t="s">
        <v>373</v>
      </c>
      <c r="D1634" s="648">
        <v>6660</v>
      </c>
      <c r="E1634" s="648" t="s">
        <v>652</v>
      </c>
      <c r="F1634" s="655">
        <v>10486281</v>
      </c>
      <c r="G1634" s="655">
        <v>0</v>
      </c>
      <c r="H1634" s="655">
        <v>120859</v>
      </c>
      <c r="I1634" s="655">
        <v>1438618</v>
      </c>
      <c r="J1634" s="655">
        <v>938276</v>
      </c>
      <c r="K1634" s="655">
        <v>105547</v>
      </c>
      <c r="L1634" s="655">
        <v>101681</v>
      </c>
      <c r="M1634" s="655">
        <v>508675</v>
      </c>
      <c r="N1634" s="655">
        <v>522481</v>
      </c>
      <c r="O1634" s="655">
        <v>14427</v>
      </c>
      <c r="P1634" s="655">
        <v>87458</v>
      </c>
      <c r="Q1634" s="655">
        <v>96087</v>
      </c>
      <c r="R1634" s="655">
        <v>0</v>
      </c>
      <c r="S1634" s="655">
        <v>48814</v>
      </c>
      <c r="T1634" s="655">
        <v>5681</v>
      </c>
      <c r="U1634" s="655">
        <v>307668</v>
      </c>
      <c r="V1634" s="655">
        <v>0</v>
      </c>
      <c r="W1634" s="655">
        <v>161955</v>
      </c>
      <c r="X1634" s="655">
        <v>0</v>
      </c>
      <c r="Y1634" s="655">
        <v>0</v>
      </c>
      <c r="Z1634" s="655">
        <v>0</v>
      </c>
      <c r="AA1634" s="655">
        <v>0</v>
      </c>
      <c r="AB1634" s="655">
        <v>0</v>
      </c>
      <c r="AC1634" s="655">
        <v>-193</v>
      </c>
      <c r="AD1634" s="655">
        <v>103110</v>
      </c>
      <c r="AE1634" s="655">
        <v>14841205</v>
      </c>
      <c r="AF1634" s="655">
        <v>217503</v>
      </c>
      <c r="AG1634" s="655">
        <v>770532</v>
      </c>
      <c r="AH1634" s="655">
        <v>0</v>
      </c>
      <c r="AI1634" s="655">
        <v>0</v>
      </c>
      <c r="AJ1634" s="655">
        <v>3893835.3900000006</v>
      </c>
      <c r="AK1634" s="655">
        <v>19723075.390000001</v>
      </c>
      <c r="AL1634" s="655">
        <v>0</v>
      </c>
      <c r="AM1634" s="655">
        <v>19723075.390000001</v>
      </c>
    </row>
    <row r="1635" spans="1:39" x14ac:dyDescent="0.2">
      <c r="A1635" s="648">
        <v>2017</v>
      </c>
      <c r="B1635" s="648">
        <v>15</v>
      </c>
      <c r="C1635" s="657" t="s">
        <v>374</v>
      </c>
      <c r="D1635" s="648">
        <v>6700</v>
      </c>
      <c r="E1635" s="648" t="s">
        <v>1336</v>
      </c>
      <c r="F1635" s="655">
        <v>3141277</v>
      </c>
      <c r="G1635" s="655">
        <v>69738</v>
      </c>
      <c r="H1635" s="655">
        <v>95413</v>
      </c>
      <c r="I1635" s="655">
        <v>433118</v>
      </c>
      <c r="J1635" s="655">
        <v>304068</v>
      </c>
      <c r="K1635" s="655">
        <v>32455</v>
      </c>
      <c r="L1635" s="655">
        <v>32533</v>
      </c>
      <c r="M1635" s="655">
        <v>0</v>
      </c>
      <c r="N1635" s="655">
        <v>152823</v>
      </c>
      <c r="O1635" s="655">
        <v>4994</v>
      </c>
      <c r="P1635" s="655">
        <v>25387</v>
      </c>
      <c r="Q1635" s="655">
        <v>27888</v>
      </c>
      <c r="R1635" s="655">
        <v>0</v>
      </c>
      <c r="S1635" s="655">
        <v>15774</v>
      </c>
      <c r="T1635" s="655">
        <v>1706</v>
      </c>
      <c r="U1635" s="655">
        <v>0</v>
      </c>
      <c r="V1635" s="655">
        <v>0</v>
      </c>
      <c r="W1635" s="655">
        <v>124977</v>
      </c>
      <c r="X1635" s="655">
        <v>0</v>
      </c>
      <c r="Y1635" s="655">
        <v>0</v>
      </c>
      <c r="Z1635" s="655">
        <v>0</v>
      </c>
      <c r="AA1635" s="655">
        <v>0</v>
      </c>
      <c r="AB1635" s="655">
        <v>0</v>
      </c>
      <c r="AC1635" s="655">
        <v>0</v>
      </c>
      <c r="AD1635" s="655">
        <v>30936</v>
      </c>
      <c r="AE1635" s="655">
        <v>4431215</v>
      </c>
      <c r="AF1635" s="655">
        <v>131820</v>
      </c>
      <c r="AG1635" s="655">
        <v>240505</v>
      </c>
      <c r="AH1635" s="655">
        <v>0</v>
      </c>
      <c r="AI1635" s="655">
        <v>0</v>
      </c>
      <c r="AJ1635" s="655">
        <v>398798</v>
      </c>
      <c r="AK1635" s="655">
        <v>5202338</v>
      </c>
      <c r="AL1635" s="655">
        <v>0</v>
      </c>
      <c r="AM1635" s="655">
        <v>5202338</v>
      </c>
    </row>
    <row r="1636" spans="1:39" x14ac:dyDescent="0.2">
      <c r="A1636" s="648">
        <v>2017</v>
      </c>
      <c r="B1636" s="648">
        <v>5</v>
      </c>
      <c r="C1636" s="657" t="s">
        <v>375</v>
      </c>
      <c r="D1636" s="648">
        <v>6741</v>
      </c>
      <c r="E1636" s="648" t="s">
        <v>1485</v>
      </c>
      <c r="F1636" s="655">
        <v>5940958</v>
      </c>
      <c r="G1636" s="655">
        <v>0</v>
      </c>
      <c r="H1636" s="655">
        <v>143868</v>
      </c>
      <c r="I1636" s="655">
        <v>598256</v>
      </c>
      <c r="J1636" s="655">
        <v>545949</v>
      </c>
      <c r="K1636" s="655">
        <v>57637</v>
      </c>
      <c r="L1636" s="655">
        <v>62531</v>
      </c>
      <c r="M1636" s="655">
        <v>0</v>
      </c>
      <c r="N1636" s="655">
        <v>296750</v>
      </c>
      <c r="O1636" s="655">
        <v>0</v>
      </c>
      <c r="P1636" s="655">
        <v>51457</v>
      </c>
      <c r="Q1636" s="655">
        <v>57771</v>
      </c>
      <c r="R1636" s="655">
        <v>866</v>
      </c>
      <c r="S1636" s="655">
        <v>31577</v>
      </c>
      <c r="T1636" s="655">
        <v>3763</v>
      </c>
      <c r="U1636" s="655">
        <v>284715</v>
      </c>
      <c r="V1636" s="655">
        <v>0</v>
      </c>
      <c r="W1636" s="655">
        <v>27882</v>
      </c>
      <c r="X1636" s="655">
        <v>0</v>
      </c>
      <c r="Y1636" s="655">
        <v>0</v>
      </c>
      <c r="Z1636" s="655">
        <v>0</v>
      </c>
      <c r="AA1636" s="655">
        <v>0</v>
      </c>
      <c r="AB1636" s="655">
        <v>0</v>
      </c>
      <c r="AC1636" s="655">
        <v>-1421</v>
      </c>
      <c r="AD1636" s="655">
        <v>60383</v>
      </c>
      <c r="AE1636" s="655">
        <v>8042176</v>
      </c>
      <c r="AF1636" s="655">
        <v>191139</v>
      </c>
      <c r="AG1636" s="655">
        <v>477297</v>
      </c>
      <c r="AH1636" s="655">
        <v>0</v>
      </c>
      <c r="AI1636" s="655">
        <v>0</v>
      </c>
      <c r="AJ1636" s="655">
        <v>2975068</v>
      </c>
      <c r="AK1636" s="655">
        <v>11685680</v>
      </c>
      <c r="AL1636" s="655">
        <v>0</v>
      </c>
      <c r="AM1636" s="655">
        <v>11685680</v>
      </c>
    </row>
    <row r="1637" spans="1:39" x14ac:dyDescent="0.2">
      <c r="A1637" s="648">
        <v>2017</v>
      </c>
      <c r="B1637" s="648">
        <v>15</v>
      </c>
      <c r="C1637" s="657" t="s">
        <v>376</v>
      </c>
      <c r="D1637" s="648">
        <v>6759</v>
      </c>
      <c r="E1637" s="648" t="s">
        <v>1337</v>
      </c>
      <c r="F1637" s="655">
        <v>4419475</v>
      </c>
      <c r="G1637" s="655">
        <v>16901</v>
      </c>
      <c r="H1637" s="655">
        <v>172791</v>
      </c>
      <c r="I1637" s="655">
        <v>687591</v>
      </c>
      <c r="J1637" s="655">
        <v>402824</v>
      </c>
      <c r="K1637" s="655">
        <v>41629</v>
      </c>
      <c r="L1637" s="655">
        <v>50215</v>
      </c>
      <c r="M1637" s="655">
        <v>213637</v>
      </c>
      <c r="N1637" s="655">
        <v>221687</v>
      </c>
      <c r="O1637" s="655">
        <v>7319</v>
      </c>
      <c r="P1637" s="655">
        <v>36005</v>
      </c>
      <c r="Q1637" s="655">
        <v>39552</v>
      </c>
      <c r="R1637" s="655">
        <v>0</v>
      </c>
      <c r="S1637" s="655">
        <v>22207</v>
      </c>
      <c r="T1637" s="655">
        <v>2409</v>
      </c>
      <c r="U1637" s="655">
        <v>108065</v>
      </c>
      <c r="V1637" s="655">
        <v>0</v>
      </c>
      <c r="W1637" s="655">
        <v>108534</v>
      </c>
      <c r="X1637" s="655">
        <v>0</v>
      </c>
      <c r="Y1637" s="655">
        <v>0</v>
      </c>
      <c r="Z1637" s="655">
        <v>0</v>
      </c>
      <c r="AA1637" s="655">
        <v>0</v>
      </c>
      <c r="AB1637" s="655">
        <v>0</v>
      </c>
      <c r="AC1637" s="655">
        <v>-2652</v>
      </c>
      <c r="AD1637" s="655">
        <v>40764</v>
      </c>
      <c r="AE1637" s="655">
        <v>6507425</v>
      </c>
      <c r="AF1637" s="655">
        <v>62615</v>
      </c>
      <c r="AG1637" s="655">
        <v>315693</v>
      </c>
      <c r="AH1637" s="655">
        <v>0</v>
      </c>
      <c r="AI1637" s="655">
        <v>0</v>
      </c>
      <c r="AJ1637" s="655">
        <v>135883</v>
      </c>
      <c r="AK1637" s="655">
        <v>7021616</v>
      </c>
      <c r="AL1637" s="655">
        <v>0</v>
      </c>
      <c r="AM1637" s="655">
        <v>7021616</v>
      </c>
    </row>
    <row r="1638" spans="1:39" x14ac:dyDescent="0.2">
      <c r="A1638" s="648">
        <v>2017</v>
      </c>
      <c r="B1638" s="648">
        <v>7</v>
      </c>
      <c r="C1638" s="657" t="s">
        <v>377</v>
      </c>
      <c r="D1638" s="648">
        <v>6762</v>
      </c>
      <c r="E1638" s="648" t="s">
        <v>1338</v>
      </c>
      <c r="F1638" s="655">
        <v>4578203</v>
      </c>
      <c r="G1638" s="655">
        <v>0</v>
      </c>
      <c r="H1638" s="655">
        <v>159115</v>
      </c>
      <c r="I1638" s="655">
        <v>347912</v>
      </c>
      <c r="J1638" s="655">
        <v>426724</v>
      </c>
      <c r="K1638" s="655">
        <v>43995</v>
      </c>
      <c r="L1638" s="655">
        <v>46286</v>
      </c>
      <c r="M1638" s="655">
        <v>0</v>
      </c>
      <c r="N1638" s="655">
        <v>217515</v>
      </c>
      <c r="O1638" s="655">
        <v>3466</v>
      </c>
      <c r="P1638" s="655">
        <v>40835</v>
      </c>
      <c r="Q1638" s="655">
        <v>45602</v>
      </c>
      <c r="R1638" s="655">
        <v>0</v>
      </c>
      <c r="S1638" s="655">
        <v>27581</v>
      </c>
      <c r="T1638" s="655">
        <v>3169</v>
      </c>
      <c r="U1638" s="655">
        <v>28658</v>
      </c>
      <c r="V1638" s="655">
        <v>0</v>
      </c>
      <c r="W1638" s="655">
        <v>142201</v>
      </c>
      <c r="X1638" s="655">
        <v>0</v>
      </c>
      <c r="Y1638" s="655">
        <v>0</v>
      </c>
      <c r="Z1638" s="655">
        <v>0</v>
      </c>
      <c r="AA1638" s="655">
        <v>0</v>
      </c>
      <c r="AB1638" s="655">
        <v>0</v>
      </c>
      <c r="AC1638" s="655">
        <v>0</v>
      </c>
      <c r="AD1638" s="655">
        <v>39094</v>
      </c>
      <c r="AE1638" s="655">
        <v>6072168</v>
      </c>
      <c r="AF1638" s="655">
        <v>148298</v>
      </c>
      <c r="AG1638" s="655">
        <v>331324</v>
      </c>
      <c r="AH1638" s="655">
        <v>0</v>
      </c>
      <c r="AI1638" s="655">
        <v>0</v>
      </c>
      <c r="AJ1638" s="655">
        <v>462518</v>
      </c>
      <c r="AK1638" s="655">
        <v>7014308</v>
      </c>
      <c r="AL1638" s="655">
        <v>0</v>
      </c>
      <c r="AM1638" s="655">
        <v>7014308</v>
      </c>
    </row>
    <row r="1639" spans="1:39" x14ac:dyDescent="0.2">
      <c r="A1639" s="648">
        <v>2017</v>
      </c>
      <c r="B1639" s="648">
        <v>10</v>
      </c>
      <c r="C1639" s="657" t="s">
        <v>378</v>
      </c>
      <c r="D1639" s="648">
        <v>6768</v>
      </c>
      <c r="E1639" s="648" t="s">
        <v>1339</v>
      </c>
      <c r="F1639" s="655">
        <v>11238314</v>
      </c>
      <c r="G1639" s="655">
        <v>203819</v>
      </c>
      <c r="H1639" s="655">
        <v>433556</v>
      </c>
      <c r="I1639" s="655">
        <v>1577819</v>
      </c>
      <c r="J1639" s="655">
        <v>980263</v>
      </c>
      <c r="K1639" s="655">
        <v>108490</v>
      </c>
      <c r="L1639" s="655">
        <v>120635</v>
      </c>
      <c r="M1639" s="655">
        <v>0</v>
      </c>
      <c r="N1639" s="655">
        <v>561530</v>
      </c>
      <c r="O1639" s="655">
        <v>19658</v>
      </c>
      <c r="P1639" s="655">
        <v>96085</v>
      </c>
      <c r="Q1639" s="655">
        <v>105566</v>
      </c>
      <c r="R1639" s="655">
        <v>0</v>
      </c>
      <c r="S1639" s="655">
        <v>53539</v>
      </c>
      <c r="T1639" s="655">
        <v>6222</v>
      </c>
      <c r="U1639" s="655">
        <v>257362</v>
      </c>
      <c r="V1639" s="655">
        <v>0</v>
      </c>
      <c r="W1639" s="655">
        <v>299890</v>
      </c>
      <c r="X1639" s="655">
        <v>0</v>
      </c>
      <c r="Y1639" s="655">
        <v>0</v>
      </c>
      <c r="Z1639" s="655">
        <v>0</v>
      </c>
      <c r="AA1639" s="655">
        <v>0</v>
      </c>
      <c r="AB1639" s="655">
        <v>0</v>
      </c>
      <c r="AC1639" s="655">
        <v>0</v>
      </c>
      <c r="AD1639" s="655">
        <v>94035</v>
      </c>
      <c r="AE1639" s="655">
        <v>15968713</v>
      </c>
      <c r="AF1639" s="655">
        <v>322959</v>
      </c>
      <c r="AG1639" s="655">
        <v>782070</v>
      </c>
      <c r="AH1639" s="655">
        <v>0</v>
      </c>
      <c r="AI1639" s="655">
        <v>0</v>
      </c>
      <c r="AJ1639" s="655">
        <v>2437453.8500000015</v>
      </c>
      <c r="AK1639" s="655">
        <v>19511195.850000001</v>
      </c>
      <c r="AL1639" s="655">
        <v>0</v>
      </c>
      <c r="AM1639" s="655">
        <v>19511195.850000001</v>
      </c>
    </row>
    <row r="1640" spans="1:39" x14ac:dyDescent="0.2">
      <c r="A1640" s="648">
        <v>2017</v>
      </c>
      <c r="B1640" s="648">
        <v>7</v>
      </c>
      <c r="C1640" s="657" t="s">
        <v>379</v>
      </c>
      <c r="D1640" s="648">
        <v>6795</v>
      </c>
      <c r="E1640" s="648" t="s">
        <v>1340</v>
      </c>
      <c r="F1640" s="655">
        <v>72077199</v>
      </c>
      <c r="G1640" s="655">
        <v>412866</v>
      </c>
      <c r="H1640" s="655">
        <v>1626652</v>
      </c>
      <c r="I1640" s="655">
        <v>14195432</v>
      </c>
      <c r="J1640" s="655">
        <v>6103324</v>
      </c>
      <c r="K1640" s="655">
        <v>664234</v>
      </c>
      <c r="L1640" s="655">
        <v>851126</v>
      </c>
      <c r="M1640" s="655">
        <v>3496362</v>
      </c>
      <c r="N1640" s="655">
        <v>3835997</v>
      </c>
      <c r="O1640" s="655">
        <v>0</v>
      </c>
      <c r="P1640" s="655">
        <v>663179</v>
      </c>
      <c r="Q1640" s="655">
        <v>740588</v>
      </c>
      <c r="R1640" s="655">
        <v>0</v>
      </c>
      <c r="S1640" s="655">
        <v>488431</v>
      </c>
      <c r="T1640" s="655">
        <v>56054</v>
      </c>
      <c r="U1640" s="655">
        <v>3524576</v>
      </c>
      <c r="V1640" s="655">
        <v>0</v>
      </c>
      <c r="W1640" s="655">
        <v>704788</v>
      </c>
      <c r="X1640" s="655">
        <v>0</v>
      </c>
      <c r="Y1640" s="655">
        <v>0</v>
      </c>
      <c r="Z1640" s="655">
        <v>0</v>
      </c>
      <c r="AA1640" s="655">
        <v>0</v>
      </c>
      <c r="AB1640" s="655">
        <v>0</v>
      </c>
      <c r="AC1640" s="655">
        <v>-3094</v>
      </c>
      <c r="AD1640" s="655">
        <v>631882</v>
      </c>
      <c r="AE1640" s="655">
        <v>108805832</v>
      </c>
      <c r="AF1640" s="655">
        <v>1680705</v>
      </c>
      <c r="AG1640" s="655">
        <v>4845236</v>
      </c>
      <c r="AH1640" s="655">
        <v>0</v>
      </c>
      <c r="AI1640" s="655">
        <v>0</v>
      </c>
      <c r="AJ1640" s="655">
        <v>13221508</v>
      </c>
      <c r="AK1640" s="655">
        <v>128553281</v>
      </c>
      <c r="AL1640" s="655">
        <v>0</v>
      </c>
      <c r="AM1640" s="655">
        <v>128553281</v>
      </c>
    </row>
    <row r="1641" spans="1:39" x14ac:dyDescent="0.2">
      <c r="A1641" s="648">
        <v>2017</v>
      </c>
      <c r="B1641" s="648">
        <v>11</v>
      </c>
      <c r="C1641" s="657" t="s">
        <v>380</v>
      </c>
      <c r="D1641" s="648">
        <v>6822</v>
      </c>
      <c r="E1641" s="648" t="s">
        <v>1341</v>
      </c>
      <c r="F1641" s="655">
        <v>62274404</v>
      </c>
      <c r="G1641" s="655">
        <v>0</v>
      </c>
      <c r="H1641" s="655">
        <v>1132031</v>
      </c>
      <c r="I1641" s="655">
        <v>4131437</v>
      </c>
      <c r="J1641" s="655">
        <v>4721554</v>
      </c>
      <c r="K1641" s="655">
        <v>486971</v>
      </c>
      <c r="L1641" s="655">
        <v>625957</v>
      </c>
      <c r="M1641" s="655">
        <v>3020842</v>
      </c>
      <c r="N1641" s="655">
        <v>2837991</v>
      </c>
      <c r="O1641" s="655">
        <v>0</v>
      </c>
      <c r="P1641" s="655">
        <v>558014</v>
      </c>
      <c r="Q1641" s="655">
        <v>612570</v>
      </c>
      <c r="R1641" s="655">
        <v>0</v>
      </c>
      <c r="S1641" s="655">
        <v>233846</v>
      </c>
      <c r="T1641" s="655">
        <v>29722</v>
      </c>
      <c r="U1641" s="655">
        <v>1638460</v>
      </c>
      <c r="V1641" s="655">
        <v>0</v>
      </c>
      <c r="W1641" s="655">
        <v>3887239</v>
      </c>
      <c r="X1641" s="655">
        <v>0</v>
      </c>
      <c r="Y1641" s="655">
        <v>0</v>
      </c>
      <c r="Z1641" s="655">
        <v>0</v>
      </c>
      <c r="AA1641" s="655">
        <v>0</v>
      </c>
      <c r="AB1641" s="655">
        <v>0</v>
      </c>
      <c r="AC1641" s="655">
        <v>-1418</v>
      </c>
      <c r="AD1641" s="655">
        <v>135442</v>
      </c>
      <c r="AE1641" s="655">
        <v>86054178</v>
      </c>
      <c r="AF1641" s="655">
        <v>0</v>
      </c>
      <c r="AG1641" s="655">
        <v>4754650</v>
      </c>
      <c r="AH1641" s="655">
        <v>0</v>
      </c>
      <c r="AI1641" s="655">
        <v>0</v>
      </c>
      <c r="AJ1641" s="655">
        <v>38486534.739999995</v>
      </c>
      <c r="AK1641" s="655">
        <v>129295362.73999999</v>
      </c>
      <c r="AL1641" s="655">
        <v>0</v>
      </c>
      <c r="AM1641" s="655">
        <v>129295362.73999999</v>
      </c>
    </row>
    <row r="1642" spans="1:39" x14ac:dyDescent="0.2">
      <c r="A1642" s="648">
        <v>2017</v>
      </c>
      <c r="B1642" s="648">
        <v>7</v>
      </c>
      <c r="C1642" s="657" t="s">
        <v>381</v>
      </c>
      <c r="D1642" s="648">
        <v>6840</v>
      </c>
      <c r="E1642" s="648" t="s">
        <v>1342</v>
      </c>
      <c r="F1642" s="655">
        <v>13154977</v>
      </c>
      <c r="G1642" s="655">
        <v>28053</v>
      </c>
      <c r="H1642" s="655">
        <v>135841</v>
      </c>
      <c r="I1642" s="655">
        <v>1542953</v>
      </c>
      <c r="J1642" s="655">
        <v>1216441</v>
      </c>
      <c r="K1642" s="655">
        <v>135023</v>
      </c>
      <c r="L1642" s="655">
        <v>113926</v>
      </c>
      <c r="M1642" s="655">
        <v>638129</v>
      </c>
      <c r="N1642" s="655">
        <v>653524</v>
      </c>
      <c r="O1642" s="655">
        <v>0</v>
      </c>
      <c r="P1642" s="655">
        <v>113883</v>
      </c>
      <c r="Q1642" s="655">
        <v>127176</v>
      </c>
      <c r="R1642" s="655">
        <v>0</v>
      </c>
      <c r="S1642" s="655">
        <v>82892</v>
      </c>
      <c r="T1642" s="655">
        <v>9522</v>
      </c>
      <c r="U1642" s="655">
        <v>321639</v>
      </c>
      <c r="V1642" s="655">
        <v>0</v>
      </c>
      <c r="W1642" s="655">
        <v>194434</v>
      </c>
      <c r="X1642" s="655">
        <v>0</v>
      </c>
      <c r="Y1642" s="655">
        <v>0</v>
      </c>
      <c r="Z1642" s="655">
        <v>0</v>
      </c>
      <c r="AA1642" s="655">
        <v>0</v>
      </c>
      <c r="AB1642" s="655">
        <v>0</v>
      </c>
      <c r="AC1642" s="655">
        <v>0</v>
      </c>
      <c r="AD1642" s="655">
        <v>103265</v>
      </c>
      <c r="AE1642" s="655">
        <v>18365148</v>
      </c>
      <c r="AF1642" s="655">
        <v>286709</v>
      </c>
      <c r="AG1642" s="655">
        <v>1002306</v>
      </c>
      <c r="AH1642" s="655">
        <v>0</v>
      </c>
      <c r="AI1642" s="655">
        <v>0</v>
      </c>
      <c r="AJ1642" s="655">
        <v>4692152.0199999996</v>
      </c>
      <c r="AK1642" s="655">
        <v>24346315.02</v>
      </c>
      <c r="AL1642" s="655">
        <v>0</v>
      </c>
      <c r="AM1642" s="655">
        <v>24346315.02</v>
      </c>
    </row>
    <row r="1643" spans="1:39" x14ac:dyDescent="0.2">
      <c r="A1643" s="648">
        <v>2017</v>
      </c>
      <c r="B1643" s="648">
        <v>15</v>
      </c>
      <c r="C1643" s="657" t="s">
        <v>382</v>
      </c>
      <c r="D1643" s="648">
        <v>6854</v>
      </c>
      <c r="E1643" s="648" t="s">
        <v>1343</v>
      </c>
      <c r="F1643" s="655">
        <v>3629763</v>
      </c>
      <c r="G1643" s="655">
        <v>0</v>
      </c>
      <c r="H1643" s="655">
        <v>31311</v>
      </c>
      <c r="I1643" s="655">
        <v>364696</v>
      </c>
      <c r="J1643" s="655">
        <v>368020</v>
      </c>
      <c r="K1643" s="655">
        <v>40984</v>
      </c>
      <c r="L1643" s="655">
        <v>41083</v>
      </c>
      <c r="M1643" s="655">
        <v>175462</v>
      </c>
      <c r="N1643" s="655">
        <v>173391</v>
      </c>
      <c r="O1643" s="655">
        <v>13861</v>
      </c>
      <c r="P1643" s="655">
        <v>29591</v>
      </c>
      <c r="Q1643" s="655">
        <v>32506</v>
      </c>
      <c r="R1643" s="655">
        <v>0</v>
      </c>
      <c r="S1643" s="655">
        <v>17369</v>
      </c>
      <c r="T1643" s="655">
        <v>1884</v>
      </c>
      <c r="U1643" s="655">
        <v>177509</v>
      </c>
      <c r="V1643" s="655">
        <v>0</v>
      </c>
      <c r="W1643" s="655">
        <v>161513</v>
      </c>
      <c r="X1643" s="655">
        <v>0</v>
      </c>
      <c r="Y1643" s="655">
        <v>0</v>
      </c>
      <c r="Z1643" s="655">
        <v>0</v>
      </c>
      <c r="AA1643" s="655">
        <v>0</v>
      </c>
      <c r="AB1643" s="655">
        <v>0</v>
      </c>
      <c r="AC1643" s="655">
        <v>0</v>
      </c>
      <c r="AD1643" s="655">
        <v>40863</v>
      </c>
      <c r="AE1643" s="655">
        <v>5218080</v>
      </c>
      <c r="AF1643" s="655">
        <v>112047</v>
      </c>
      <c r="AG1643" s="655">
        <v>282903</v>
      </c>
      <c r="AH1643" s="655">
        <v>0</v>
      </c>
      <c r="AI1643" s="655">
        <v>0</v>
      </c>
      <c r="AJ1643" s="655">
        <v>2795548.4299999997</v>
      </c>
      <c r="AK1643" s="655">
        <v>8408578.4299999997</v>
      </c>
      <c r="AL1643" s="655">
        <v>0</v>
      </c>
      <c r="AM1643" s="655">
        <v>8408578.4299999997</v>
      </c>
    </row>
    <row r="1644" spans="1:39" x14ac:dyDescent="0.2">
      <c r="A1644" s="648">
        <v>2017</v>
      </c>
      <c r="B1644" s="648">
        <v>5</v>
      </c>
      <c r="C1644" s="657" t="s">
        <v>383</v>
      </c>
      <c r="D1644" s="648">
        <v>6867</v>
      </c>
      <c r="E1644" s="648" t="s">
        <v>1344</v>
      </c>
      <c r="F1644" s="655">
        <v>10078957</v>
      </c>
      <c r="G1644" s="655">
        <v>0</v>
      </c>
      <c r="H1644" s="655">
        <v>419939</v>
      </c>
      <c r="I1644" s="655">
        <v>1338368</v>
      </c>
      <c r="J1644" s="655">
        <v>880238</v>
      </c>
      <c r="K1644" s="655">
        <v>97410</v>
      </c>
      <c r="L1644" s="655">
        <v>110332</v>
      </c>
      <c r="M1644" s="655">
        <v>0</v>
      </c>
      <c r="N1644" s="655">
        <v>519141</v>
      </c>
      <c r="O1644" s="655">
        <v>0</v>
      </c>
      <c r="P1644" s="655">
        <v>87771</v>
      </c>
      <c r="Q1644" s="655">
        <v>98540</v>
      </c>
      <c r="R1644" s="655">
        <v>1516</v>
      </c>
      <c r="S1644" s="655">
        <v>55242</v>
      </c>
      <c r="T1644" s="655">
        <v>6583</v>
      </c>
      <c r="U1644" s="655">
        <v>492861</v>
      </c>
      <c r="V1644" s="655">
        <v>0</v>
      </c>
      <c r="W1644" s="655">
        <v>157921</v>
      </c>
      <c r="X1644" s="655">
        <v>0</v>
      </c>
      <c r="Y1644" s="655">
        <v>0</v>
      </c>
      <c r="Z1644" s="655">
        <v>0</v>
      </c>
      <c r="AA1644" s="655">
        <v>0</v>
      </c>
      <c r="AB1644" s="655">
        <v>0</v>
      </c>
      <c r="AC1644" s="655">
        <v>-1418</v>
      </c>
      <c r="AD1644" s="655">
        <v>92585</v>
      </c>
      <c r="AE1644" s="655">
        <v>14250816</v>
      </c>
      <c r="AF1644" s="655">
        <v>336141</v>
      </c>
      <c r="AG1644" s="655">
        <v>711171</v>
      </c>
      <c r="AH1644" s="655">
        <v>0</v>
      </c>
      <c r="AI1644" s="655">
        <v>0</v>
      </c>
      <c r="AJ1644" s="655">
        <v>2793845.16</v>
      </c>
      <c r="AK1644" s="655">
        <v>18091973.16</v>
      </c>
      <c r="AL1644" s="655">
        <v>0</v>
      </c>
      <c r="AM1644" s="655">
        <v>18091973.16</v>
      </c>
    </row>
    <row r="1645" spans="1:39" x14ac:dyDescent="0.2">
      <c r="A1645" s="648">
        <v>2017</v>
      </c>
      <c r="B1645" s="648">
        <v>5</v>
      </c>
      <c r="C1645" s="657" t="s">
        <v>384</v>
      </c>
      <c r="D1645" s="648">
        <v>6921</v>
      </c>
      <c r="E1645" s="648" t="s">
        <v>653</v>
      </c>
      <c r="F1645" s="655">
        <v>2133067</v>
      </c>
      <c r="G1645" s="655">
        <v>150850</v>
      </c>
      <c r="H1645" s="655">
        <v>128283</v>
      </c>
      <c r="I1645" s="655">
        <v>367026</v>
      </c>
      <c r="J1645" s="655">
        <v>220635</v>
      </c>
      <c r="K1645" s="655">
        <v>23393</v>
      </c>
      <c r="L1645" s="655">
        <v>20421</v>
      </c>
      <c r="M1645" s="655">
        <v>0</v>
      </c>
      <c r="N1645" s="655">
        <v>112788</v>
      </c>
      <c r="O1645" s="655">
        <v>3191</v>
      </c>
      <c r="P1645" s="655">
        <v>17695</v>
      </c>
      <c r="Q1645" s="655">
        <v>19866</v>
      </c>
      <c r="R1645" s="655">
        <v>330</v>
      </c>
      <c r="S1645" s="655">
        <v>12352</v>
      </c>
      <c r="T1645" s="655">
        <v>1471</v>
      </c>
      <c r="U1645" s="655">
        <v>43719</v>
      </c>
      <c r="V1645" s="655">
        <v>0</v>
      </c>
      <c r="W1645" s="655">
        <v>39537</v>
      </c>
      <c r="X1645" s="655">
        <v>0</v>
      </c>
      <c r="Y1645" s="655">
        <v>0</v>
      </c>
      <c r="Z1645" s="655">
        <v>0</v>
      </c>
      <c r="AA1645" s="655">
        <v>0</v>
      </c>
      <c r="AB1645" s="655">
        <v>0</v>
      </c>
      <c r="AC1645" s="655">
        <v>-6498</v>
      </c>
      <c r="AD1645" s="655">
        <v>22844</v>
      </c>
      <c r="AE1645" s="655">
        <v>3265282</v>
      </c>
      <c r="AF1645" s="655">
        <v>49433</v>
      </c>
      <c r="AG1645" s="655">
        <v>199089</v>
      </c>
      <c r="AH1645" s="655">
        <v>0</v>
      </c>
      <c r="AI1645" s="655">
        <v>0</v>
      </c>
      <c r="AJ1645" s="655">
        <v>1376280.9900000002</v>
      </c>
      <c r="AK1645" s="655">
        <v>4890084.99</v>
      </c>
      <c r="AL1645" s="655">
        <v>0</v>
      </c>
      <c r="AM1645" s="655">
        <v>4890084.99</v>
      </c>
    </row>
    <row r="1646" spans="1:39" x14ac:dyDescent="0.2">
      <c r="A1646" s="648">
        <v>2017</v>
      </c>
      <c r="B1646" s="648">
        <v>10</v>
      </c>
      <c r="C1646" s="657" t="s">
        <v>385</v>
      </c>
      <c r="D1646" s="648">
        <v>6930</v>
      </c>
      <c r="E1646" s="648" t="s">
        <v>1345</v>
      </c>
      <c r="F1646" s="655">
        <v>5093749</v>
      </c>
      <c r="G1646" s="655">
        <v>150289</v>
      </c>
      <c r="H1646" s="655">
        <v>101862</v>
      </c>
      <c r="I1646" s="655">
        <v>592560</v>
      </c>
      <c r="J1646" s="655">
        <v>441338</v>
      </c>
      <c r="K1646" s="655">
        <v>46671</v>
      </c>
      <c r="L1646" s="655">
        <v>47497</v>
      </c>
      <c r="M1646" s="655">
        <v>250613</v>
      </c>
      <c r="N1646" s="655">
        <v>247938</v>
      </c>
      <c r="O1646" s="655">
        <v>4320</v>
      </c>
      <c r="P1646" s="655">
        <v>42112</v>
      </c>
      <c r="Q1646" s="655">
        <v>46266</v>
      </c>
      <c r="R1646" s="655">
        <v>0</v>
      </c>
      <c r="S1646" s="655">
        <v>23223</v>
      </c>
      <c r="T1646" s="655">
        <v>2699</v>
      </c>
      <c r="U1646" s="655">
        <v>195573</v>
      </c>
      <c r="V1646" s="655">
        <v>0</v>
      </c>
      <c r="W1646" s="655">
        <v>73536</v>
      </c>
      <c r="X1646" s="655">
        <v>0</v>
      </c>
      <c r="Y1646" s="655">
        <v>0</v>
      </c>
      <c r="Z1646" s="655">
        <v>0</v>
      </c>
      <c r="AA1646" s="655">
        <v>0</v>
      </c>
      <c r="AB1646" s="655">
        <v>0</v>
      </c>
      <c r="AC1646" s="655">
        <v>-7126</v>
      </c>
      <c r="AD1646" s="655">
        <v>40877</v>
      </c>
      <c r="AE1646" s="655">
        <v>7312243</v>
      </c>
      <c r="AF1646" s="655">
        <v>171366</v>
      </c>
      <c r="AG1646" s="655">
        <v>430011</v>
      </c>
      <c r="AH1646" s="655">
        <v>0</v>
      </c>
      <c r="AI1646" s="655">
        <v>0</v>
      </c>
      <c r="AJ1646" s="655">
        <v>1348188.5300000012</v>
      </c>
      <c r="AK1646" s="655">
        <v>9261808.5300000012</v>
      </c>
      <c r="AL1646" s="655">
        <v>0</v>
      </c>
      <c r="AM1646" s="655">
        <v>9261808.5300000012</v>
      </c>
    </row>
    <row r="1647" spans="1:39" x14ac:dyDescent="0.2">
      <c r="A1647" s="648">
        <v>2017</v>
      </c>
      <c r="B1647" s="648">
        <v>15</v>
      </c>
      <c r="C1647" s="657" t="s">
        <v>386</v>
      </c>
      <c r="D1647" s="648">
        <v>6937</v>
      </c>
      <c r="E1647" s="648" t="s">
        <v>1346</v>
      </c>
      <c r="F1647" s="655">
        <v>3112929</v>
      </c>
      <c r="G1647" s="655">
        <v>0</v>
      </c>
      <c r="H1647" s="655">
        <v>41464</v>
      </c>
      <c r="I1647" s="655">
        <v>328957</v>
      </c>
      <c r="J1647" s="655">
        <v>329283</v>
      </c>
      <c r="K1647" s="655">
        <v>42535</v>
      </c>
      <c r="L1647" s="655">
        <v>53885</v>
      </c>
      <c r="M1647" s="655">
        <v>0</v>
      </c>
      <c r="N1647" s="655">
        <v>149926</v>
      </c>
      <c r="O1647" s="655">
        <v>0</v>
      </c>
      <c r="P1647" s="655">
        <v>25872</v>
      </c>
      <c r="Q1647" s="655">
        <v>28421</v>
      </c>
      <c r="R1647" s="655">
        <v>0</v>
      </c>
      <c r="S1647" s="655">
        <v>15019</v>
      </c>
      <c r="T1647" s="655">
        <v>1629</v>
      </c>
      <c r="U1647" s="655">
        <v>152222</v>
      </c>
      <c r="V1647" s="655">
        <v>0</v>
      </c>
      <c r="W1647" s="655">
        <v>59947</v>
      </c>
      <c r="X1647" s="655">
        <v>0</v>
      </c>
      <c r="Y1647" s="655">
        <v>0</v>
      </c>
      <c r="Z1647" s="655">
        <v>0</v>
      </c>
      <c r="AA1647" s="655">
        <v>0</v>
      </c>
      <c r="AB1647" s="655">
        <v>0</v>
      </c>
      <c r="AC1647" s="655">
        <v>-32230</v>
      </c>
      <c r="AD1647" s="655">
        <v>25633</v>
      </c>
      <c r="AE1647" s="655">
        <v>4284226</v>
      </c>
      <c r="AF1647" s="655">
        <v>115343</v>
      </c>
      <c r="AG1647" s="655">
        <v>232847</v>
      </c>
      <c r="AH1647" s="655">
        <v>0</v>
      </c>
      <c r="AI1647" s="655">
        <v>0</v>
      </c>
      <c r="AJ1647" s="655">
        <v>1796991.25</v>
      </c>
      <c r="AK1647" s="655">
        <v>6429407.25</v>
      </c>
      <c r="AL1647" s="655">
        <v>0</v>
      </c>
      <c r="AM1647" s="655">
        <v>6429407.25</v>
      </c>
    </row>
    <row r="1648" spans="1:39" x14ac:dyDescent="0.2">
      <c r="A1648" s="648">
        <v>2017</v>
      </c>
      <c r="B1648" s="648">
        <v>1</v>
      </c>
      <c r="C1648" s="657" t="s">
        <v>387</v>
      </c>
      <c r="D1648" s="648">
        <v>6943</v>
      </c>
      <c r="E1648" s="648" t="s">
        <v>1347</v>
      </c>
      <c r="F1648" s="655">
        <v>1827025</v>
      </c>
      <c r="G1648" s="655">
        <v>0</v>
      </c>
      <c r="H1648" s="655">
        <v>179051</v>
      </c>
      <c r="I1648" s="655">
        <v>192919</v>
      </c>
      <c r="J1648" s="655">
        <v>168845</v>
      </c>
      <c r="K1648" s="655">
        <v>17583</v>
      </c>
      <c r="L1648" s="655">
        <v>16144</v>
      </c>
      <c r="M1648" s="655">
        <v>0</v>
      </c>
      <c r="N1648" s="655">
        <v>93148</v>
      </c>
      <c r="O1648" s="655">
        <v>5112</v>
      </c>
      <c r="P1648" s="655">
        <v>15122</v>
      </c>
      <c r="Q1648" s="655">
        <v>16871</v>
      </c>
      <c r="R1648" s="655">
        <v>0</v>
      </c>
      <c r="S1648" s="655">
        <v>9173</v>
      </c>
      <c r="T1648" s="655">
        <v>984</v>
      </c>
      <c r="U1648" s="655">
        <v>89342</v>
      </c>
      <c r="V1648" s="655">
        <v>0</v>
      </c>
      <c r="W1648" s="655">
        <v>58014</v>
      </c>
      <c r="X1648" s="655">
        <v>0</v>
      </c>
      <c r="Y1648" s="655">
        <v>0</v>
      </c>
      <c r="Z1648" s="655">
        <v>0</v>
      </c>
      <c r="AA1648" s="655">
        <v>0</v>
      </c>
      <c r="AB1648" s="655">
        <v>0</v>
      </c>
      <c r="AC1648" s="655">
        <v>0</v>
      </c>
      <c r="AD1648" s="655">
        <v>19662</v>
      </c>
      <c r="AE1648" s="655">
        <v>2669671</v>
      </c>
      <c r="AF1648" s="655">
        <v>42842</v>
      </c>
      <c r="AG1648" s="655">
        <v>154457</v>
      </c>
      <c r="AH1648" s="655">
        <v>0</v>
      </c>
      <c r="AI1648" s="655">
        <v>0</v>
      </c>
      <c r="AJ1648" s="655">
        <v>437081.64000000013</v>
      </c>
      <c r="AK1648" s="655">
        <v>3304051.64</v>
      </c>
      <c r="AL1648" s="655">
        <v>0</v>
      </c>
      <c r="AM1648" s="655">
        <v>3304051.64</v>
      </c>
    </row>
    <row r="1649" spans="1:39" x14ac:dyDescent="0.2">
      <c r="A1649" s="648">
        <v>2017</v>
      </c>
      <c r="B1649" s="648">
        <v>1</v>
      </c>
      <c r="C1649" s="657" t="s">
        <v>388</v>
      </c>
      <c r="D1649" s="648">
        <v>6950</v>
      </c>
      <c r="E1649" s="648" t="s">
        <v>1348</v>
      </c>
      <c r="F1649" s="655">
        <v>9924629</v>
      </c>
      <c r="G1649" s="655">
        <v>0</v>
      </c>
      <c r="H1649" s="655">
        <v>220299</v>
      </c>
      <c r="I1649" s="655">
        <v>1137135</v>
      </c>
      <c r="J1649" s="655">
        <v>855228</v>
      </c>
      <c r="K1649" s="655">
        <v>94806</v>
      </c>
      <c r="L1649" s="655">
        <v>92865</v>
      </c>
      <c r="M1649" s="655">
        <v>481211</v>
      </c>
      <c r="N1649" s="655">
        <v>509875</v>
      </c>
      <c r="O1649" s="655">
        <v>0</v>
      </c>
      <c r="P1649" s="655">
        <v>88834</v>
      </c>
      <c r="Q1649" s="655">
        <v>99110</v>
      </c>
      <c r="R1649" s="655">
        <v>0</v>
      </c>
      <c r="S1649" s="655">
        <v>50209</v>
      </c>
      <c r="T1649" s="655">
        <v>5385</v>
      </c>
      <c r="U1649" s="655">
        <v>288981</v>
      </c>
      <c r="V1649" s="655">
        <v>0</v>
      </c>
      <c r="W1649" s="655">
        <v>153093</v>
      </c>
      <c r="X1649" s="655">
        <v>0</v>
      </c>
      <c r="Y1649" s="655">
        <v>0</v>
      </c>
      <c r="Z1649" s="655">
        <v>0</v>
      </c>
      <c r="AA1649" s="655">
        <v>0</v>
      </c>
      <c r="AB1649" s="655">
        <v>0</v>
      </c>
      <c r="AC1649" s="655">
        <v>0</v>
      </c>
      <c r="AD1649" s="655">
        <v>105454</v>
      </c>
      <c r="AE1649" s="655">
        <v>13896206</v>
      </c>
      <c r="AF1649" s="655">
        <v>174662</v>
      </c>
      <c r="AG1649" s="655">
        <v>768365</v>
      </c>
      <c r="AH1649" s="655">
        <v>0</v>
      </c>
      <c r="AI1649" s="655">
        <v>0</v>
      </c>
      <c r="AJ1649" s="655">
        <v>2908448.2199999988</v>
      </c>
      <c r="AK1649" s="655">
        <v>17747681.219999999</v>
      </c>
      <c r="AL1649" s="655">
        <v>0</v>
      </c>
      <c r="AM1649" s="655">
        <v>17747681.219999999</v>
      </c>
    </row>
    <row r="1650" spans="1:39" x14ac:dyDescent="0.2">
      <c r="A1650" s="648">
        <v>2017</v>
      </c>
      <c r="B1650" s="648">
        <v>11</v>
      </c>
      <c r="C1650" s="657" t="s">
        <v>389</v>
      </c>
      <c r="D1650" s="648">
        <v>6957</v>
      </c>
      <c r="E1650" s="648" t="s">
        <v>1349</v>
      </c>
      <c r="F1650" s="655">
        <v>59401388</v>
      </c>
      <c r="G1650" s="655">
        <v>143931</v>
      </c>
      <c r="H1650" s="655">
        <v>2020445</v>
      </c>
      <c r="I1650" s="655">
        <v>6244182</v>
      </c>
      <c r="J1650" s="655">
        <v>4879007</v>
      </c>
      <c r="K1650" s="655">
        <v>556071</v>
      </c>
      <c r="L1650" s="655">
        <v>542553</v>
      </c>
      <c r="M1650" s="655">
        <v>2881477</v>
      </c>
      <c r="N1650" s="655">
        <v>2805499</v>
      </c>
      <c r="O1650" s="655">
        <v>0</v>
      </c>
      <c r="P1650" s="655">
        <v>574207</v>
      </c>
      <c r="Q1650" s="655">
        <v>630347</v>
      </c>
      <c r="R1650" s="655">
        <v>0</v>
      </c>
      <c r="S1650" s="655">
        <v>231169</v>
      </c>
      <c r="T1650" s="655">
        <v>29382</v>
      </c>
      <c r="U1650" s="655">
        <v>2904729</v>
      </c>
      <c r="V1650" s="655">
        <v>0</v>
      </c>
      <c r="W1650" s="655">
        <v>1133308</v>
      </c>
      <c r="X1650" s="655">
        <v>0</v>
      </c>
      <c r="Y1650" s="655">
        <v>0</v>
      </c>
      <c r="Z1650" s="655">
        <v>0</v>
      </c>
      <c r="AA1650" s="655">
        <v>0</v>
      </c>
      <c r="AB1650" s="655">
        <v>0</v>
      </c>
      <c r="AC1650" s="655">
        <v>791</v>
      </c>
      <c r="AD1650" s="655">
        <v>455804</v>
      </c>
      <c r="AE1650" s="655">
        <v>84522682</v>
      </c>
      <c r="AF1650" s="655">
        <v>1100770</v>
      </c>
      <c r="AG1650" s="655">
        <v>4963102</v>
      </c>
      <c r="AH1650" s="655">
        <v>0</v>
      </c>
      <c r="AI1650" s="655">
        <v>0</v>
      </c>
      <c r="AJ1650" s="655">
        <v>24116772.719999999</v>
      </c>
      <c r="AK1650" s="655">
        <v>114703326.72</v>
      </c>
      <c r="AL1650" s="655">
        <v>0</v>
      </c>
      <c r="AM1650" s="655">
        <v>114703326.72</v>
      </c>
    </row>
    <row r="1651" spans="1:39" x14ac:dyDescent="0.2">
      <c r="A1651" s="648">
        <v>2017</v>
      </c>
      <c r="B1651" s="648">
        <v>1</v>
      </c>
      <c r="C1651" s="657" t="s">
        <v>390</v>
      </c>
      <c r="D1651" s="648">
        <v>6961</v>
      </c>
      <c r="E1651" s="648" t="s">
        <v>1350</v>
      </c>
      <c r="F1651" s="655">
        <v>20274952</v>
      </c>
      <c r="G1651" s="655">
        <v>0</v>
      </c>
      <c r="H1651" s="655">
        <v>351540</v>
      </c>
      <c r="I1651" s="655">
        <v>2407979</v>
      </c>
      <c r="J1651" s="655">
        <v>1718398</v>
      </c>
      <c r="K1651" s="655">
        <v>190852</v>
      </c>
      <c r="L1651" s="655">
        <v>196435</v>
      </c>
      <c r="M1651" s="655">
        <v>975370</v>
      </c>
      <c r="N1651" s="655">
        <v>1037353</v>
      </c>
      <c r="O1651" s="655">
        <v>0</v>
      </c>
      <c r="P1651" s="655">
        <v>238697</v>
      </c>
      <c r="Q1651" s="655">
        <v>266310</v>
      </c>
      <c r="R1651" s="655">
        <v>0</v>
      </c>
      <c r="S1651" s="655">
        <v>102152</v>
      </c>
      <c r="T1651" s="655">
        <v>10956</v>
      </c>
      <c r="U1651" s="655">
        <v>813137</v>
      </c>
      <c r="V1651" s="655">
        <v>0</v>
      </c>
      <c r="W1651" s="655">
        <v>679620</v>
      </c>
      <c r="X1651" s="655">
        <v>0</v>
      </c>
      <c r="Y1651" s="655">
        <v>0</v>
      </c>
      <c r="Z1651" s="655">
        <v>0</v>
      </c>
      <c r="AA1651" s="655">
        <v>0</v>
      </c>
      <c r="AB1651" s="655">
        <v>0</v>
      </c>
      <c r="AC1651" s="655">
        <v>0</v>
      </c>
      <c r="AD1651" s="655">
        <v>163864</v>
      </c>
      <c r="AE1651" s="655">
        <v>29099887</v>
      </c>
      <c r="AF1651" s="655">
        <v>899672</v>
      </c>
      <c r="AG1651" s="655">
        <v>1641865</v>
      </c>
      <c r="AH1651" s="655">
        <v>0</v>
      </c>
      <c r="AI1651" s="655">
        <v>0</v>
      </c>
      <c r="AJ1651" s="655">
        <v>7150512.6299999952</v>
      </c>
      <c r="AK1651" s="655">
        <v>38791936.629999995</v>
      </c>
      <c r="AL1651" s="655">
        <v>0</v>
      </c>
      <c r="AM1651" s="655">
        <v>38791936.629999995</v>
      </c>
    </row>
    <row r="1652" spans="1:39" x14ac:dyDescent="0.2">
      <c r="A1652" s="648">
        <v>2017</v>
      </c>
      <c r="B1652" s="648">
        <v>13</v>
      </c>
      <c r="C1652" s="657" t="s">
        <v>391</v>
      </c>
      <c r="D1652" s="648">
        <v>6969</v>
      </c>
      <c r="E1652" s="648" t="s">
        <v>1393</v>
      </c>
      <c r="F1652" s="655">
        <v>2309558</v>
      </c>
      <c r="G1652" s="655">
        <v>162173</v>
      </c>
      <c r="H1652" s="655">
        <v>145449</v>
      </c>
      <c r="I1652" s="655">
        <v>518298</v>
      </c>
      <c r="J1652" s="655">
        <v>211686</v>
      </c>
      <c r="K1652" s="655">
        <v>23071</v>
      </c>
      <c r="L1652" s="655">
        <v>19179</v>
      </c>
      <c r="M1652" s="655">
        <v>0</v>
      </c>
      <c r="N1652" s="655">
        <v>121187</v>
      </c>
      <c r="O1652" s="655">
        <v>26773</v>
      </c>
      <c r="P1652" s="655">
        <v>18444</v>
      </c>
      <c r="Q1652" s="655">
        <v>20397</v>
      </c>
      <c r="R1652" s="655">
        <v>0</v>
      </c>
      <c r="S1652" s="655">
        <v>13018</v>
      </c>
      <c r="T1652" s="655">
        <v>1382</v>
      </c>
      <c r="U1652" s="655">
        <v>85881</v>
      </c>
      <c r="V1652" s="655">
        <v>0</v>
      </c>
      <c r="W1652" s="655">
        <v>64492</v>
      </c>
      <c r="X1652" s="655">
        <v>0</v>
      </c>
      <c r="Y1652" s="655">
        <v>0</v>
      </c>
      <c r="Z1652" s="655">
        <v>0</v>
      </c>
      <c r="AA1652" s="655">
        <v>0</v>
      </c>
      <c r="AB1652" s="655">
        <v>0</v>
      </c>
      <c r="AC1652" s="655">
        <v>0</v>
      </c>
      <c r="AD1652" s="655">
        <v>29595</v>
      </c>
      <c r="AE1652" s="655">
        <v>3711393</v>
      </c>
      <c r="AF1652" s="655">
        <v>46137</v>
      </c>
      <c r="AG1652" s="655">
        <v>219242</v>
      </c>
      <c r="AH1652" s="655">
        <v>0</v>
      </c>
      <c r="AI1652" s="655">
        <v>0</v>
      </c>
      <c r="AJ1652" s="655">
        <v>536986.83999999985</v>
      </c>
      <c r="AK1652" s="655">
        <v>4513758.84</v>
      </c>
      <c r="AL1652" s="655">
        <v>0</v>
      </c>
      <c r="AM1652" s="655">
        <v>4513758.84</v>
      </c>
    </row>
    <row r="1653" spans="1:39" x14ac:dyDescent="0.2">
      <c r="A1653" s="648">
        <v>2017</v>
      </c>
      <c r="B1653" s="648">
        <v>9</v>
      </c>
      <c r="C1653" s="657" t="s">
        <v>392</v>
      </c>
      <c r="D1653" s="648">
        <v>6975</v>
      </c>
      <c r="E1653" s="648" t="s">
        <v>1394</v>
      </c>
      <c r="F1653" s="655">
        <v>8308615</v>
      </c>
      <c r="G1653" s="655">
        <v>0</v>
      </c>
      <c r="H1653" s="655">
        <v>356922</v>
      </c>
      <c r="I1653" s="655">
        <v>718551</v>
      </c>
      <c r="J1653" s="655">
        <v>724542</v>
      </c>
      <c r="K1653" s="655">
        <v>75560</v>
      </c>
      <c r="L1653" s="655">
        <v>99840</v>
      </c>
      <c r="M1653" s="655">
        <v>0</v>
      </c>
      <c r="N1653" s="655">
        <v>398149</v>
      </c>
      <c r="O1653" s="655">
        <v>0</v>
      </c>
      <c r="P1653" s="655">
        <v>68304</v>
      </c>
      <c r="Q1653" s="655">
        <v>74531</v>
      </c>
      <c r="R1653" s="655">
        <v>0</v>
      </c>
      <c r="S1653" s="655">
        <v>35925</v>
      </c>
      <c r="T1653" s="655">
        <v>4218</v>
      </c>
      <c r="U1653" s="655">
        <v>87483</v>
      </c>
      <c r="V1653" s="655">
        <v>0</v>
      </c>
      <c r="W1653" s="655">
        <v>454252</v>
      </c>
      <c r="X1653" s="655">
        <v>0</v>
      </c>
      <c r="Y1653" s="655">
        <v>0</v>
      </c>
      <c r="Z1653" s="655">
        <v>0</v>
      </c>
      <c r="AA1653" s="655">
        <v>0</v>
      </c>
      <c r="AB1653" s="655">
        <v>0</v>
      </c>
      <c r="AC1653" s="655">
        <v>-25784</v>
      </c>
      <c r="AD1653" s="655">
        <v>60188</v>
      </c>
      <c r="AE1653" s="655">
        <v>11320920</v>
      </c>
      <c r="AF1653" s="655">
        <v>260345</v>
      </c>
      <c r="AG1653" s="655">
        <v>543301</v>
      </c>
      <c r="AH1653" s="655">
        <v>0</v>
      </c>
      <c r="AI1653" s="655">
        <v>0</v>
      </c>
      <c r="AJ1653" s="655">
        <v>2659370.3900000006</v>
      </c>
      <c r="AK1653" s="655">
        <v>14783936.390000001</v>
      </c>
      <c r="AL1653" s="655">
        <v>0</v>
      </c>
      <c r="AM1653" s="655">
        <v>14783936.390000001</v>
      </c>
    </row>
    <row r="1654" spans="1:39" x14ac:dyDescent="0.2">
      <c r="A1654" s="648">
        <v>2017</v>
      </c>
      <c r="B1654" s="648">
        <v>12</v>
      </c>
      <c r="C1654" s="657" t="s">
        <v>393</v>
      </c>
      <c r="D1654" s="648">
        <v>6983</v>
      </c>
      <c r="E1654" s="648" t="s">
        <v>1395</v>
      </c>
      <c r="F1654" s="655">
        <v>5984628</v>
      </c>
      <c r="G1654" s="655">
        <v>0</v>
      </c>
      <c r="H1654" s="655">
        <v>32243</v>
      </c>
      <c r="I1654" s="655">
        <v>476463</v>
      </c>
      <c r="J1654" s="655">
        <v>484999</v>
      </c>
      <c r="K1654" s="655">
        <v>54534</v>
      </c>
      <c r="L1654" s="655">
        <v>55515</v>
      </c>
      <c r="M1654" s="655">
        <v>0</v>
      </c>
      <c r="N1654" s="655">
        <v>290480</v>
      </c>
      <c r="O1654" s="655">
        <v>0</v>
      </c>
      <c r="P1654" s="655">
        <v>55836</v>
      </c>
      <c r="Q1654" s="655">
        <v>62665</v>
      </c>
      <c r="R1654" s="655">
        <v>0</v>
      </c>
      <c r="S1654" s="655">
        <v>29183</v>
      </c>
      <c r="T1654" s="655">
        <v>3490</v>
      </c>
      <c r="U1654" s="655">
        <v>145223</v>
      </c>
      <c r="V1654" s="655">
        <v>0</v>
      </c>
      <c r="W1654" s="655">
        <v>139861</v>
      </c>
      <c r="X1654" s="655">
        <v>0</v>
      </c>
      <c r="Y1654" s="655">
        <v>0</v>
      </c>
      <c r="Z1654" s="655">
        <v>0</v>
      </c>
      <c r="AA1654" s="655">
        <v>0</v>
      </c>
      <c r="AB1654" s="655">
        <v>0</v>
      </c>
      <c r="AC1654" s="655">
        <v>-6446</v>
      </c>
      <c r="AD1654" s="655">
        <v>45482</v>
      </c>
      <c r="AE1654" s="655">
        <v>7763192</v>
      </c>
      <c r="AF1654" s="655">
        <v>168071</v>
      </c>
      <c r="AG1654" s="655">
        <v>481763</v>
      </c>
      <c r="AH1654" s="655">
        <v>0</v>
      </c>
      <c r="AI1654" s="655">
        <v>0</v>
      </c>
      <c r="AJ1654" s="655">
        <v>6854051.7699999996</v>
      </c>
      <c r="AK1654" s="655">
        <v>15267077.77</v>
      </c>
      <c r="AL1654" s="655">
        <v>0</v>
      </c>
      <c r="AM1654" s="655">
        <v>15267077.77</v>
      </c>
    </row>
    <row r="1655" spans="1:39" x14ac:dyDescent="0.2">
      <c r="A1655" s="648">
        <v>2017</v>
      </c>
      <c r="B1655" s="648">
        <v>7</v>
      </c>
      <c r="C1655" s="657" t="s">
        <v>394</v>
      </c>
      <c r="D1655" s="648">
        <v>6985</v>
      </c>
      <c r="E1655" s="648" t="s">
        <v>1396</v>
      </c>
      <c r="F1655" s="655">
        <v>5736301</v>
      </c>
      <c r="G1655" s="655">
        <v>0</v>
      </c>
      <c r="H1655" s="655">
        <v>117603</v>
      </c>
      <c r="I1655" s="655">
        <v>639412</v>
      </c>
      <c r="J1655" s="655">
        <v>494419</v>
      </c>
      <c r="K1655" s="655">
        <v>48113</v>
      </c>
      <c r="L1655" s="655">
        <v>59450</v>
      </c>
      <c r="M1655" s="655">
        <v>0</v>
      </c>
      <c r="N1655" s="655">
        <v>283187</v>
      </c>
      <c r="O1655" s="655">
        <v>0</v>
      </c>
      <c r="P1655" s="655">
        <v>47180</v>
      </c>
      <c r="Q1655" s="655">
        <v>52687</v>
      </c>
      <c r="R1655" s="655">
        <v>0</v>
      </c>
      <c r="S1655" s="655">
        <v>35908</v>
      </c>
      <c r="T1655" s="655">
        <v>4126</v>
      </c>
      <c r="U1655" s="655">
        <v>81361</v>
      </c>
      <c r="V1655" s="655">
        <v>0</v>
      </c>
      <c r="W1655" s="655">
        <v>78141</v>
      </c>
      <c r="X1655" s="655">
        <v>0</v>
      </c>
      <c r="Y1655" s="655">
        <v>0</v>
      </c>
      <c r="Z1655" s="655">
        <v>0</v>
      </c>
      <c r="AA1655" s="655">
        <v>0</v>
      </c>
      <c r="AB1655" s="655">
        <v>0</v>
      </c>
      <c r="AC1655" s="655">
        <v>0</v>
      </c>
      <c r="AD1655" s="655">
        <v>45454</v>
      </c>
      <c r="AE1655" s="655">
        <v>7632434</v>
      </c>
      <c r="AF1655" s="655">
        <v>154889</v>
      </c>
      <c r="AG1655" s="655">
        <v>412956</v>
      </c>
      <c r="AH1655" s="655">
        <v>0</v>
      </c>
      <c r="AI1655" s="655">
        <v>0</v>
      </c>
      <c r="AJ1655" s="655">
        <v>5804027</v>
      </c>
      <c r="AK1655" s="655">
        <v>14004306</v>
      </c>
      <c r="AL1655" s="655">
        <v>0</v>
      </c>
      <c r="AM1655" s="655">
        <v>14004306</v>
      </c>
    </row>
    <row r="1656" spans="1:39" x14ac:dyDescent="0.2">
      <c r="A1656" s="648">
        <v>2017</v>
      </c>
      <c r="B1656" s="648">
        <v>12</v>
      </c>
      <c r="C1656" s="657" t="s">
        <v>395</v>
      </c>
      <c r="D1656" s="648">
        <v>6987</v>
      </c>
      <c r="E1656" s="648" t="s">
        <v>1397</v>
      </c>
      <c r="F1656" s="655">
        <v>4566540</v>
      </c>
      <c r="G1656" s="655">
        <v>0</v>
      </c>
      <c r="H1656" s="655">
        <v>115064</v>
      </c>
      <c r="I1656" s="655">
        <v>792660</v>
      </c>
      <c r="J1656" s="655">
        <v>408152</v>
      </c>
      <c r="K1656" s="655">
        <v>43098</v>
      </c>
      <c r="L1656" s="655">
        <v>46108</v>
      </c>
      <c r="M1656" s="655">
        <v>221214</v>
      </c>
      <c r="N1656" s="655">
        <v>240612</v>
      </c>
      <c r="O1656" s="655">
        <v>0</v>
      </c>
      <c r="P1656" s="655">
        <v>37513</v>
      </c>
      <c r="Q1656" s="655">
        <v>42101</v>
      </c>
      <c r="R1656" s="655">
        <v>0</v>
      </c>
      <c r="S1656" s="655">
        <v>24173</v>
      </c>
      <c r="T1656" s="655">
        <v>2891</v>
      </c>
      <c r="U1656" s="655">
        <v>159992</v>
      </c>
      <c r="V1656" s="655">
        <v>0</v>
      </c>
      <c r="W1656" s="655">
        <v>83798</v>
      </c>
      <c r="X1656" s="655">
        <v>0</v>
      </c>
      <c r="Y1656" s="655">
        <v>0</v>
      </c>
      <c r="Z1656" s="655">
        <v>0</v>
      </c>
      <c r="AA1656" s="655">
        <v>0</v>
      </c>
      <c r="AB1656" s="655">
        <v>0</v>
      </c>
      <c r="AC1656" s="655">
        <v>-646</v>
      </c>
      <c r="AD1656" s="655">
        <v>39244</v>
      </c>
      <c r="AE1656" s="655">
        <v>6744026</v>
      </c>
      <c r="AF1656" s="655">
        <v>72501</v>
      </c>
      <c r="AG1656" s="655">
        <v>357880</v>
      </c>
      <c r="AH1656" s="655">
        <v>0</v>
      </c>
      <c r="AI1656" s="655">
        <v>0</v>
      </c>
      <c r="AJ1656" s="655">
        <v>506723</v>
      </c>
      <c r="AK1656" s="655">
        <v>7681130</v>
      </c>
      <c r="AL1656" s="655">
        <v>0</v>
      </c>
      <c r="AM1656" s="655">
        <v>7681130</v>
      </c>
    </row>
    <row r="1657" spans="1:39" x14ac:dyDescent="0.2">
      <c r="A1657" s="648">
        <v>2017</v>
      </c>
      <c r="B1657" s="648">
        <v>12</v>
      </c>
      <c r="C1657" s="657" t="s">
        <v>396</v>
      </c>
      <c r="D1657" s="648">
        <v>6990</v>
      </c>
      <c r="E1657" s="648" t="s">
        <v>1398</v>
      </c>
      <c r="F1657" s="655">
        <v>5417527</v>
      </c>
      <c r="G1657" s="655">
        <v>0</v>
      </c>
      <c r="H1657" s="655">
        <v>309615</v>
      </c>
      <c r="I1657" s="655">
        <v>597773</v>
      </c>
      <c r="J1657" s="655">
        <v>491673</v>
      </c>
      <c r="K1657" s="655">
        <v>56510</v>
      </c>
      <c r="L1657" s="655">
        <v>58197</v>
      </c>
      <c r="M1657" s="655">
        <v>0</v>
      </c>
      <c r="N1657" s="655">
        <v>269497</v>
      </c>
      <c r="O1657" s="655">
        <v>0</v>
      </c>
      <c r="P1657" s="655">
        <v>48952</v>
      </c>
      <c r="Q1657" s="655">
        <v>54939</v>
      </c>
      <c r="R1657" s="655">
        <v>0</v>
      </c>
      <c r="S1657" s="655">
        <v>27075</v>
      </c>
      <c r="T1657" s="655">
        <v>3238</v>
      </c>
      <c r="U1657" s="655">
        <v>232502</v>
      </c>
      <c r="V1657" s="655">
        <v>0</v>
      </c>
      <c r="W1657" s="655">
        <v>161514</v>
      </c>
      <c r="X1657" s="655">
        <v>0</v>
      </c>
      <c r="Y1657" s="655">
        <v>0</v>
      </c>
      <c r="Z1657" s="655">
        <v>0</v>
      </c>
      <c r="AA1657" s="655">
        <v>0</v>
      </c>
      <c r="AB1657" s="655">
        <v>0</v>
      </c>
      <c r="AC1657" s="655">
        <v>-12162</v>
      </c>
      <c r="AD1657" s="655">
        <v>43316</v>
      </c>
      <c r="AE1657" s="655">
        <v>7673534</v>
      </c>
      <c r="AF1657" s="655">
        <v>145002</v>
      </c>
      <c r="AG1657" s="655">
        <v>367796</v>
      </c>
      <c r="AH1657" s="655">
        <v>0</v>
      </c>
      <c r="AI1657" s="655">
        <v>0</v>
      </c>
      <c r="AJ1657" s="655">
        <v>2815462.0700000003</v>
      </c>
      <c r="AK1657" s="655">
        <v>11001794.07</v>
      </c>
      <c r="AL1657" s="655">
        <v>0</v>
      </c>
      <c r="AM1657" s="655">
        <v>11001794.07</v>
      </c>
    </row>
    <row r="1658" spans="1:39" x14ac:dyDescent="0.2">
      <c r="A1658" s="648">
        <v>2017</v>
      </c>
      <c r="B1658" s="648">
        <v>12</v>
      </c>
      <c r="C1658" s="657" t="s">
        <v>397</v>
      </c>
      <c r="D1658" s="648">
        <v>6992</v>
      </c>
      <c r="E1658" s="648" t="s">
        <v>1399</v>
      </c>
      <c r="F1658" s="655">
        <v>3482120</v>
      </c>
      <c r="G1658" s="655">
        <v>0</v>
      </c>
      <c r="H1658" s="655">
        <v>41673</v>
      </c>
      <c r="I1658" s="655">
        <v>536419</v>
      </c>
      <c r="J1658" s="655">
        <v>317446</v>
      </c>
      <c r="K1658" s="655">
        <v>36636</v>
      </c>
      <c r="L1658" s="655">
        <v>35957</v>
      </c>
      <c r="M1658" s="655">
        <v>0</v>
      </c>
      <c r="N1658" s="655">
        <v>179875</v>
      </c>
      <c r="O1658" s="655">
        <v>0</v>
      </c>
      <c r="P1658" s="655">
        <v>28948</v>
      </c>
      <c r="Q1658" s="655">
        <v>32489</v>
      </c>
      <c r="R1658" s="655">
        <v>0</v>
      </c>
      <c r="S1658" s="655">
        <v>18071</v>
      </c>
      <c r="T1658" s="655">
        <v>2161</v>
      </c>
      <c r="U1658" s="655">
        <v>170292</v>
      </c>
      <c r="V1658" s="655">
        <v>0</v>
      </c>
      <c r="W1658" s="655">
        <v>103669</v>
      </c>
      <c r="X1658" s="655">
        <v>0</v>
      </c>
      <c r="Y1658" s="655">
        <v>0</v>
      </c>
      <c r="Z1658" s="655">
        <v>0</v>
      </c>
      <c r="AA1658" s="655">
        <v>0</v>
      </c>
      <c r="AB1658" s="655">
        <v>0</v>
      </c>
      <c r="AC1658" s="655">
        <v>5051</v>
      </c>
      <c r="AD1658" s="655">
        <v>37282</v>
      </c>
      <c r="AE1658" s="655">
        <v>4953525</v>
      </c>
      <c r="AF1658" s="655">
        <v>82388</v>
      </c>
      <c r="AG1658" s="655">
        <v>304790</v>
      </c>
      <c r="AH1658" s="655">
        <v>0</v>
      </c>
      <c r="AI1658" s="655">
        <v>0</v>
      </c>
      <c r="AJ1658" s="655">
        <v>258172.95000000019</v>
      </c>
      <c r="AK1658" s="655">
        <v>5598875.9500000002</v>
      </c>
      <c r="AL1658" s="655">
        <v>0</v>
      </c>
      <c r="AM1658" s="655">
        <v>5598875.9500000002</v>
      </c>
    </row>
    <row r="1659" spans="1:39" x14ac:dyDescent="0.2">
      <c r="A1659" s="648">
        <v>2017</v>
      </c>
      <c r="B1659" s="648">
        <v>12</v>
      </c>
      <c r="C1659" s="657" t="s">
        <v>398</v>
      </c>
      <c r="D1659" s="648">
        <v>7002</v>
      </c>
      <c r="E1659" s="648" t="s">
        <v>1400</v>
      </c>
      <c r="F1659" s="655">
        <v>1223290</v>
      </c>
      <c r="G1659" s="655">
        <v>0</v>
      </c>
      <c r="H1659" s="655">
        <v>137719</v>
      </c>
      <c r="I1659" s="655">
        <v>151198</v>
      </c>
      <c r="J1659" s="655">
        <v>130640</v>
      </c>
      <c r="K1659" s="655">
        <v>14727</v>
      </c>
      <c r="L1659" s="655">
        <v>16218</v>
      </c>
      <c r="M1659" s="655">
        <v>0</v>
      </c>
      <c r="N1659" s="655">
        <v>61795</v>
      </c>
      <c r="O1659" s="655">
        <v>1348</v>
      </c>
      <c r="P1659" s="655">
        <v>10083</v>
      </c>
      <c r="Q1659" s="655">
        <v>11316</v>
      </c>
      <c r="R1659" s="655">
        <v>0</v>
      </c>
      <c r="S1659" s="655">
        <v>6208</v>
      </c>
      <c r="T1659" s="655">
        <v>742</v>
      </c>
      <c r="U1659" s="655">
        <v>35671</v>
      </c>
      <c r="V1659" s="655">
        <v>0</v>
      </c>
      <c r="W1659" s="655">
        <v>104063</v>
      </c>
      <c r="X1659" s="655">
        <v>0</v>
      </c>
      <c r="Y1659" s="655">
        <v>0</v>
      </c>
      <c r="Z1659" s="655">
        <v>0</v>
      </c>
      <c r="AA1659" s="655">
        <v>0</v>
      </c>
      <c r="AB1659" s="655">
        <v>0</v>
      </c>
      <c r="AC1659" s="655">
        <v>-6446</v>
      </c>
      <c r="AD1659" s="655">
        <v>12839</v>
      </c>
      <c r="AE1659" s="655">
        <v>1885733</v>
      </c>
      <c r="AF1659" s="655">
        <v>56024</v>
      </c>
      <c r="AG1659" s="655">
        <v>105778</v>
      </c>
      <c r="AH1659" s="655">
        <v>0</v>
      </c>
      <c r="AI1659" s="655">
        <v>0</v>
      </c>
      <c r="AJ1659" s="655">
        <v>265468</v>
      </c>
      <c r="AK1659" s="655">
        <v>2313003</v>
      </c>
      <c r="AL1659" s="655">
        <v>0</v>
      </c>
      <c r="AM1659" s="655">
        <v>2313003</v>
      </c>
    </row>
    <row r="1660" spans="1:39" x14ac:dyDescent="0.2">
      <c r="A1660" s="648">
        <v>2017</v>
      </c>
      <c r="B1660" s="648">
        <v>10</v>
      </c>
      <c r="C1660" s="657" t="s">
        <v>399</v>
      </c>
      <c r="D1660" s="648">
        <v>7029</v>
      </c>
      <c r="E1660" s="648" t="s">
        <v>1401</v>
      </c>
      <c r="F1660" s="655">
        <v>7572283</v>
      </c>
      <c r="G1660" s="655">
        <v>0</v>
      </c>
      <c r="H1660" s="655">
        <v>143015</v>
      </c>
      <c r="I1660" s="655">
        <v>581614</v>
      </c>
      <c r="J1660" s="655">
        <v>652395</v>
      </c>
      <c r="K1660" s="655">
        <v>71276</v>
      </c>
      <c r="L1660" s="655">
        <v>61511</v>
      </c>
      <c r="M1660" s="655">
        <v>366431</v>
      </c>
      <c r="N1660" s="655">
        <v>356392</v>
      </c>
      <c r="O1660" s="655">
        <v>0</v>
      </c>
      <c r="P1660" s="655">
        <v>67292</v>
      </c>
      <c r="Q1660" s="655">
        <v>73932</v>
      </c>
      <c r="R1660" s="655">
        <v>0</v>
      </c>
      <c r="S1660" s="655">
        <v>33297</v>
      </c>
      <c r="T1660" s="655">
        <v>3875</v>
      </c>
      <c r="U1660" s="655">
        <v>318356</v>
      </c>
      <c r="V1660" s="655">
        <v>0</v>
      </c>
      <c r="W1660" s="655">
        <v>124585</v>
      </c>
      <c r="X1660" s="655">
        <v>0</v>
      </c>
      <c r="Y1660" s="655">
        <v>0</v>
      </c>
      <c r="Z1660" s="655">
        <v>0</v>
      </c>
      <c r="AA1660" s="655">
        <v>0</v>
      </c>
      <c r="AB1660" s="655">
        <v>0</v>
      </c>
      <c r="AC1660" s="655">
        <v>0</v>
      </c>
      <c r="AD1660" s="655">
        <v>59658</v>
      </c>
      <c r="AE1660" s="655">
        <v>10366596</v>
      </c>
      <c r="AF1660" s="655">
        <v>224094</v>
      </c>
      <c r="AG1660" s="655">
        <v>571783</v>
      </c>
      <c r="AH1660" s="655">
        <v>0</v>
      </c>
      <c r="AI1660" s="655">
        <v>0</v>
      </c>
      <c r="AJ1660" s="655">
        <v>1908081.4600000009</v>
      </c>
      <c r="AK1660" s="655">
        <v>13070554.460000001</v>
      </c>
      <c r="AL1660" s="655">
        <v>0</v>
      </c>
      <c r="AM1660" s="655">
        <v>13070554.460000001</v>
      </c>
    </row>
    <row r="1661" spans="1:39" x14ac:dyDescent="0.2">
      <c r="A1661" s="648">
        <v>2017</v>
      </c>
      <c r="B1661" s="648">
        <v>9</v>
      </c>
      <c r="C1661" s="657" t="s">
        <v>400</v>
      </c>
      <c r="D1661" s="648">
        <v>7038</v>
      </c>
      <c r="E1661" s="648" t="s">
        <v>1402</v>
      </c>
      <c r="F1661" s="655">
        <v>5266868</v>
      </c>
      <c r="G1661" s="655">
        <v>0</v>
      </c>
      <c r="H1661" s="655">
        <v>153689</v>
      </c>
      <c r="I1661" s="655">
        <v>498346</v>
      </c>
      <c r="J1661" s="655">
        <v>466075</v>
      </c>
      <c r="K1661" s="655">
        <v>52021</v>
      </c>
      <c r="L1661" s="655">
        <v>52693</v>
      </c>
      <c r="M1661" s="655">
        <v>255488</v>
      </c>
      <c r="N1661" s="655">
        <v>254278</v>
      </c>
      <c r="O1661" s="655">
        <v>0</v>
      </c>
      <c r="P1661" s="655">
        <v>43046</v>
      </c>
      <c r="Q1661" s="655">
        <v>46971</v>
      </c>
      <c r="R1661" s="655">
        <v>0</v>
      </c>
      <c r="S1661" s="655">
        <v>22944</v>
      </c>
      <c r="T1661" s="655">
        <v>2694</v>
      </c>
      <c r="U1661" s="655">
        <v>257550</v>
      </c>
      <c r="V1661" s="655">
        <v>0</v>
      </c>
      <c r="W1661" s="655">
        <v>122593</v>
      </c>
      <c r="X1661" s="655">
        <v>0</v>
      </c>
      <c r="Y1661" s="655">
        <v>0</v>
      </c>
      <c r="Z1661" s="655">
        <v>0</v>
      </c>
      <c r="AA1661" s="655">
        <v>0</v>
      </c>
      <c r="AB1661" s="655">
        <v>0</v>
      </c>
      <c r="AC1661" s="655">
        <v>0</v>
      </c>
      <c r="AD1661" s="655">
        <v>47307</v>
      </c>
      <c r="AE1661" s="655">
        <v>7447949</v>
      </c>
      <c r="AF1661" s="655">
        <v>135116</v>
      </c>
      <c r="AG1661" s="655">
        <v>387220</v>
      </c>
      <c r="AH1661" s="655">
        <v>0</v>
      </c>
      <c r="AI1661" s="655">
        <v>0</v>
      </c>
      <c r="AJ1661" s="655">
        <v>2048310.2300000004</v>
      </c>
      <c r="AK1661" s="655">
        <v>10018595.23</v>
      </c>
      <c r="AL1661" s="655">
        <v>0</v>
      </c>
      <c r="AM1661" s="655">
        <v>10018595.23</v>
      </c>
    </row>
    <row r="1662" spans="1:39" x14ac:dyDescent="0.2">
      <c r="A1662" s="648">
        <v>2017</v>
      </c>
      <c r="B1662" s="648">
        <v>15</v>
      </c>
      <c r="C1662" s="657" t="s">
        <v>401</v>
      </c>
      <c r="D1662" s="648">
        <v>7047</v>
      </c>
      <c r="E1662" s="648" t="s">
        <v>1403</v>
      </c>
      <c r="F1662" s="655">
        <v>2370980</v>
      </c>
      <c r="G1662" s="655">
        <v>43868</v>
      </c>
      <c r="H1662" s="655">
        <v>26391</v>
      </c>
      <c r="I1662" s="655">
        <v>203861</v>
      </c>
      <c r="J1662" s="655">
        <v>215469</v>
      </c>
      <c r="K1662" s="655">
        <v>23311</v>
      </c>
      <c r="L1662" s="655">
        <v>26520</v>
      </c>
      <c r="M1662" s="655">
        <v>115441</v>
      </c>
      <c r="N1662" s="655">
        <v>111650</v>
      </c>
      <c r="O1662" s="655">
        <v>4078</v>
      </c>
      <c r="P1662" s="655">
        <v>19296</v>
      </c>
      <c r="Q1662" s="655">
        <v>21197</v>
      </c>
      <c r="R1662" s="655">
        <v>0</v>
      </c>
      <c r="S1662" s="655">
        <v>11547</v>
      </c>
      <c r="T1662" s="655">
        <v>1249</v>
      </c>
      <c r="U1662" s="655">
        <v>107512</v>
      </c>
      <c r="V1662" s="655">
        <v>0</v>
      </c>
      <c r="W1662" s="655">
        <v>72840</v>
      </c>
      <c r="X1662" s="655">
        <v>0</v>
      </c>
      <c r="Y1662" s="655">
        <v>0</v>
      </c>
      <c r="Z1662" s="655">
        <v>0</v>
      </c>
      <c r="AA1662" s="655">
        <v>0</v>
      </c>
      <c r="AB1662" s="655">
        <v>0</v>
      </c>
      <c r="AC1662" s="655">
        <v>0</v>
      </c>
      <c r="AD1662" s="655">
        <v>21281</v>
      </c>
      <c r="AE1662" s="655">
        <v>3353929</v>
      </c>
      <c r="AF1662" s="655">
        <v>56024</v>
      </c>
      <c r="AG1662" s="655">
        <v>183746</v>
      </c>
      <c r="AH1662" s="655">
        <v>0</v>
      </c>
      <c r="AI1662" s="655">
        <v>0</v>
      </c>
      <c r="AJ1662" s="655">
        <v>1862708.3399999999</v>
      </c>
      <c r="AK1662" s="655">
        <v>5456407.3399999999</v>
      </c>
      <c r="AL1662" s="655">
        <v>0</v>
      </c>
      <c r="AM1662" s="655">
        <v>5456407.3399999999</v>
      </c>
    </row>
    <row r="1663" spans="1:39" x14ac:dyDescent="0.2">
      <c r="A1663" s="648">
        <v>2017</v>
      </c>
      <c r="B1663" s="648">
        <v>11</v>
      </c>
      <c r="C1663" s="657" t="s">
        <v>402</v>
      </c>
      <c r="D1663" s="648">
        <v>7056</v>
      </c>
      <c r="E1663" s="648" t="s">
        <v>1404</v>
      </c>
      <c r="F1663" s="655">
        <v>11353657</v>
      </c>
      <c r="G1663" s="655">
        <v>0</v>
      </c>
      <c r="H1663" s="655">
        <v>224621</v>
      </c>
      <c r="I1663" s="655">
        <v>1320111</v>
      </c>
      <c r="J1663" s="655">
        <v>947516</v>
      </c>
      <c r="K1663" s="655">
        <v>102357</v>
      </c>
      <c r="L1663" s="655">
        <v>123149</v>
      </c>
      <c r="M1663" s="655">
        <v>550750</v>
      </c>
      <c r="N1663" s="655">
        <v>541640</v>
      </c>
      <c r="O1663" s="655">
        <v>0</v>
      </c>
      <c r="P1663" s="655">
        <v>93666</v>
      </c>
      <c r="Q1663" s="655">
        <v>102823</v>
      </c>
      <c r="R1663" s="655">
        <v>0</v>
      </c>
      <c r="S1663" s="655">
        <v>44630</v>
      </c>
      <c r="T1663" s="655">
        <v>5673</v>
      </c>
      <c r="U1663" s="655">
        <v>425707</v>
      </c>
      <c r="V1663" s="655">
        <v>0</v>
      </c>
      <c r="W1663" s="655">
        <v>141328</v>
      </c>
      <c r="X1663" s="655">
        <v>0</v>
      </c>
      <c r="Y1663" s="655">
        <v>0</v>
      </c>
      <c r="Z1663" s="655">
        <v>0</v>
      </c>
      <c r="AA1663" s="655">
        <v>0</v>
      </c>
      <c r="AB1663" s="655">
        <v>0</v>
      </c>
      <c r="AC1663" s="655">
        <v>-2819</v>
      </c>
      <c r="AD1663" s="655">
        <v>82063</v>
      </c>
      <c r="AE1663" s="655">
        <v>15892746</v>
      </c>
      <c r="AF1663" s="655">
        <v>266936</v>
      </c>
      <c r="AG1663" s="655">
        <v>767394</v>
      </c>
      <c r="AH1663" s="655">
        <v>0</v>
      </c>
      <c r="AI1663" s="655">
        <v>0</v>
      </c>
      <c r="AJ1663" s="655">
        <v>3161790.3800000027</v>
      </c>
      <c r="AK1663" s="655">
        <v>20088866.380000003</v>
      </c>
      <c r="AL1663" s="655">
        <v>0</v>
      </c>
      <c r="AM1663" s="655">
        <v>20088866.380000003</v>
      </c>
    </row>
    <row r="1664" spans="1:39" x14ac:dyDescent="0.2">
      <c r="A1664" s="648">
        <v>2017</v>
      </c>
      <c r="B1664" s="648">
        <v>13</v>
      </c>
      <c r="C1664" s="657" t="s">
        <v>403</v>
      </c>
      <c r="D1664" s="648">
        <v>7092</v>
      </c>
      <c r="E1664" s="648" t="s">
        <v>1405</v>
      </c>
      <c r="F1664" s="655">
        <v>3137975</v>
      </c>
      <c r="G1664" s="655">
        <v>0</v>
      </c>
      <c r="H1664" s="655">
        <v>181114</v>
      </c>
      <c r="I1664" s="655">
        <v>376280</v>
      </c>
      <c r="J1664" s="655">
        <v>295144</v>
      </c>
      <c r="K1664" s="655">
        <v>33041</v>
      </c>
      <c r="L1664" s="655">
        <v>34289</v>
      </c>
      <c r="M1664" s="655">
        <v>0</v>
      </c>
      <c r="N1664" s="655">
        <v>154486</v>
      </c>
      <c r="O1664" s="655">
        <v>0</v>
      </c>
      <c r="P1664" s="655">
        <v>25671</v>
      </c>
      <c r="Q1664" s="655">
        <v>28389</v>
      </c>
      <c r="R1664" s="655">
        <v>0</v>
      </c>
      <c r="S1664" s="655">
        <v>15862</v>
      </c>
      <c r="T1664" s="655">
        <v>1690</v>
      </c>
      <c r="U1664" s="655">
        <v>76724</v>
      </c>
      <c r="V1664" s="655">
        <v>0</v>
      </c>
      <c r="W1664" s="655">
        <v>45557</v>
      </c>
      <c r="X1664" s="655">
        <v>0</v>
      </c>
      <c r="Y1664" s="655">
        <v>0</v>
      </c>
      <c r="Z1664" s="655">
        <v>0</v>
      </c>
      <c r="AA1664" s="655">
        <v>0</v>
      </c>
      <c r="AB1664" s="655">
        <v>0</v>
      </c>
      <c r="AC1664" s="655">
        <v>-5801</v>
      </c>
      <c r="AD1664" s="655">
        <v>29618</v>
      </c>
      <c r="AE1664" s="655">
        <v>4370803</v>
      </c>
      <c r="AF1664" s="655">
        <v>128525</v>
      </c>
      <c r="AG1664" s="655">
        <v>240181</v>
      </c>
      <c r="AH1664" s="655">
        <v>0</v>
      </c>
      <c r="AI1664" s="655">
        <v>0</v>
      </c>
      <c r="AJ1664" s="655">
        <v>366759.83999999985</v>
      </c>
      <c r="AK1664" s="655">
        <v>5106268.84</v>
      </c>
      <c r="AL1664" s="655">
        <v>0</v>
      </c>
      <c r="AM1664" s="655">
        <v>5106268.84</v>
      </c>
    </row>
    <row r="1665" spans="1:42" x14ac:dyDescent="0.2">
      <c r="A1665" s="648">
        <v>2017</v>
      </c>
      <c r="B1665" s="648">
        <v>12</v>
      </c>
      <c r="C1665" s="657" t="s">
        <v>404</v>
      </c>
      <c r="D1665" s="648">
        <v>7098</v>
      </c>
      <c r="E1665" s="648" t="s">
        <v>1406</v>
      </c>
      <c r="F1665" s="655">
        <v>3634277</v>
      </c>
      <c r="G1665" s="655">
        <v>0</v>
      </c>
      <c r="H1665" s="655">
        <v>151613</v>
      </c>
      <c r="I1665" s="655">
        <v>543296</v>
      </c>
      <c r="J1665" s="655">
        <v>314987</v>
      </c>
      <c r="K1665" s="655">
        <v>34270</v>
      </c>
      <c r="L1665" s="655">
        <v>35753</v>
      </c>
      <c r="M1665" s="655">
        <v>0</v>
      </c>
      <c r="N1665" s="655">
        <v>187817</v>
      </c>
      <c r="O1665" s="655">
        <v>0</v>
      </c>
      <c r="P1665" s="655">
        <v>29924</v>
      </c>
      <c r="Q1665" s="655">
        <v>33584</v>
      </c>
      <c r="R1665" s="655">
        <v>0</v>
      </c>
      <c r="S1665" s="655">
        <v>18869</v>
      </c>
      <c r="T1665" s="655">
        <v>2256</v>
      </c>
      <c r="U1665" s="655">
        <v>92412</v>
      </c>
      <c r="V1665" s="655">
        <v>0</v>
      </c>
      <c r="W1665" s="655">
        <v>78496</v>
      </c>
      <c r="X1665" s="655">
        <v>0</v>
      </c>
      <c r="Y1665" s="655">
        <v>0</v>
      </c>
      <c r="Z1665" s="655">
        <v>0</v>
      </c>
      <c r="AA1665" s="655">
        <v>0</v>
      </c>
      <c r="AB1665" s="655">
        <v>0</v>
      </c>
      <c r="AC1665" s="655">
        <v>0</v>
      </c>
      <c r="AD1665" s="655">
        <v>32086</v>
      </c>
      <c r="AE1665" s="655">
        <v>5125468</v>
      </c>
      <c r="AF1665" s="655">
        <v>102161</v>
      </c>
      <c r="AG1665" s="655">
        <v>272825</v>
      </c>
      <c r="AH1665" s="655">
        <v>0</v>
      </c>
      <c r="AI1665" s="655">
        <v>0</v>
      </c>
      <c r="AJ1665" s="655">
        <v>757092.30999999959</v>
      </c>
      <c r="AK1665" s="655">
        <v>6257546.3099999996</v>
      </c>
      <c r="AL1665" s="655">
        <v>0</v>
      </c>
      <c r="AM1665" s="655">
        <v>6257546.3099999996</v>
      </c>
    </row>
    <row r="1666" spans="1:42" x14ac:dyDescent="0.2">
      <c r="A1666" s="648">
        <v>2017</v>
      </c>
      <c r="B1666" s="648">
        <v>11</v>
      </c>
      <c r="C1666" s="657" t="s">
        <v>405</v>
      </c>
      <c r="D1666" s="648">
        <v>7110</v>
      </c>
      <c r="E1666" s="648" t="s">
        <v>1407</v>
      </c>
      <c r="F1666" s="655">
        <v>6195809</v>
      </c>
      <c r="G1666" s="655">
        <v>0</v>
      </c>
      <c r="H1666" s="655">
        <v>59566</v>
      </c>
      <c r="I1666" s="655">
        <v>610024</v>
      </c>
      <c r="J1666" s="655">
        <v>523023</v>
      </c>
      <c r="K1666" s="655">
        <v>54662</v>
      </c>
      <c r="L1666" s="655">
        <v>57693</v>
      </c>
      <c r="M1666" s="655">
        <v>0</v>
      </c>
      <c r="N1666" s="655">
        <v>286857</v>
      </c>
      <c r="O1666" s="655">
        <v>0</v>
      </c>
      <c r="P1666" s="655">
        <v>53585</v>
      </c>
      <c r="Q1666" s="655">
        <v>58824</v>
      </c>
      <c r="R1666" s="655">
        <v>0</v>
      </c>
      <c r="S1666" s="655">
        <v>23637</v>
      </c>
      <c r="T1666" s="655">
        <v>3004</v>
      </c>
      <c r="U1666" s="655">
        <v>84562</v>
      </c>
      <c r="V1666" s="655">
        <v>101398</v>
      </c>
      <c r="W1666" s="655">
        <v>159456</v>
      </c>
      <c r="X1666" s="655">
        <v>0</v>
      </c>
      <c r="Y1666" s="655">
        <v>0</v>
      </c>
      <c r="Z1666" s="655">
        <v>0</v>
      </c>
      <c r="AA1666" s="655">
        <v>0</v>
      </c>
      <c r="AB1666" s="655">
        <v>0</v>
      </c>
      <c r="AC1666" s="655">
        <v>-6538</v>
      </c>
      <c r="AD1666" s="655">
        <v>35065</v>
      </c>
      <c r="AE1666" s="655">
        <v>8230497</v>
      </c>
      <c r="AF1666" s="655">
        <v>214208</v>
      </c>
      <c r="AG1666" s="655">
        <v>440956</v>
      </c>
      <c r="AH1666" s="655">
        <v>0</v>
      </c>
      <c r="AI1666" s="655">
        <v>0</v>
      </c>
      <c r="AJ1666" s="655">
        <v>1512899.7899999991</v>
      </c>
      <c r="AK1666" s="655">
        <v>10398560.789999999</v>
      </c>
      <c r="AL1666" s="655">
        <v>0</v>
      </c>
      <c r="AM1666" s="655">
        <v>10398560.789999999</v>
      </c>
    </row>
    <row r="1670" spans="1:42" x14ac:dyDescent="0.2">
      <c r="A1670" s="648">
        <v>2013</v>
      </c>
      <c r="F1670" s="655">
        <f>SUMIF(SNAMEC[FiscalYear],$A1670,F$2:F$1666)</f>
        <v>2849910930</v>
      </c>
      <c r="G1670" s="655">
        <f>SUMIF(SNAMEC[FiscalYear],$A1670,G$2:G$1666)</f>
        <v>16092383</v>
      </c>
      <c r="H1670" s="655">
        <f>SUMIF(SNAMEC[FiscalYear],$A1670,H$2:H$1666)</f>
        <v>65530274</v>
      </c>
      <c r="I1670" s="655">
        <f>SUMIF(SNAMEC[FiscalYear],$A1670,I$2:I$1666)</f>
        <v>390029755</v>
      </c>
      <c r="J1670" s="655">
        <f>SUMIF(SNAMEC[FiscalYear],$A1670,J$2:J$1666)</f>
        <v>245799471</v>
      </c>
      <c r="K1670" s="655">
        <f>SUMIF(SNAMEC[FiscalYear],$A1670,K$2:K$1666)</f>
        <v>27848498</v>
      </c>
      <c r="L1670" s="655">
        <f>SUMIF(SNAMEC[FiscalYear],$A1670,L$2:L$1666)</f>
        <v>30276371</v>
      </c>
      <c r="M1670" s="655">
        <f>SUMIF(SNAMEC[FiscalYear],$A1670,M$2:M$1666)</f>
        <v>0</v>
      </c>
      <c r="N1670" s="655">
        <f>SUMIF(SNAMEC[FiscalYear],$A1670,N$2:N$1666)</f>
        <v>141978064</v>
      </c>
      <c r="O1670" s="655">
        <f>SUMIF(SNAMEC[FiscalYear],$A1670,O$2:O$1666)</f>
        <v>2367880</v>
      </c>
      <c r="P1670" s="655">
        <f>SUMIF(SNAMEC[FiscalYear],$A1670,P$2:P$1666)</f>
        <v>24895324</v>
      </c>
      <c r="Q1670" s="655">
        <f>SUMIF(SNAMEC[FiscalYear],$A1670,Q$2:Q$1666)</f>
        <v>27520068</v>
      </c>
      <c r="R1670" s="655">
        <f>SUMIF(SNAMEC[FiscalYear],$A1670,R$2:R$1666)</f>
        <v>184766</v>
      </c>
      <c r="S1670" s="655">
        <f>SUMIF(SNAMEC[FiscalYear],$A1670,S$2:S$1666)</f>
        <v>13888379</v>
      </c>
      <c r="T1670" s="655">
        <f>SUMIF(SNAMEC[FiscalYear],$A1670,T$2:T$1666)</f>
        <v>1624018</v>
      </c>
      <c r="U1670" s="655">
        <f>SUMIF(SNAMEC[FiscalYear],$A1670,U$2:U$1666)</f>
        <v>96589484</v>
      </c>
      <c r="V1670" s="655">
        <f>SUMIF(SNAMEC[FiscalYear],$A1670,V$2:V$1666)</f>
        <v>11187488</v>
      </c>
      <c r="W1670" s="655">
        <f>SUMIF(SNAMEC[FiscalYear],$A1670,W$2:W$1666)</f>
        <v>60616157</v>
      </c>
      <c r="X1670" s="655">
        <f>SUMIF(SNAMEC[FiscalYear],$A1670,X$2:X$1666)</f>
        <v>67561714</v>
      </c>
      <c r="Y1670" s="655">
        <f>SUMIF(SNAMEC[FiscalYear],$A1670,Y$2:Y$1666)</f>
        <v>2477982</v>
      </c>
      <c r="Z1670" s="655">
        <f>SUMIF(SNAMEC[FiscalYear],$A1670,Z$2:Z$1666)</f>
        <v>0</v>
      </c>
      <c r="AA1670" s="655">
        <f>SUMIF(SNAMEC[FiscalYear],$A1670,AA$2:AA$1666)</f>
        <v>1786237</v>
      </c>
      <c r="AB1670" s="655">
        <f>SUMIF(SNAMEC[FiscalYear],$A1670,AB$2:AB$1666)</f>
        <v>0</v>
      </c>
      <c r="AC1670" s="655">
        <f>SUMIF(SNAMEC[FiscalYear],$A1670,AC$2:AC$1666)</f>
        <v>-18230</v>
      </c>
      <c r="AD1670" s="655">
        <f>SUMIF(SNAMEC[FiscalYear],$A1670,AD$2:AD$1666)</f>
        <v>27460475</v>
      </c>
      <c r="AE1670" s="655">
        <f>SUMIF(SNAMEC[FiscalYear],$A1670,AE$2:AE$1666)</f>
        <v>4045730574</v>
      </c>
      <c r="AF1670" s="655">
        <f>SUMIF(SNAMEC[FiscalYear],$A1670,AF$2:AF$1666)</f>
        <v>60383038</v>
      </c>
      <c r="AG1670" s="655">
        <f>SUMIF(SNAMEC[FiscalYear],$A1670,AG$2:AG$1666)</f>
        <v>189664140</v>
      </c>
      <c r="AH1670" s="655">
        <f>SUMIF(SNAMEC[FiscalYear],$A1670,AH$2:AH$1666)</f>
        <v>634033</v>
      </c>
      <c r="AI1670" s="655">
        <f>SUMIF(SNAMEC[FiscalYear],$A1670,AI$2:AI$1666)</f>
        <v>640093793</v>
      </c>
      <c r="AJ1670" s="655">
        <f>SUMIF(SNAMEC[FiscalYear],$A1670,AJ$2:AJ$1666)</f>
        <v>1078211704</v>
      </c>
      <c r="AK1670" s="655">
        <f>SUMIF(SNAMEC[FiscalYear],$A1670,AK$2:AK$1666)</f>
        <v>6014717282</v>
      </c>
      <c r="AL1670" s="655">
        <f>SUMIF(SNAMEC[FiscalYear],$A1670,AL$2:AL$1666)</f>
        <v>4990037726</v>
      </c>
      <c r="AM1670" s="655">
        <f>SUMIF(SNAMEC[FiscalYear],$A1670,AM$2:AM$1666)</f>
        <v>1024679556</v>
      </c>
    </row>
    <row r="1671" spans="1:42" x14ac:dyDescent="0.2">
      <c r="A1671" s="648">
        <v>2014</v>
      </c>
      <c r="F1671" s="655">
        <f>SUMIF(SNAMEC[FiscalYear],$A1671,F$2:F$1666)</f>
        <v>2923584088</v>
      </c>
      <c r="G1671" s="655">
        <f>SUMIF(SNAMEC[FiscalYear],$A1671,G$2:G$1666)</f>
        <v>11077878</v>
      </c>
      <c r="H1671" s="655">
        <f>SUMIF(SNAMEC[FiscalYear],$A1671,H$2:H$1666)</f>
        <v>66764394</v>
      </c>
      <c r="I1671" s="655">
        <f>SUMIF(SNAMEC[FiscalYear],$A1671,I$2:I$1666)</f>
        <v>389062380</v>
      </c>
      <c r="J1671" s="655">
        <f>SUMIF(SNAMEC[FiscalYear],$A1671,J$2:J$1666)</f>
        <v>251789203</v>
      </c>
      <c r="K1671" s="655">
        <f>SUMIF(SNAMEC[FiscalYear],$A1671,K$2:K$1666)</f>
        <v>28530188</v>
      </c>
      <c r="L1671" s="655">
        <f>SUMIF(SNAMEC[FiscalYear],$A1671,L$2:L$1666)</f>
        <v>31030741</v>
      </c>
      <c r="M1671" s="655">
        <f>SUMIF(SNAMEC[FiscalYear],$A1671,M$2:M$1666)</f>
        <v>0</v>
      </c>
      <c r="N1671" s="655">
        <f>SUMIF(SNAMEC[FiscalYear],$A1671,N$2:N$1666)</f>
        <v>145149731</v>
      </c>
      <c r="O1671" s="655">
        <f>SUMIF(SNAMEC[FiscalYear],$A1671,O$2:O$1666)</f>
        <v>2171276</v>
      </c>
      <c r="P1671" s="655">
        <f>SUMIF(SNAMEC[FiscalYear],$A1671,P$2:P$1666)</f>
        <v>25525920</v>
      </c>
      <c r="Q1671" s="655">
        <f>SUMIF(SNAMEC[FiscalYear],$A1671,Q$2:Q$1666)</f>
        <v>28214725</v>
      </c>
      <c r="R1671" s="655">
        <f>SUMIF(SNAMEC[FiscalYear],$A1671,R$2:R$1666)</f>
        <v>150658</v>
      </c>
      <c r="S1671" s="655">
        <f>SUMIF(SNAMEC[FiscalYear],$A1671,S$2:S$1666)</f>
        <v>14184065</v>
      </c>
      <c r="T1671" s="655">
        <f>SUMIF(SNAMEC[FiscalYear],$A1671,T$2:T$1666)</f>
        <v>1657846</v>
      </c>
      <c r="U1671" s="655">
        <f>SUMIF(SNAMEC[FiscalYear],$A1671,U$2:U$1666)</f>
        <v>97202806</v>
      </c>
      <c r="V1671" s="655">
        <f>SUMIF(SNAMEC[FiscalYear],$A1671,V$2:V$1666)</f>
        <v>20330698</v>
      </c>
      <c r="W1671" s="655">
        <f>SUMIF(SNAMEC[FiscalYear],$A1671,W$2:W$1666)</f>
        <v>59977533</v>
      </c>
      <c r="X1671" s="655">
        <f>SUMIF(SNAMEC[FiscalYear],$A1671,X$2:X$1666)</f>
        <v>84441150</v>
      </c>
      <c r="Y1671" s="655">
        <f>SUMIF(SNAMEC[FiscalYear],$A1671,Y$2:Y$1666)</f>
        <v>1988225</v>
      </c>
      <c r="Z1671" s="655">
        <f>SUMIF(SNAMEC[FiscalYear],$A1671,Z$2:Z$1666)</f>
        <v>0</v>
      </c>
      <c r="AA1671" s="655">
        <f>SUMIF(SNAMEC[FiscalYear],$A1671,AA$2:AA$1666)</f>
        <v>309706</v>
      </c>
      <c r="AB1671" s="655">
        <f>SUMIF(SNAMEC[FiscalYear],$A1671,AB$2:AB$1666)</f>
        <v>0</v>
      </c>
      <c r="AC1671" s="655">
        <f>SUMIF(SNAMEC[FiscalYear],$A1671,AC$2:AC$1666)</f>
        <v>98924</v>
      </c>
      <c r="AD1671" s="655">
        <f>SUMIF(SNAMEC[FiscalYear],$A1671,AD$2:AD$1666)</f>
        <v>22467658</v>
      </c>
      <c r="AE1671" s="655">
        <f>SUMIF(SNAMEC[FiscalYear],$A1671,AE$2:AE$1666)</f>
        <v>4156798027</v>
      </c>
      <c r="AF1671" s="655">
        <f>SUMIF(SNAMEC[FiscalYear],$A1671,AF$2:AF$1666)</f>
        <v>66099739</v>
      </c>
      <c r="AG1671" s="655">
        <f>SUMIF(SNAMEC[FiscalYear],$A1671,AG$2:AG$1666)</f>
        <v>199768338</v>
      </c>
      <c r="AH1671" s="655">
        <f>SUMIF(SNAMEC[FiscalYear],$A1671,AH$2:AH$1666)</f>
        <v>586204</v>
      </c>
      <c r="AI1671" s="655">
        <f>SUMIF(SNAMEC[FiscalYear],$A1671,AI$2:AI$1666)</f>
        <v>720218281</v>
      </c>
      <c r="AJ1671" s="655">
        <f>SUMIF(SNAMEC[FiscalYear],$A1671,AJ$2:AJ$1666)</f>
        <v>1024679556</v>
      </c>
      <c r="AK1671" s="655">
        <f>SUMIF(SNAMEC[FiscalYear],$A1671,AK$2:AK$1666)</f>
        <v>6168150145</v>
      </c>
      <c r="AL1671" s="655">
        <f>SUMIF(SNAMEC[FiscalYear],$A1671,AL$2:AL$1666)</f>
        <v>5177143244</v>
      </c>
      <c r="AM1671" s="655">
        <f>SUMIF(SNAMEC[FiscalYear],$A1671,AM$2:AM$1666)</f>
        <v>991006901</v>
      </c>
    </row>
    <row r="1672" spans="1:42" x14ac:dyDescent="0.2">
      <c r="A1672" s="648">
        <v>2015</v>
      </c>
      <c r="F1672" s="655">
        <f>SUMIF(SNAMEC[FiscalYear],$A1672,F$2:F$1666)</f>
        <v>3057849999</v>
      </c>
      <c r="G1672" s="655">
        <f>SUMIF(SNAMEC[FiscalYear],$A1672,G$2:G$1666)</f>
        <v>3102517</v>
      </c>
      <c r="H1672" s="655">
        <f>SUMIF(SNAMEC[FiscalYear],$A1672,H$2:H$1666)</f>
        <v>75354551</v>
      </c>
      <c r="I1672" s="655">
        <f>SUMIF(SNAMEC[FiscalYear],$A1672,I$2:I$1666)</f>
        <v>398671810</v>
      </c>
      <c r="J1672" s="655">
        <f>SUMIF(SNAMEC[FiscalYear],$A1672,J$2:J$1666)</f>
        <v>262795246</v>
      </c>
      <c r="K1672" s="655">
        <f>SUMIF(SNAMEC[FiscalYear],$A1672,K$2:K$1666)</f>
        <v>29782905</v>
      </c>
      <c r="L1672" s="655">
        <f>SUMIF(SNAMEC[FiscalYear],$A1672,L$2:L$1666)</f>
        <v>32414843</v>
      </c>
      <c r="M1672" s="655">
        <f>SUMIF(SNAMEC[FiscalYear],$A1672,M$2:M$1666)</f>
        <v>0</v>
      </c>
      <c r="N1672" s="655">
        <f>SUMIF(SNAMEC[FiscalYear],$A1672,N$2:N$1666)</f>
        <v>151441508</v>
      </c>
      <c r="O1672" s="655">
        <f>SUMIF(SNAMEC[FiscalYear],$A1672,O$2:O$1666)</f>
        <v>1492771</v>
      </c>
      <c r="P1672" s="655">
        <f>SUMIF(SNAMEC[FiscalYear],$A1672,P$2:P$1666)</f>
        <v>26667286</v>
      </c>
      <c r="Q1672" s="655">
        <f>SUMIF(SNAMEC[FiscalYear],$A1672,Q$2:Q$1666)</f>
        <v>29475026</v>
      </c>
      <c r="R1672" s="655">
        <f>SUMIF(SNAMEC[FiscalYear],$A1672,R$2:R$1666)</f>
        <v>60002</v>
      </c>
      <c r="S1672" s="655">
        <f>SUMIF(SNAMEC[FiscalYear],$A1672,S$2:S$1666)</f>
        <v>14783266</v>
      </c>
      <c r="T1672" s="655">
        <f>SUMIF(SNAMEC[FiscalYear],$A1672,T$2:T$1666)</f>
        <v>1729283</v>
      </c>
      <c r="U1672" s="655">
        <f>SUMIF(SNAMEC[FiscalYear],$A1672,U$2:U$1666)</f>
        <v>103460729</v>
      </c>
      <c r="V1672" s="655">
        <f>SUMIF(SNAMEC[FiscalYear],$A1672,V$2:V$1666)</f>
        <v>19060508</v>
      </c>
      <c r="W1672" s="655">
        <f>SUMIF(SNAMEC[FiscalYear],$A1672,W$2:W$1666)</f>
        <v>60286245</v>
      </c>
      <c r="X1672" s="655">
        <f>SUMIF(SNAMEC[FiscalYear],$A1672,X$2:X$1666)</f>
        <v>94754968</v>
      </c>
      <c r="Y1672" s="655">
        <f>SUMIF(SNAMEC[FiscalYear],$A1672,Y$2:Y$1666)</f>
        <v>1189406</v>
      </c>
      <c r="Z1672" s="655">
        <f>SUMIF(SNAMEC[FiscalYear],$A1672,Z$2:Z$1666)</f>
        <v>0</v>
      </c>
      <c r="AA1672" s="655">
        <f>SUMIF(SNAMEC[FiscalYear],$A1672,AA$2:AA$1666)</f>
        <v>0</v>
      </c>
      <c r="AB1672" s="655">
        <f>SUMIF(SNAMEC[FiscalYear],$A1672,AB$2:AB$1666)</f>
        <v>0</v>
      </c>
      <c r="AC1672" s="655">
        <f>SUMIF(SNAMEC[FiscalYear],$A1672,AC$2:AC$1666)</f>
        <v>-209657</v>
      </c>
      <c r="AD1672" s="655">
        <f>SUMIF(SNAMEC[FiscalYear],$A1672,AD$2:AD$1666)</f>
        <v>22473593</v>
      </c>
      <c r="AE1672" s="655">
        <f>SUMIF(SNAMEC[FiscalYear],$A1672,AE$2:AE$1666)</f>
        <v>4339310807</v>
      </c>
      <c r="AF1672" s="655">
        <f>SUMIF(SNAMEC[FiscalYear],$A1672,AF$2:AF$1666)</f>
        <v>69902594</v>
      </c>
      <c r="AG1672" s="655">
        <f>SUMIF(SNAMEC[FiscalYear],$A1672,AG$2:AG$1666)</f>
        <v>211272345</v>
      </c>
      <c r="AH1672" s="655">
        <f>SUMIF(SNAMEC[FiscalYear],$A1672,AH$2:AH$1666)</f>
        <v>593251</v>
      </c>
      <c r="AI1672" s="655">
        <f>SUMIF(SNAMEC[FiscalYear],$A1672,AI$2:AI$1666)</f>
        <v>715636864</v>
      </c>
      <c r="AJ1672" s="655">
        <f>SUMIF(SNAMEC[FiscalYear],$A1672,AJ$2:AJ$1666)</f>
        <v>991006901</v>
      </c>
      <c r="AK1672" s="655">
        <f>SUMIF(SNAMEC[FiscalYear],$A1672,AK$2:AK$1666)</f>
        <v>6327722762</v>
      </c>
      <c r="AL1672" s="655">
        <f>SUMIF(SNAMEC[FiscalYear],$A1672,AL$2:AL$1666)</f>
        <v>5327725542</v>
      </c>
      <c r="AM1672" s="655">
        <f>SUMIF(SNAMEC[FiscalYear],$A1672,AM$2:AM$1666)</f>
        <v>999997220</v>
      </c>
    </row>
    <row r="1673" spans="1:42" x14ac:dyDescent="0.2">
      <c r="A1673" s="648">
        <v>2016</v>
      </c>
      <c r="F1673" s="655">
        <f>SUMIF(SNAMEC[FiscalYear],$A1673,F$2:F$1666)</f>
        <v>3108738586</v>
      </c>
      <c r="G1673" s="655">
        <f>SUMIF(SNAMEC[FiscalYear],$A1673,G$2:G$1666)</f>
        <v>16348198</v>
      </c>
      <c r="H1673" s="655">
        <f>SUMIF(SNAMEC[FiscalYear],$A1673,H$2:H$1666)</f>
        <v>81280296</v>
      </c>
      <c r="I1673" s="655">
        <f>SUMIF(SNAMEC[FiscalYear],$A1673,I$2:I$1666)</f>
        <v>398630308</v>
      </c>
      <c r="J1673" s="655">
        <f>SUMIF(SNAMEC[FiscalYear],$A1673,J$2:J$1666)</f>
        <v>267656859</v>
      </c>
      <c r="K1673" s="655">
        <f>SUMIF(SNAMEC[FiscalYear],$A1673,K$2:K$1666)</f>
        <v>30330174</v>
      </c>
      <c r="L1673" s="655">
        <f>SUMIF(SNAMEC[FiscalYear],$A1673,L$2:L$1666)</f>
        <v>33007731</v>
      </c>
      <c r="M1673" s="655">
        <f>SUMIF(SNAMEC[FiscalYear],$A1673,M$2:M$1666)</f>
        <v>50158157</v>
      </c>
      <c r="N1673" s="655">
        <f>SUMIF(SNAMEC[FiscalYear],$A1673,N$2:N$1666)</f>
        <v>153651492</v>
      </c>
      <c r="O1673" s="655">
        <f>SUMIF(SNAMEC[FiscalYear],$A1673,O$2:O$1666)</f>
        <v>1687274</v>
      </c>
      <c r="P1673" s="655">
        <f>SUMIF(SNAMEC[FiscalYear],$A1673,P$2:P$1666)</f>
        <v>27148391</v>
      </c>
      <c r="Q1673" s="655">
        <f>SUMIF(SNAMEC[FiscalYear],$A1673,Q$2:Q$1666)</f>
        <v>30006871</v>
      </c>
      <c r="R1673" s="655">
        <f>SUMIF(SNAMEC[FiscalYear],$A1673,R$2:R$1666)</f>
        <v>60002</v>
      </c>
      <c r="S1673" s="655">
        <f>SUMIF(SNAMEC[FiscalYear],$A1673,S$2:S$1666)</f>
        <v>15037595</v>
      </c>
      <c r="T1673" s="655">
        <f>SUMIF(SNAMEC[FiscalYear],$A1673,T$2:T$1666)</f>
        <v>1758716</v>
      </c>
      <c r="U1673" s="655">
        <f>SUMIF(SNAMEC[FiscalYear],$A1673,U$2:U$1666)</f>
        <v>106955882</v>
      </c>
      <c r="V1673" s="655">
        <f>SUMIF(SNAMEC[FiscalYear],$A1673,V$2:V$1666)</f>
        <v>16280882</v>
      </c>
      <c r="W1673" s="655">
        <f>SUMIF(SNAMEC[FiscalYear],$A1673,W$2:W$1666)</f>
        <v>70830597</v>
      </c>
      <c r="X1673" s="655">
        <f>SUMIF(SNAMEC[FiscalYear],$A1673,X$2:X$1666)</f>
        <v>107718448.64999992</v>
      </c>
      <c r="Y1673" s="655">
        <f>SUMIF(SNAMEC[FiscalYear],$A1673,Y$2:Y$1666)</f>
        <v>2278948.58</v>
      </c>
      <c r="Z1673" s="655">
        <f>SUMIF(SNAMEC[FiscalYear],$A1673,Z$2:Z$1666)</f>
        <v>0</v>
      </c>
      <c r="AA1673" s="655">
        <f>SUMIF(SNAMEC[FiscalYear],$A1673,AA$2:AA$1666)</f>
        <v>344700</v>
      </c>
      <c r="AB1673" s="655">
        <f>SUMIF(SNAMEC[FiscalYear],$A1673,AB$2:AB$1666)</f>
        <v>0</v>
      </c>
      <c r="AC1673" s="655">
        <f>SUMIF(SNAMEC[FiscalYear],$A1673,AC$2:AC$1666)</f>
        <v>214554</v>
      </c>
      <c r="AD1673" s="655">
        <f>SUMIF(SNAMEC[FiscalYear],$A1673,AD$2:AD$1666)</f>
        <v>22485368</v>
      </c>
      <c r="AE1673" s="655">
        <f>SUMIF(SNAMEC[FiscalYear],$A1673,AE$2:AE$1666)</f>
        <v>4493081397.0699987</v>
      </c>
      <c r="AF1673" s="655">
        <f>SUMIF(SNAMEC[FiscalYear],$A1673,AF$2:AF$1666)</f>
        <v>73250424</v>
      </c>
      <c r="AG1673" s="655">
        <f>SUMIF(SNAMEC[FiscalYear],$A1673,AG$2:AG$1666)</f>
        <v>216956065</v>
      </c>
      <c r="AH1673" s="655">
        <f>SUMIF(SNAMEC[FiscalYear],$A1673,AH$2:AH$1666)</f>
        <v>667737</v>
      </c>
      <c r="AI1673" s="655">
        <f>SUMIF(SNAMEC[FiscalYear],$A1673,AI$2:AI$1666)</f>
        <v>731948689</v>
      </c>
      <c r="AJ1673" s="655">
        <f>SUMIF(SNAMEC[FiscalYear],$A1673,AJ$2:AJ$1666)</f>
        <v>999997220</v>
      </c>
      <c r="AK1673" s="655">
        <f>SUMIF(SNAMEC[FiscalYear],$A1673,AK$2:AK$1666)</f>
        <v>6515901532.0700035</v>
      </c>
      <c r="AL1673" s="655">
        <f>SUMIF(SNAMEC[FiscalYear],$A1673,AL$2:AL$1666)</f>
        <v>5472663027</v>
      </c>
      <c r="AM1673" s="655">
        <f>SUMIF(SNAMEC[FiscalYear],$A1673,AM$2:AM$1666)</f>
        <v>1043238505.0700008</v>
      </c>
    </row>
    <row r="1674" spans="1:42" x14ac:dyDescent="0.2">
      <c r="A1674" s="648">
        <v>2017</v>
      </c>
      <c r="F1674" s="655">
        <f>SUMIF(SNAMEC[FiscalYear],$A1674,F$2:F$1666)</f>
        <v>3197430828</v>
      </c>
      <c r="G1674" s="655">
        <f>SUMIF(SNAMEC[FiscalYear],$A1674,G$2:G$1666)</f>
        <v>10432414</v>
      </c>
      <c r="H1674" s="655">
        <f>SUMIF(SNAMEC[FiscalYear],$A1674,H$2:H$1666)</f>
        <v>88825109</v>
      </c>
      <c r="I1674" s="655">
        <f>SUMIF(SNAMEC[FiscalYear],$A1674,I$2:I$1666)</f>
        <v>414551927</v>
      </c>
      <c r="J1674" s="655">
        <f>SUMIF(SNAMEC[FiscalYear],$A1674,J$2:J$1666)</f>
        <v>274893189</v>
      </c>
      <c r="K1674" s="655">
        <f>SUMIF(SNAMEC[FiscalYear],$A1674,K$2:K$1666)</f>
        <v>31153506</v>
      </c>
      <c r="L1674" s="655">
        <f>SUMIF(SNAMEC[FiscalYear],$A1674,L$2:L$1666)</f>
        <v>33907659</v>
      </c>
      <c r="M1674" s="655">
        <f>SUMIF(SNAMEC[FiscalYear],$A1674,M$2:M$1666)</f>
        <v>103422815</v>
      </c>
      <c r="N1674" s="655">
        <f>SUMIF(SNAMEC[FiscalYear],$A1674,N$2:N$1666)</f>
        <v>158235997</v>
      </c>
      <c r="O1674" s="655">
        <f>SUMIF(SNAMEC[FiscalYear],$A1674,O$2:O$1666)</f>
        <v>1383612</v>
      </c>
      <c r="P1674" s="655">
        <f>SUMIF(SNAMEC[FiscalYear],$A1674,P$2:P$1666)</f>
        <v>27912155</v>
      </c>
      <c r="Q1674" s="655">
        <f>SUMIF(SNAMEC[FiscalYear],$A1674,Q$2:Q$1666)</f>
        <v>30847952</v>
      </c>
      <c r="R1674" s="655">
        <f>SUMIF(SNAMEC[FiscalYear],$A1674,R$2:R$1666)</f>
        <v>29999</v>
      </c>
      <c r="S1674" s="655">
        <f>SUMIF(SNAMEC[FiscalYear],$A1674,S$2:S$1666)</f>
        <v>15469406</v>
      </c>
      <c r="T1674" s="655">
        <f>SUMIF(SNAMEC[FiscalYear],$A1674,T$2:T$1666)</f>
        <v>1811430</v>
      </c>
      <c r="U1674" s="655">
        <f>SUMIF(SNAMEC[FiscalYear],$A1674,U$2:U$1666)</f>
        <v>113739536</v>
      </c>
      <c r="V1674" s="655">
        <f>SUMIF(SNAMEC[FiscalYear],$A1674,V$2:V$1666)</f>
        <v>669545</v>
      </c>
      <c r="W1674" s="655">
        <f>SUMIF(SNAMEC[FiscalYear],$A1674,W$2:W$1666)</f>
        <v>71400352.599999994</v>
      </c>
      <c r="X1674" s="655">
        <f>SUMIF(SNAMEC[FiscalYear],$A1674,X$2:X$1666)</f>
        <v>0</v>
      </c>
      <c r="Y1674" s="655">
        <f>SUMIF(SNAMEC[FiscalYear],$A1674,Y$2:Y$1666)</f>
        <v>0</v>
      </c>
      <c r="Z1674" s="655">
        <f>SUMIF(SNAMEC[FiscalYear],$A1674,Z$2:Z$1666)</f>
        <v>0</v>
      </c>
      <c r="AA1674" s="655">
        <f>SUMIF(SNAMEC[FiscalYear],$A1674,AA$2:AA$1666)</f>
        <v>0</v>
      </c>
      <c r="AB1674" s="655">
        <f>SUMIF(SNAMEC[FiscalYear],$A1674,AB$2:AB$1666)</f>
        <v>0</v>
      </c>
      <c r="AC1674" s="655">
        <f>SUMIF(SNAMEC[FiscalYear],$A1674,AC$2:AC$1666)</f>
        <v>-454135</v>
      </c>
      <c r="AD1674" s="655">
        <f>SUMIF(SNAMEC[FiscalYear],$A1674,AD$2:AD$1666)</f>
        <v>26250000</v>
      </c>
      <c r="AE1674" s="655">
        <f>SUMIF(SNAMEC[FiscalYear],$A1674,AE$2:AE$1666)</f>
        <v>4549413296.6000004</v>
      </c>
      <c r="AF1674" s="655">
        <f>SUMIF(SNAMEC[FiscalYear],$A1674,AF$2:AF$1666)</f>
        <v>76380493</v>
      </c>
      <c r="AG1674" s="655">
        <f>SUMIF(SNAMEC[FiscalYear],$A1674,AG$2:AG$1666)</f>
        <v>224162051</v>
      </c>
      <c r="AH1674" s="655">
        <f>SUMIF(SNAMEC[FiscalYear],$A1674,AH$2:AH$1666)</f>
        <v>889416</v>
      </c>
      <c r="AI1674" s="762">
        <f>SUMIF(SNAMEC[FiscalYear],$A1674,AI$2:AI$1666)</f>
        <v>0</v>
      </c>
      <c r="AJ1674" s="655">
        <f>SUMIF(SNAMEC[FiscalYear],$A1674,AJ$2:AJ$1666)</f>
        <v>1043238505.0700008</v>
      </c>
      <c r="AK1674" s="655">
        <f>SUMIF(SNAMEC[FiscalYear],$A1674,AK$2:AK$1666)</f>
        <v>5894083761.6700039</v>
      </c>
      <c r="AL1674" s="762">
        <f>SUMIF(SNAMEC[FiscalYear],$A1674,AL$2:AL$1666)</f>
        <v>0</v>
      </c>
      <c r="AM1674" s="655">
        <f>SUMIF(SNAMEC[FiscalYear],$A1674,AM$2:AM$1666)</f>
        <v>5894083761.6700039</v>
      </c>
    </row>
    <row r="1677" spans="1:42" x14ac:dyDescent="0.2">
      <c r="A1677" s="648" t="s">
        <v>2047</v>
      </c>
    </row>
    <row r="1678" spans="1:42" x14ac:dyDescent="0.2">
      <c r="A1678" s="648" t="s">
        <v>1799</v>
      </c>
      <c r="C1678" s="648" t="s">
        <v>2048</v>
      </c>
      <c r="F1678" s="648" t="s">
        <v>1971</v>
      </c>
      <c r="G1678" s="648" t="s">
        <v>1972</v>
      </c>
      <c r="H1678" s="648" t="s">
        <v>1973</v>
      </c>
      <c r="I1678" s="655" t="s">
        <v>1974</v>
      </c>
      <c r="J1678" s="655" t="s">
        <v>1975</v>
      </c>
      <c r="K1678" s="655" t="s">
        <v>1976</v>
      </c>
      <c r="L1678" s="655" t="s">
        <v>1977</v>
      </c>
      <c r="M1678" s="655" t="s">
        <v>1978</v>
      </c>
      <c r="N1678" s="655" t="s">
        <v>1979</v>
      </c>
      <c r="O1678" s="655" t="s">
        <v>1980</v>
      </c>
      <c r="P1678" s="655" t="s">
        <v>1981</v>
      </c>
      <c r="Q1678" s="655" t="s">
        <v>1982</v>
      </c>
      <c r="R1678" s="655" t="s">
        <v>1983</v>
      </c>
      <c r="S1678" s="655" t="s">
        <v>1984</v>
      </c>
      <c r="T1678" s="655" t="s">
        <v>1985</v>
      </c>
      <c r="U1678" s="655" t="s">
        <v>1986</v>
      </c>
      <c r="V1678" s="655" t="s">
        <v>1987</v>
      </c>
      <c r="W1678" s="655" t="s">
        <v>1988</v>
      </c>
      <c r="X1678" s="655" t="s">
        <v>1989</v>
      </c>
      <c r="Y1678" s="655" t="s">
        <v>1990</v>
      </c>
      <c r="Z1678" s="655" t="s">
        <v>1991</v>
      </c>
      <c r="AA1678" s="655" t="s">
        <v>1992</v>
      </c>
      <c r="AB1678" s="655" t="s">
        <v>1993</v>
      </c>
      <c r="AC1678" s="655" t="s">
        <v>1994</v>
      </c>
      <c r="AD1678" s="655" t="s">
        <v>1995</v>
      </c>
      <c r="AE1678" s="655" t="s">
        <v>1996</v>
      </c>
      <c r="AF1678" s="655" t="s">
        <v>1997</v>
      </c>
      <c r="AG1678" s="655" t="s">
        <v>1998</v>
      </c>
      <c r="AH1678" s="655" t="s">
        <v>1999</v>
      </c>
      <c r="AI1678" s="655" t="s">
        <v>2000</v>
      </c>
      <c r="AJ1678" s="655" t="s">
        <v>2001</v>
      </c>
      <c r="AK1678" s="655" t="s">
        <v>2002</v>
      </c>
      <c r="AL1678" s="655" t="s">
        <v>2003</v>
      </c>
      <c r="AM1678" s="655" t="s">
        <v>2004</v>
      </c>
      <c r="AN1678" s="655"/>
      <c r="AO1678" s="655"/>
      <c r="AP1678" s="655"/>
    </row>
    <row r="1679" spans="1:42" x14ac:dyDescent="0.2">
      <c r="A1679" s="648">
        <v>2013</v>
      </c>
      <c r="C1679" s="648">
        <v>1224</v>
      </c>
      <c r="E1679" s="282" t="s">
        <v>1641</v>
      </c>
      <c r="F1679" s="655">
        <v>531549</v>
      </c>
      <c r="G1679" s="655">
        <v>10957</v>
      </c>
      <c r="H1679" s="655">
        <v>24371</v>
      </c>
      <c r="I1679" s="655">
        <v>59108</v>
      </c>
      <c r="J1679" s="655">
        <v>42056</v>
      </c>
      <c r="K1679" s="655">
        <v>3933</v>
      </c>
      <c r="L1679" s="655">
        <v>5658</v>
      </c>
      <c r="M1679" s="655">
        <v>0</v>
      </c>
      <c r="N1679" s="655">
        <v>25919</v>
      </c>
      <c r="O1679" s="655">
        <v>5703</v>
      </c>
      <c r="P1679" s="655">
        <v>4322</v>
      </c>
      <c r="Q1679" s="655">
        <v>4780</v>
      </c>
      <c r="R1679" s="655">
        <v>0</v>
      </c>
      <c r="S1679" s="655">
        <v>2719</v>
      </c>
      <c r="T1679" s="655">
        <v>287</v>
      </c>
      <c r="U1679" s="655">
        <v>0</v>
      </c>
      <c r="V1679" s="655">
        <v>0</v>
      </c>
      <c r="W1679" s="655">
        <v>11766</v>
      </c>
      <c r="X1679" s="655">
        <v>0</v>
      </c>
      <c r="Y1679" s="655">
        <v>0</v>
      </c>
      <c r="Z1679" s="655">
        <v>0</v>
      </c>
      <c r="AA1679" s="655">
        <v>0</v>
      </c>
      <c r="AB1679" s="655">
        <v>0</v>
      </c>
      <c r="AC1679" s="655">
        <v>0</v>
      </c>
      <c r="AD1679" s="655">
        <v>7251</v>
      </c>
      <c r="AE1679" s="804">
        <v>725877</v>
      </c>
      <c r="AF1679" s="655">
        <v>0</v>
      </c>
      <c r="AG1679" s="655">
        <v>44719</v>
      </c>
      <c r="AH1679" s="655">
        <v>0</v>
      </c>
      <c r="AI1679" s="655">
        <v>128814</v>
      </c>
      <c r="AJ1679" s="655">
        <v>136364</v>
      </c>
      <c r="AK1679" s="655">
        <v>1035774</v>
      </c>
      <c r="AL1679" s="655">
        <v>1249050</v>
      </c>
      <c r="AM1679" s="655">
        <v>-213276</v>
      </c>
      <c r="AN1679" s="655"/>
      <c r="AO1679" s="655"/>
      <c r="AP1679" s="655"/>
    </row>
    <row r="1680" spans="1:42" x14ac:dyDescent="0.2">
      <c r="A1680" s="648">
        <v>2013</v>
      </c>
      <c r="C1680" s="648">
        <v>1449</v>
      </c>
      <c r="E1680" s="659" t="s">
        <v>1762</v>
      </c>
      <c r="F1680" s="655">
        <v>697888</v>
      </c>
      <c r="G1680" s="655">
        <v>60816</v>
      </c>
      <c r="H1680" s="655">
        <v>19084</v>
      </c>
      <c r="I1680" s="655">
        <v>69727</v>
      </c>
      <c r="J1680" s="655">
        <v>104190</v>
      </c>
      <c r="K1680" s="655">
        <v>13159</v>
      </c>
      <c r="L1680" s="655">
        <v>9453</v>
      </c>
      <c r="M1680" s="655">
        <v>0</v>
      </c>
      <c r="N1680" s="655">
        <v>33208</v>
      </c>
      <c r="O1680" s="655">
        <v>26884</v>
      </c>
      <c r="P1680" s="655">
        <v>7066</v>
      </c>
      <c r="Q1680" s="655">
        <v>7899</v>
      </c>
      <c r="R1680" s="655">
        <v>0</v>
      </c>
      <c r="S1680" s="655">
        <v>4887</v>
      </c>
      <c r="T1680" s="655">
        <v>561</v>
      </c>
      <c r="U1680" s="655">
        <v>34894</v>
      </c>
      <c r="V1680" s="655">
        <v>59813</v>
      </c>
      <c r="W1680" s="655">
        <v>12352</v>
      </c>
      <c r="X1680" s="655">
        <v>100168</v>
      </c>
      <c r="Y1680" s="655">
        <v>0</v>
      </c>
      <c r="Z1680" s="655">
        <v>0</v>
      </c>
      <c r="AA1680" s="655">
        <v>0</v>
      </c>
      <c r="AB1680" s="655">
        <v>0</v>
      </c>
      <c r="AC1680" s="655">
        <v>0</v>
      </c>
      <c r="AD1680" s="655">
        <v>14432</v>
      </c>
      <c r="AE1680" s="804">
        <v>1247617</v>
      </c>
      <c r="AF1680" s="655">
        <v>0</v>
      </c>
      <c r="AG1680" s="655">
        <v>69914</v>
      </c>
      <c r="AH1680" s="655">
        <v>113806</v>
      </c>
      <c r="AI1680" s="655">
        <v>388141</v>
      </c>
      <c r="AJ1680" s="655">
        <v>-124666</v>
      </c>
      <c r="AK1680" s="655">
        <v>1694812</v>
      </c>
      <c r="AL1680" s="655">
        <v>1887307</v>
      </c>
      <c r="AM1680" s="655">
        <v>-192495</v>
      </c>
      <c r="AN1680" s="655"/>
      <c r="AO1680" s="655"/>
      <c r="AP1680" s="655"/>
    </row>
    <row r="1681" spans="1:42" x14ac:dyDescent="0.2">
      <c r="A1681" s="648">
        <v>2013</v>
      </c>
      <c r="C1681" s="648">
        <v>2205</v>
      </c>
      <c r="E1681" s="282" t="s">
        <v>1108</v>
      </c>
      <c r="F1681" s="655">
        <v>1359836</v>
      </c>
      <c r="G1681" s="655">
        <v>25268</v>
      </c>
      <c r="H1681" s="655">
        <v>75887</v>
      </c>
      <c r="I1681" s="655">
        <v>113827</v>
      </c>
      <c r="J1681" s="655">
        <v>131283</v>
      </c>
      <c r="K1681" s="655">
        <v>14391</v>
      </c>
      <c r="L1681" s="655">
        <v>12685</v>
      </c>
      <c r="M1681" s="655">
        <v>0</v>
      </c>
      <c r="N1681" s="655">
        <v>63881</v>
      </c>
      <c r="O1681" s="655">
        <v>10602</v>
      </c>
      <c r="P1681" s="655">
        <v>10952</v>
      </c>
      <c r="Q1681" s="655">
        <v>12113</v>
      </c>
      <c r="R1681" s="655">
        <v>0</v>
      </c>
      <c r="S1681" s="655">
        <v>6561</v>
      </c>
      <c r="T1681" s="655">
        <v>692</v>
      </c>
      <c r="U1681" s="655">
        <v>67992</v>
      </c>
      <c r="V1681" s="655">
        <v>385302</v>
      </c>
      <c r="W1681" s="655">
        <v>23532</v>
      </c>
      <c r="X1681" s="655">
        <v>55754</v>
      </c>
      <c r="Y1681" s="655">
        <v>0</v>
      </c>
      <c r="Z1681" s="655">
        <v>0</v>
      </c>
      <c r="AA1681" s="655">
        <v>0</v>
      </c>
      <c r="AB1681" s="655">
        <v>0</v>
      </c>
      <c r="AC1681" s="655">
        <v>0</v>
      </c>
      <c r="AD1681" s="655">
        <v>17842</v>
      </c>
      <c r="AE1681" s="804">
        <v>2352716</v>
      </c>
      <c r="AF1681" s="655">
        <v>30005</v>
      </c>
      <c r="AG1681" s="655">
        <v>118163</v>
      </c>
      <c r="AH1681" s="655">
        <v>0</v>
      </c>
      <c r="AI1681" s="655">
        <v>877829</v>
      </c>
      <c r="AJ1681" s="655">
        <v>-385302</v>
      </c>
      <c r="AK1681" s="655">
        <v>2993411</v>
      </c>
      <c r="AL1681" s="655">
        <v>3504893</v>
      </c>
      <c r="AM1681" s="655">
        <v>-511482</v>
      </c>
      <c r="AN1681" s="655"/>
      <c r="AO1681" s="655"/>
      <c r="AP1681" s="655"/>
    </row>
    <row r="1682" spans="1:42" x14ac:dyDescent="0.2">
      <c r="A1682" s="648">
        <v>2014</v>
      </c>
      <c r="C1682" s="648">
        <v>1224</v>
      </c>
      <c r="E1682" s="282" t="s">
        <v>1641</v>
      </c>
      <c r="F1682" s="655">
        <v>502906</v>
      </c>
      <c r="G1682" s="655">
        <v>33958</v>
      </c>
      <c r="H1682" s="655">
        <v>8347</v>
      </c>
      <c r="I1682" s="655">
        <v>63967</v>
      </c>
      <c r="J1682" s="655">
        <v>42056</v>
      </c>
      <c r="K1682" s="655">
        <v>3933</v>
      </c>
      <c r="L1682" s="655">
        <v>5658</v>
      </c>
      <c r="M1682" s="655">
        <v>0</v>
      </c>
      <c r="N1682" s="655">
        <v>24876</v>
      </c>
      <c r="O1682" s="655">
        <v>6746</v>
      </c>
      <c r="P1682" s="655">
        <v>4107</v>
      </c>
      <c r="Q1682" s="655">
        <v>4543</v>
      </c>
      <c r="R1682" s="655">
        <v>0</v>
      </c>
      <c r="S1682" s="655">
        <v>2662</v>
      </c>
      <c r="T1682" s="655">
        <v>281</v>
      </c>
      <c r="U1682" s="655">
        <v>0</v>
      </c>
      <c r="V1682" s="655">
        <v>0</v>
      </c>
      <c r="W1682" s="655">
        <v>0</v>
      </c>
      <c r="X1682" s="655">
        <v>0</v>
      </c>
      <c r="Y1682" s="655">
        <v>0</v>
      </c>
      <c r="Z1682" s="655">
        <v>0</v>
      </c>
      <c r="AA1682" s="655">
        <v>0</v>
      </c>
      <c r="AB1682" s="655">
        <v>0</v>
      </c>
      <c r="AC1682" s="655">
        <v>0</v>
      </c>
      <c r="AD1682" s="655">
        <v>5935</v>
      </c>
      <c r="AE1682" s="804">
        <v>698105</v>
      </c>
      <c r="AF1682" s="655">
        <v>0</v>
      </c>
      <c r="AG1682" s="655">
        <v>45010</v>
      </c>
      <c r="AH1682" s="655">
        <v>0</v>
      </c>
      <c r="AI1682" s="655">
        <v>251587</v>
      </c>
      <c r="AJ1682" s="655">
        <v>-213276</v>
      </c>
      <c r="AK1682" s="655">
        <v>781426</v>
      </c>
      <c r="AL1682" s="655">
        <v>1259622</v>
      </c>
      <c r="AM1682" s="655">
        <v>-478196</v>
      </c>
      <c r="AN1682" s="655"/>
      <c r="AO1682" s="655"/>
      <c r="AP1682" s="655"/>
    </row>
    <row r="1683" spans="1:42" x14ac:dyDescent="0.2">
      <c r="A1683" s="648">
        <v>2014</v>
      </c>
      <c r="C1683" s="648">
        <v>1449</v>
      </c>
      <c r="E1683" s="659" t="s">
        <v>1762</v>
      </c>
      <c r="F1683" s="655">
        <v>724040</v>
      </c>
      <c r="G1683" s="655">
        <v>0</v>
      </c>
      <c r="H1683" s="655">
        <v>12561</v>
      </c>
      <c r="I1683" s="655">
        <v>106339</v>
      </c>
      <c r="J1683" s="655">
        <v>98983</v>
      </c>
      <c r="K1683" s="655">
        <v>12471</v>
      </c>
      <c r="L1683" s="655">
        <v>9057</v>
      </c>
      <c r="M1683" s="655">
        <v>0</v>
      </c>
      <c r="N1683" s="655">
        <v>35933</v>
      </c>
      <c r="O1683" s="655">
        <v>24159</v>
      </c>
      <c r="P1683" s="655">
        <v>7155</v>
      </c>
      <c r="Q1683" s="655">
        <v>7997</v>
      </c>
      <c r="R1683" s="655">
        <v>0</v>
      </c>
      <c r="S1683" s="655">
        <v>4623</v>
      </c>
      <c r="T1683" s="655">
        <v>530</v>
      </c>
      <c r="U1683" s="655">
        <v>0</v>
      </c>
      <c r="V1683" s="655">
        <v>192495</v>
      </c>
      <c r="W1683" s="655">
        <v>24604</v>
      </c>
      <c r="X1683" s="655">
        <v>23422</v>
      </c>
      <c r="Y1683" s="655">
        <v>0</v>
      </c>
      <c r="Z1683" s="655">
        <v>0</v>
      </c>
      <c r="AA1683" s="655">
        <v>0</v>
      </c>
      <c r="AB1683" s="655">
        <v>0</v>
      </c>
      <c r="AC1683" s="655">
        <v>0</v>
      </c>
      <c r="AD1683" s="655">
        <v>11775</v>
      </c>
      <c r="AE1683" s="804">
        <v>1272594</v>
      </c>
      <c r="AF1683" s="655">
        <v>0</v>
      </c>
      <c r="AG1683" s="655">
        <v>66684</v>
      </c>
      <c r="AH1683" s="655">
        <v>106536</v>
      </c>
      <c r="AI1683" s="655">
        <v>248723</v>
      </c>
      <c r="AJ1683" s="655">
        <v>-192495</v>
      </c>
      <c r="AK1683" s="655">
        <v>1502042</v>
      </c>
      <c r="AL1683" s="655">
        <v>1542396</v>
      </c>
      <c r="AM1683" s="655">
        <v>-40354</v>
      </c>
      <c r="AN1683" s="655"/>
      <c r="AO1683" s="655"/>
      <c r="AP1683" s="655"/>
    </row>
    <row r="1684" spans="1:42" x14ac:dyDescent="0.2">
      <c r="A1684" s="648">
        <v>2014</v>
      </c>
      <c r="C1684" s="648">
        <v>2205</v>
      </c>
      <c r="E1684" s="282" t="s">
        <v>1108</v>
      </c>
      <c r="F1684" s="655">
        <v>1310918</v>
      </c>
      <c r="G1684" s="655">
        <v>62516</v>
      </c>
      <c r="H1684" s="655">
        <v>48390</v>
      </c>
      <c r="I1684" s="655">
        <v>106140</v>
      </c>
      <c r="J1684" s="655">
        <v>131283</v>
      </c>
      <c r="K1684" s="655">
        <v>14391</v>
      </c>
      <c r="L1684" s="655">
        <v>12685</v>
      </c>
      <c r="M1684" s="655">
        <v>0</v>
      </c>
      <c r="N1684" s="655">
        <v>61442</v>
      </c>
      <c r="O1684" s="655">
        <v>13041</v>
      </c>
      <c r="P1684" s="655">
        <v>10569</v>
      </c>
      <c r="Q1684" s="655">
        <v>11689</v>
      </c>
      <c r="R1684" s="655">
        <v>0</v>
      </c>
      <c r="S1684" s="655">
        <v>6561</v>
      </c>
      <c r="T1684" s="655">
        <v>692</v>
      </c>
      <c r="U1684" s="655">
        <v>10165</v>
      </c>
      <c r="V1684" s="655">
        <v>0</v>
      </c>
      <c r="W1684" s="655">
        <v>96016</v>
      </c>
      <c r="X1684" s="655">
        <v>20900</v>
      </c>
      <c r="Y1684" s="655">
        <v>0</v>
      </c>
      <c r="Z1684" s="655">
        <v>0</v>
      </c>
      <c r="AA1684" s="655">
        <v>0</v>
      </c>
      <c r="AB1684" s="655">
        <v>0</v>
      </c>
      <c r="AC1684" s="655">
        <v>-6574</v>
      </c>
      <c r="AD1684" s="655">
        <v>14632</v>
      </c>
      <c r="AE1684" s="804">
        <v>1896192</v>
      </c>
      <c r="AF1684" s="655">
        <v>0</v>
      </c>
      <c r="AG1684" s="655">
        <v>118390</v>
      </c>
      <c r="AH1684" s="655">
        <v>0</v>
      </c>
      <c r="AI1684" s="655">
        <v>837619</v>
      </c>
      <c r="AJ1684" s="655">
        <v>-511482</v>
      </c>
      <c r="AK1684" s="655">
        <v>2340719</v>
      </c>
      <c r="AL1684" s="655">
        <v>3143729</v>
      </c>
      <c r="AM1684" s="655">
        <v>-803010</v>
      </c>
      <c r="AN1684" s="655"/>
      <c r="AO1684" s="655"/>
      <c r="AP1684" s="655"/>
    </row>
    <row r="1685" spans="1:42" x14ac:dyDescent="0.2">
      <c r="A1685" s="648">
        <v>2015</v>
      </c>
      <c r="C1685" s="648">
        <v>1449</v>
      </c>
      <c r="E1685" s="659" t="s">
        <v>1762</v>
      </c>
      <c r="F1685" s="655">
        <v>713623</v>
      </c>
      <c r="G1685" s="655">
        <v>17657</v>
      </c>
      <c r="H1685" s="655">
        <v>96696</v>
      </c>
      <c r="I1685" s="655">
        <v>122513</v>
      </c>
      <c r="J1685" s="655">
        <v>98983</v>
      </c>
      <c r="K1685" s="655">
        <v>12471</v>
      </c>
      <c r="L1685" s="655">
        <v>9057</v>
      </c>
      <c r="M1685" s="655">
        <v>0</v>
      </c>
      <c r="N1685" s="655">
        <v>36201</v>
      </c>
      <c r="O1685" s="655">
        <v>23891</v>
      </c>
      <c r="P1685" s="655">
        <v>7177</v>
      </c>
      <c r="Q1685" s="655">
        <v>8019</v>
      </c>
      <c r="R1685" s="655">
        <v>0</v>
      </c>
      <c r="S1685" s="655">
        <v>4623</v>
      </c>
      <c r="T1685" s="655">
        <v>530</v>
      </c>
      <c r="U1685" s="655">
        <v>0</v>
      </c>
      <c r="V1685" s="655">
        <v>0</v>
      </c>
      <c r="W1685" s="655">
        <v>12242</v>
      </c>
      <c r="X1685" s="655">
        <v>0</v>
      </c>
      <c r="Y1685" s="655">
        <v>0</v>
      </c>
      <c r="Z1685" s="655">
        <v>0</v>
      </c>
      <c r="AA1685" s="655">
        <v>0</v>
      </c>
      <c r="AB1685" s="655">
        <v>0</v>
      </c>
      <c r="AC1685" s="655">
        <v>0</v>
      </c>
      <c r="AD1685" s="655">
        <v>11775</v>
      </c>
      <c r="AE1685" s="804">
        <v>1151908</v>
      </c>
      <c r="AF1685" s="655">
        <v>0</v>
      </c>
      <c r="AG1685" s="655">
        <v>67373</v>
      </c>
      <c r="AH1685" s="655">
        <v>109692</v>
      </c>
      <c r="AI1685" s="655">
        <v>195369</v>
      </c>
      <c r="AJ1685" s="655">
        <v>-40354</v>
      </c>
      <c r="AK1685" s="655">
        <v>1483988</v>
      </c>
      <c r="AL1685" s="655">
        <v>1860155</v>
      </c>
      <c r="AM1685" s="655">
        <v>-376167</v>
      </c>
      <c r="AN1685" s="655"/>
      <c r="AO1685" s="655"/>
      <c r="AP1685" s="655"/>
    </row>
    <row r="1686" spans="1:42" x14ac:dyDescent="0.2">
      <c r="A1686" s="648">
        <v>2015</v>
      </c>
      <c r="C1686" s="648">
        <v>2205</v>
      </c>
      <c r="E1686" s="282" t="s">
        <v>1108</v>
      </c>
      <c r="F1686" s="655">
        <v>1272334</v>
      </c>
      <c r="G1686" s="655">
        <v>51693</v>
      </c>
      <c r="H1686" s="655">
        <v>155358</v>
      </c>
      <c r="I1686" s="655">
        <v>90070</v>
      </c>
      <c r="J1686" s="655">
        <v>126298</v>
      </c>
      <c r="K1686" s="655">
        <v>13853</v>
      </c>
      <c r="L1686" s="655">
        <v>12262</v>
      </c>
      <c r="M1686" s="655">
        <v>0</v>
      </c>
      <c r="N1686" s="655">
        <v>59099</v>
      </c>
      <c r="O1686" s="655">
        <v>15384</v>
      </c>
      <c r="P1686" s="655">
        <v>10262</v>
      </c>
      <c r="Q1686" s="655">
        <v>11349</v>
      </c>
      <c r="R1686" s="655">
        <v>0</v>
      </c>
      <c r="S1686" s="655">
        <v>6310</v>
      </c>
      <c r="T1686" s="655">
        <v>667</v>
      </c>
      <c r="U1686" s="655">
        <v>23000</v>
      </c>
      <c r="V1686" s="655">
        <v>803010</v>
      </c>
      <c r="W1686" s="655">
        <v>135589</v>
      </c>
      <c r="X1686" s="655">
        <v>63866</v>
      </c>
      <c r="Y1686" s="655">
        <v>0</v>
      </c>
      <c r="Z1686" s="655">
        <v>0</v>
      </c>
      <c r="AA1686" s="655">
        <v>0</v>
      </c>
      <c r="AB1686" s="655">
        <v>0</v>
      </c>
      <c r="AC1686" s="655">
        <v>-248</v>
      </c>
      <c r="AD1686" s="655">
        <v>14632</v>
      </c>
      <c r="AE1686" s="804">
        <v>2835524</v>
      </c>
      <c r="AF1686" s="655">
        <v>53131</v>
      </c>
      <c r="AG1686" s="655">
        <v>116343</v>
      </c>
      <c r="AH1686" s="655">
        <v>0</v>
      </c>
      <c r="AI1686" s="655">
        <v>570439</v>
      </c>
      <c r="AJ1686" s="655">
        <v>-803010</v>
      </c>
      <c r="AK1686" s="655">
        <v>2772427</v>
      </c>
      <c r="AL1686" s="655">
        <v>2865604</v>
      </c>
      <c r="AM1686" s="655">
        <v>-93177</v>
      </c>
      <c r="AN1686" s="655"/>
      <c r="AO1686" s="655"/>
      <c r="AP1686" s="655"/>
    </row>
    <row r="1687" spans="1:42" x14ac:dyDescent="0.2">
      <c r="A1687" s="648">
        <v>2016</v>
      </c>
      <c r="C1687" s="648">
        <v>2205</v>
      </c>
      <c r="D1687" s="648">
        <v>2205</v>
      </c>
      <c r="E1687" s="282" t="s">
        <v>1108</v>
      </c>
      <c r="F1687" s="655">
        <v>1306400</v>
      </c>
      <c r="G1687" s="655">
        <v>0</v>
      </c>
      <c r="H1687" s="655">
        <v>175828</v>
      </c>
      <c r="I1687" s="655">
        <v>109999</v>
      </c>
      <c r="J1687" s="655">
        <v>125192</v>
      </c>
      <c r="K1687" s="655">
        <v>13752</v>
      </c>
      <c r="L1687" s="655">
        <v>12302</v>
      </c>
      <c r="M1687" s="655">
        <v>0</v>
      </c>
      <c r="N1687" s="655">
        <v>61446</v>
      </c>
      <c r="O1687" s="655">
        <v>13037</v>
      </c>
      <c r="P1687" s="655">
        <v>10548</v>
      </c>
      <c r="Q1687" s="655">
        <v>11666</v>
      </c>
      <c r="R1687" s="655">
        <v>0</v>
      </c>
      <c r="S1687" s="655">
        <v>6310</v>
      </c>
      <c r="T1687" s="655">
        <v>670</v>
      </c>
      <c r="U1687" s="655">
        <v>29104</v>
      </c>
      <c r="V1687" s="791">
        <v>0</v>
      </c>
      <c r="W1687" s="655">
        <v>140052</v>
      </c>
      <c r="X1687" s="655">
        <v>61755</v>
      </c>
      <c r="Y1687" s="655">
        <v>0</v>
      </c>
      <c r="Z1687" s="655">
        <v>0</v>
      </c>
      <c r="AA1687" s="655">
        <v>0</v>
      </c>
      <c r="AB1687" s="655">
        <v>0</v>
      </c>
      <c r="AC1687" s="655">
        <v>0</v>
      </c>
      <c r="AD1687" s="655">
        <v>14632</v>
      </c>
      <c r="AE1687" s="804">
        <v>2063429</v>
      </c>
      <c r="AF1687" s="655">
        <v>32230</v>
      </c>
      <c r="AG1687" s="655">
        <v>114767</v>
      </c>
      <c r="AH1687" s="655">
        <v>0</v>
      </c>
      <c r="AI1687" s="655">
        <v>802728</v>
      </c>
      <c r="AJ1687" s="655">
        <v>-93177</v>
      </c>
      <c r="AK1687" s="655">
        <v>2919977</v>
      </c>
      <c r="AL1687" s="655">
        <v>2919962</v>
      </c>
      <c r="AM1687" s="655">
        <v>15</v>
      </c>
      <c r="AN1687" s="655"/>
      <c r="AO1687" s="655"/>
      <c r="AP1687" s="655"/>
    </row>
    <row r="1691" spans="1:42" x14ac:dyDescent="0.2">
      <c r="A1691" s="648">
        <v>2013</v>
      </c>
      <c r="E1691" s="761" t="s">
        <v>2049</v>
      </c>
      <c r="F1691" s="655">
        <v>2852500203</v>
      </c>
      <c r="G1691" s="655">
        <v>16189424</v>
      </c>
      <c r="H1691" s="655">
        <v>65649616</v>
      </c>
      <c r="I1691" s="655">
        <v>390272417</v>
      </c>
      <c r="J1691" s="655">
        <v>246077000</v>
      </c>
      <c r="K1691" s="655">
        <v>27879981</v>
      </c>
      <c r="L1691" s="655">
        <v>30304167</v>
      </c>
      <c r="M1691" s="762"/>
      <c r="N1691" s="655">
        <v>142101072</v>
      </c>
      <c r="O1691" s="655">
        <v>2411069</v>
      </c>
      <c r="P1691" s="655">
        <v>24917664</v>
      </c>
      <c r="Q1691" s="655">
        <v>27544860</v>
      </c>
      <c r="R1691" s="655">
        <v>184766</v>
      </c>
      <c r="S1691" s="655">
        <v>13902546</v>
      </c>
      <c r="T1691" s="655">
        <v>1625558</v>
      </c>
      <c r="U1691" s="655">
        <v>96692370</v>
      </c>
      <c r="V1691" s="284">
        <v>11632603</v>
      </c>
      <c r="W1691" s="655">
        <v>60663807</v>
      </c>
      <c r="X1691" s="284">
        <v>67717636</v>
      </c>
      <c r="Y1691" s="284">
        <v>2477982</v>
      </c>
      <c r="Z1691" s="284">
        <v>0</v>
      </c>
      <c r="AA1691" s="655">
        <v>1786237</v>
      </c>
      <c r="AB1691" s="284">
        <v>0</v>
      </c>
      <c r="AC1691" s="655">
        <v>-18230</v>
      </c>
      <c r="AD1691" s="655">
        <v>27500000</v>
      </c>
      <c r="AE1691" s="655">
        <v>4050056784</v>
      </c>
      <c r="AF1691" s="655">
        <v>60413043</v>
      </c>
      <c r="AG1691" s="655">
        <v>189896936</v>
      </c>
      <c r="AH1691" s="655">
        <v>747839</v>
      </c>
      <c r="AI1691" s="655">
        <v>641488577</v>
      </c>
      <c r="AJ1691" s="655">
        <v>1077838100</v>
      </c>
      <c r="AK1691" s="655">
        <v>6020441279</v>
      </c>
      <c r="AL1691" s="655">
        <v>4996678976</v>
      </c>
      <c r="AM1691" s="655">
        <v>1023762303</v>
      </c>
      <c r="AN1691" s="655"/>
    </row>
    <row r="1692" spans="1:42" x14ac:dyDescent="0.2">
      <c r="A1692" s="648">
        <v>2014</v>
      </c>
      <c r="E1692" s="761" t="s">
        <v>2049</v>
      </c>
      <c r="F1692" s="655">
        <v>2926121952</v>
      </c>
      <c r="G1692" s="655">
        <v>11174352</v>
      </c>
      <c r="H1692" s="655">
        <v>66833692</v>
      </c>
      <c r="I1692" s="655">
        <v>389338826</v>
      </c>
      <c r="J1692" s="655">
        <v>252061525</v>
      </c>
      <c r="K1692" s="655">
        <v>28560983</v>
      </c>
      <c r="L1692" s="655">
        <v>31058141</v>
      </c>
      <c r="M1692" s="762"/>
      <c r="N1692" s="655">
        <v>145271982</v>
      </c>
      <c r="O1692" s="655">
        <v>2215222</v>
      </c>
      <c r="P1692" s="655">
        <v>25547751</v>
      </c>
      <c r="Q1692" s="655">
        <v>28238954</v>
      </c>
      <c r="R1692" s="655">
        <v>150658</v>
      </c>
      <c r="S1692" s="655">
        <v>14197911</v>
      </c>
      <c r="T1692" s="655">
        <v>1659349</v>
      </c>
      <c r="U1692" s="655">
        <v>97212971</v>
      </c>
      <c r="V1692" s="655">
        <v>20523193</v>
      </c>
      <c r="W1692" s="655">
        <v>60098153</v>
      </c>
      <c r="X1692" s="655">
        <v>84485472</v>
      </c>
      <c r="Y1692" s="655">
        <v>1988225</v>
      </c>
      <c r="Z1692" s="284">
        <v>0</v>
      </c>
      <c r="AA1692" s="655">
        <v>309706</v>
      </c>
      <c r="AB1692" s="284">
        <v>0</v>
      </c>
      <c r="AC1692" s="655">
        <v>92350</v>
      </c>
      <c r="AD1692" s="655">
        <v>22500000</v>
      </c>
      <c r="AE1692" s="655">
        <v>4160664918</v>
      </c>
      <c r="AF1692" s="655">
        <v>66099739</v>
      </c>
      <c r="AG1692" s="655">
        <v>199998422</v>
      </c>
      <c r="AH1692" s="655">
        <v>692740</v>
      </c>
      <c r="AI1692" s="655">
        <v>721556210</v>
      </c>
      <c r="AJ1692" s="655">
        <v>1023762303</v>
      </c>
      <c r="AK1692" s="655">
        <v>6172774332</v>
      </c>
      <c r="AL1692" s="655">
        <v>5183088991</v>
      </c>
      <c r="AM1692" s="655">
        <v>989685341</v>
      </c>
    </row>
    <row r="1693" spans="1:42" x14ac:dyDescent="0.2">
      <c r="A1693" s="648">
        <v>2015</v>
      </c>
      <c r="E1693" s="761" t="s">
        <v>2049</v>
      </c>
      <c r="F1693" s="655">
        <v>3059835956</v>
      </c>
      <c r="G1693" s="655">
        <v>3171867</v>
      </c>
      <c r="H1693" s="655">
        <v>75606605</v>
      </c>
      <c r="I1693" s="655">
        <v>398884393</v>
      </c>
      <c r="J1693" s="655">
        <v>263020527</v>
      </c>
      <c r="K1693" s="655">
        <v>29809229</v>
      </c>
      <c r="L1693" s="655">
        <v>32436162</v>
      </c>
      <c r="M1693" s="762"/>
      <c r="N1693" s="655">
        <v>151536808</v>
      </c>
      <c r="O1693" s="655">
        <v>1532046</v>
      </c>
      <c r="P1693" s="655">
        <v>26684725</v>
      </c>
      <c r="Q1693" s="655">
        <v>29494394</v>
      </c>
      <c r="R1693" s="655">
        <v>60002</v>
      </c>
      <c r="S1693" s="655">
        <v>14794199</v>
      </c>
      <c r="T1693" s="655">
        <v>1730480</v>
      </c>
      <c r="U1693" s="655">
        <v>103483729</v>
      </c>
      <c r="V1693" s="655">
        <v>19863518</v>
      </c>
      <c r="W1693" s="655">
        <v>60434076</v>
      </c>
      <c r="X1693" s="655">
        <v>94818834</v>
      </c>
      <c r="Y1693" s="655">
        <v>1189406</v>
      </c>
      <c r="Z1693" s="284">
        <v>0</v>
      </c>
      <c r="AA1693" s="655">
        <v>0</v>
      </c>
      <c r="AB1693" s="284">
        <v>0</v>
      </c>
      <c r="AC1693" s="655">
        <v>-209905</v>
      </c>
      <c r="AD1693" s="655">
        <v>22500000</v>
      </c>
      <c r="AE1693" s="655">
        <v>4343298239</v>
      </c>
      <c r="AF1693" s="655">
        <v>69955725</v>
      </c>
      <c r="AG1693" s="655">
        <v>211456061</v>
      </c>
      <c r="AH1693" s="655">
        <v>702943</v>
      </c>
      <c r="AI1693" s="655">
        <v>716402672</v>
      </c>
      <c r="AJ1693" s="655">
        <v>990163537</v>
      </c>
      <c r="AK1693" s="655">
        <v>6331979177</v>
      </c>
      <c r="AL1693" s="655">
        <v>5332451301</v>
      </c>
      <c r="AM1693" s="655">
        <v>999527876</v>
      </c>
    </row>
    <row r="1694" spans="1:42" x14ac:dyDescent="0.2">
      <c r="A1694" s="648">
        <v>2016</v>
      </c>
      <c r="E1694" s="761" t="s">
        <v>2049</v>
      </c>
      <c r="F1694" s="655">
        <v>3110044986</v>
      </c>
      <c r="G1694" s="655">
        <v>16348198</v>
      </c>
      <c r="H1694" s="655">
        <v>81456124</v>
      </c>
      <c r="I1694" s="655">
        <v>398740307</v>
      </c>
      <c r="J1694" s="655">
        <v>267782051</v>
      </c>
      <c r="K1694" s="655">
        <v>30343926</v>
      </c>
      <c r="L1694" s="655">
        <v>33020033</v>
      </c>
      <c r="M1694" s="655">
        <v>50158157</v>
      </c>
      <c r="N1694" s="655">
        <v>153712938</v>
      </c>
      <c r="O1694" s="655">
        <v>1700311</v>
      </c>
      <c r="P1694" s="655">
        <v>27158939</v>
      </c>
      <c r="Q1694" s="655">
        <v>30018537</v>
      </c>
      <c r="R1694" s="655">
        <v>60002</v>
      </c>
      <c r="S1694" s="655">
        <v>15043905</v>
      </c>
      <c r="T1694" s="655">
        <v>1759386</v>
      </c>
      <c r="U1694" s="655">
        <v>106984986</v>
      </c>
      <c r="V1694" s="655">
        <v>16280882</v>
      </c>
      <c r="W1694" s="655">
        <v>70970649</v>
      </c>
      <c r="X1694" s="655">
        <v>107780204</v>
      </c>
      <c r="Y1694" s="655">
        <v>2278949</v>
      </c>
      <c r="Z1694" s="284">
        <v>0</v>
      </c>
      <c r="AA1694" s="655">
        <v>344700</v>
      </c>
      <c r="AB1694" s="284">
        <v>0</v>
      </c>
      <c r="AC1694" s="655">
        <v>214554</v>
      </c>
      <c r="AD1694" s="655">
        <v>22500000</v>
      </c>
      <c r="AE1694" s="655">
        <v>4495144826</v>
      </c>
      <c r="AF1694" s="655">
        <v>73282654</v>
      </c>
      <c r="AG1694" s="655">
        <v>217070832</v>
      </c>
      <c r="AH1694" s="655">
        <v>667737</v>
      </c>
      <c r="AI1694" s="655">
        <v>732751417</v>
      </c>
      <c r="AJ1694" s="655">
        <v>999894153</v>
      </c>
      <c r="AK1694" s="655">
        <v>6518811619</v>
      </c>
      <c r="AL1694" s="655">
        <v>5475582989</v>
      </c>
      <c r="AM1694" s="655">
        <v>1043228630</v>
      </c>
    </row>
    <row r="1695" spans="1:42" x14ac:dyDescent="0.2">
      <c r="A1695" s="648">
        <v>2017</v>
      </c>
      <c r="E1695" s="761" t="s">
        <v>2049</v>
      </c>
      <c r="F1695" s="655">
        <v>3197430828</v>
      </c>
      <c r="G1695" s="655">
        <v>10432414</v>
      </c>
      <c r="H1695" s="655">
        <v>88825109</v>
      </c>
      <c r="I1695" s="655">
        <v>414551927</v>
      </c>
      <c r="J1695" s="655">
        <v>274893189</v>
      </c>
      <c r="K1695" s="655">
        <v>31153506</v>
      </c>
      <c r="L1695" s="655">
        <v>33907659</v>
      </c>
      <c r="M1695" s="655">
        <v>103422815</v>
      </c>
      <c r="N1695" s="655">
        <v>158235997</v>
      </c>
      <c r="O1695" s="655">
        <v>1383612</v>
      </c>
      <c r="P1695" s="655">
        <v>27912155</v>
      </c>
      <c r="Q1695" s="655">
        <v>30847952</v>
      </c>
      <c r="R1695" s="655">
        <v>29999</v>
      </c>
      <c r="S1695" s="655">
        <v>15469406</v>
      </c>
      <c r="T1695" s="655">
        <v>1811430</v>
      </c>
      <c r="U1695" s="655">
        <v>113739536</v>
      </c>
      <c r="V1695" s="762">
        <v>669545</v>
      </c>
      <c r="W1695" s="762">
        <v>71400353</v>
      </c>
      <c r="X1695" s="800">
        <v>0</v>
      </c>
      <c r="Y1695" s="655">
        <v>0</v>
      </c>
      <c r="Z1695" s="284">
        <v>0</v>
      </c>
      <c r="AA1695" s="655">
        <v>0</v>
      </c>
      <c r="AB1695" s="284">
        <v>0</v>
      </c>
      <c r="AC1695" s="655">
        <v>-454135</v>
      </c>
      <c r="AD1695" s="655">
        <v>26250000</v>
      </c>
      <c r="AE1695" s="804">
        <v>4549413297</v>
      </c>
      <c r="AF1695" s="655">
        <v>76380493</v>
      </c>
      <c r="AG1695" s="655">
        <v>224162051</v>
      </c>
      <c r="AH1695" s="655">
        <v>889416</v>
      </c>
      <c r="AI1695" s="762"/>
      <c r="AJ1695" s="762">
        <v>0</v>
      </c>
      <c r="AK1695" s="762"/>
      <c r="AL1695" s="762">
        <v>0</v>
      </c>
      <c r="AM1695" s="762"/>
    </row>
    <row r="1696" spans="1:42" x14ac:dyDescent="0.2">
      <c r="E1696" s="761"/>
    </row>
    <row r="1697" spans="1:39" x14ac:dyDescent="0.2">
      <c r="A1697" s="648">
        <v>2013</v>
      </c>
      <c r="E1697" s="761" t="s">
        <v>1966</v>
      </c>
      <c r="F1697" s="655">
        <f>F1670+F1679+F1680+F1681-F1691</f>
        <v>0</v>
      </c>
      <c r="G1697" s="655">
        <f t="shared" ref="G1697:AD1697" si="0">G1670+G1679+G1680+G1681-G1691</f>
        <v>0</v>
      </c>
      <c r="H1697" s="655">
        <f t="shared" si="0"/>
        <v>0</v>
      </c>
      <c r="I1697" s="655">
        <f t="shared" si="0"/>
        <v>0</v>
      </c>
      <c r="J1697" s="655">
        <f t="shared" si="0"/>
        <v>0</v>
      </c>
      <c r="K1697" s="655">
        <f t="shared" si="0"/>
        <v>0</v>
      </c>
      <c r="L1697" s="655">
        <f t="shared" si="0"/>
        <v>0</v>
      </c>
      <c r="M1697" s="655">
        <f t="shared" si="0"/>
        <v>0</v>
      </c>
      <c r="N1697" s="655">
        <f t="shared" si="0"/>
        <v>0</v>
      </c>
      <c r="O1697" s="655">
        <f t="shared" si="0"/>
        <v>0</v>
      </c>
      <c r="P1697" s="655">
        <f t="shared" si="0"/>
        <v>0</v>
      </c>
      <c r="Q1697" s="655">
        <f t="shared" si="0"/>
        <v>0</v>
      </c>
      <c r="R1697" s="655">
        <f t="shared" si="0"/>
        <v>0</v>
      </c>
      <c r="S1697" s="655">
        <f t="shared" si="0"/>
        <v>0</v>
      </c>
      <c r="T1697" s="655">
        <f t="shared" si="0"/>
        <v>0</v>
      </c>
      <c r="U1697" s="655">
        <f t="shared" si="0"/>
        <v>0</v>
      </c>
      <c r="V1697" s="655">
        <f t="shared" si="0"/>
        <v>0</v>
      </c>
      <c r="W1697" s="655">
        <f t="shared" si="0"/>
        <v>0</v>
      </c>
      <c r="X1697" s="655">
        <f t="shared" si="0"/>
        <v>0</v>
      </c>
      <c r="Y1697" s="655">
        <f t="shared" si="0"/>
        <v>0</v>
      </c>
      <c r="Z1697" s="655">
        <f t="shared" si="0"/>
        <v>0</v>
      </c>
      <c r="AA1697" s="655">
        <f t="shared" si="0"/>
        <v>0</v>
      </c>
      <c r="AB1697" s="655">
        <f t="shared" si="0"/>
        <v>0</v>
      </c>
      <c r="AC1697" s="655">
        <f t="shared" si="0"/>
        <v>0</v>
      </c>
      <c r="AD1697" s="655">
        <f t="shared" si="0"/>
        <v>0</v>
      </c>
      <c r="AE1697" s="655">
        <f>AE1670+AE1679+AE1680+AE1681-AE1691</f>
        <v>0</v>
      </c>
      <c r="AF1697" s="655">
        <f>AF1670+AF1679+AF1680+AF1681-AF1691</f>
        <v>0</v>
      </c>
      <c r="AG1697" s="655">
        <f t="shared" ref="AG1697:AH1697" si="1">AG1670+AG1679+AG1680+AG1681-AG1691</f>
        <v>0</v>
      </c>
      <c r="AH1697" s="655">
        <f t="shared" si="1"/>
        <v>0</v>
      </c>
      <c r="AI1697" s="655">
        <f>AI1670+AI1679+AI1680+AI1681-AI1691</f>
        <v>0</v>
      </c>
      <c r="AJ1697" s="655">
        <f t="shared" ref="AJ1697" si="2">AJ1670+AJ1679+AJ1680+AJ1681-AJ1691</f>
        <v>0</v>
      </c>
      <c r="AK1697" s="655">
        <f t="shared" ref="AK1697:AM1697" si="3">AK1670+AK1679+AK1680+AK1681-AK1691</f>
        <v>0</v>
      </c>
      <c r="AL1697" s="655">
        <f t="shared" si="3"/>
        <v>0</v>
      </c>
      <c r="AM1697" s="655">
        <f t="shared" si="3"/>
        <v>0</v>
      </c>
    </row>
    <row r="1698" spans="1:39" x14ac:dyDescent="0.2">
      <c r="A1698" s="648">
        <v>2014</v>
      </c>
      <c r="E1698" s="761" t="s">
        <v>1966</v>
      </c>
      <c r="F1698" s="655">
        <f>F1671+F1682+F1683+F1684-F1692</f>
        <v>0</v>
      </c>
      <c r="G1698" s="655">
        <f t="shared" ref="G1698:AD1698" si="4">G1671+G1682+G1683+G1684-G1692</f>
        <v>0</v>
      </c>
      <c r="H1698" s="655">
        <f t="shared" si="4"/>
        <v>0</v>
      </c>
      <c r="I1698" s="655">
        <f t="shared" si="4"/>
        <v>0</v>
      </c>
      <c r="J1698" s="655">
        <f t="shared" si="4"/>
        <v>0</v>
      </c>
      <c r="K1698" s="655">
        <f t="shared" si="4"/>
        <v>0</v>
      </c>
      <c r="L1698" s="655">
        <f t="shared" si="4"/>
        <v>0</v>
      </c>
      <c r="M1698" s="655">
        <f t="shared" si="4"/>
        <v>0</v>
      </c>
      <c r="N1698" s="655">
        <f t="shared" si="4"/>
        <v>0</v>
      </c>
      <c r="O1698" s="655">
        <f t="shared" si="4"/>
        <v>0</v>
      </c>
      <c r="P1698" s="655">
        <f>P1671+P1682+P1683+P1684-P1692</f>
        <v>0</v>
      </c>
      <c r="Q1698" s="655">
        <f t="shared" si="4"/>
        <v>0</v>
      </c>
      <c r="R1698" s="655">
        <f t="shared" si="4"/>
        <v>0</v>
      </c>
      <c r="S1698" s="655">
        <f t="shared" si="4"/>
        <v>0</v>
      </c>
      <c r="T1698" s="655">
        <f t="shared" si="4"/>
        <v>0</v>
      </c>
      <c r="U1698" s="655">
        <f t="shared" si="4"/>
        <v>0</v>
      </c>
      <c r="V1698" s="655">
        <f>V1671+V1682+V1683+V1684-V1692</f>
        <v>0</v>
      </c>
      <c r="W1698" s="655">
        <f>W1671+W1682+W1683+W1684-W1692</f>
        <v>0</v>
      </c>
      <c r="X1698" s="655">
        <f t="shared" si="4"/>
        <v>0</v>
      </c>
      <c r="Y1698" s="655">
        <f t="shared" si="4"/>
        <v>0</v>
      </c>
      <c r="Z1698" s="655">
        <f t="shared" si="4"/>
        <v>0</v>
      </c>
      <c r="AA1698" s="655">
        <f t="shared" si="4"/>
        <v>0</v>
      </c>
      <c r="AB1698" s="655">
        <f t="shared" si="4"/>
        <v>0</v>
      </c>
      <c r="AC1698" s="655">
        <f t="shared" si="4"/>
        <v>0</v>
      </c>
      <c r="AD1698" s="655">
        <f t="shared" si="4"/>
        <v>0</v>
      </c>
      <c r="AE1698" s="655">
        <f>AE1671+AE1682+AE1683+AE1684-AE1692</f>
        <v>0</v>
      </c>
      <c r="AF1698" s="655">
        <f t="shared" ref="AF1698:AH1698" si="5">AF1671+AF1682+AF1683+AF1684-AF1692</f>
        <v>0</v>
      </c>
      <c r="AG1698" s="655">
        <f t="shared" si="5"/>
        <v>0</v>
      </c>
      <c r="AH1698" s="655">
        <f t="shared" si="5"/>
        <v>0</v>
      </c>
      <c r="AI1698" s="655">
        <f t="shared" ref="AI1698" si="6">AI1671+AI1682+AI1683+AI1684-AI1692</f>
        <v>0</v>
      </c>
      <c r="AJ1698" s="655">
        <f>AJ1671+AJ1682+AJ1683+AJ1684-AJ1692</f>
        <v>0</v>
      </c>
      <c r="AK1698" s="655">
        <f>AK1671+AK1682+AK1683+AK1684-AK1692</f>
        <v>0</v>
      </c>
      <c r="AL1698" s="655">
        <f>AL1671+AL1682+AL1683+AL1684-AL1692</f>
        <v>0</v>
      </c>
      <c r="AM1698" s="655">
        <f>AM1671+AM1682+AM1683+AM1684-AM1692</f>
        <v>0</v>
      </c>
    </row>
    <row r="1699" spans="1:39" x14ac:dyDescent="0.2">
      <c r="A1699" s="648">
        <v>2015</v>
      </c>
      <c r="E1699" s="761" t="s">
        <v>1966</v>
      </c>
      <c r="F1699" s="655">
        <f>F1672+F1685+F1686-F1693</f>
        <v>0</v>
      </c>
      <c r="G1699" s="655">
        <f t="shared" ref="G1699:AD1699" si="7">G1672+G1685+G1686-G1693</f>
        <v>0</v>
      </c>
      <c r="H1699" s="655">
        <f t="shared" si="7"/>
        <v>0</v>
      </c>
      <c r="I1699" s="655">
        <f t="shared" si="7"/>
        <v>0</v>
      </c>
      <c r="J1699" s="655">
        <f t="shared" si="7"/>
        <v>0</v>
      </c>
      <c r="K1699" s="655">
        <f t="shared" si="7"/>
        <v>0</v>
      </c>
      <c r="L1699" s="655">
        <f t="shared" si="7"/>
        <v>0</v>
      </c>
      <c r="M1699" s="655">
        <f t="shared" si="7"/>
        <v>0</v>
      </c>
      <c r="N1699" s="655">
        <f t="shared" si="7"/>
        <v>0</v>
      </c>
      <c r="O1699" s="655">
        <f t="shared" si="7"/>
        <v>0</v>
      </c>
      <c r="P1699" s="655">
        <f t="shared" si="7"/>
        <v>0</v>
      </c>
      <c r="Q1699" s="655">
        <f t="shared" si="7"/>
        <v>0</v>
      </c>
      <c r="R1699" s="655">
        <f t="shared" si="7"/>
        <v>0</v>
      </c>
      <c r="S1699" s="655">
        <f t="shared" si="7"/>
        <v>0</v>
      </c>
      <c r="T1699" s="655">
        <f t="shared" si="7"/>
        <v>0</v>
      </c>
      <c r="U1699" s="655">
        <f t="shared" si="7"/>
        <v>0</v>
      </c>
      <c r="V1699" s="655">
        <f>V1672+V1685+V1686-V1693</f>
        <v>0</v>
      </c>
      <c r="W1699" s="655">
        <f t="shared" si="7"/>
        <v>0</v>
      </c>
      <c r="X1699" s="655">
        <f t="shared" si="7"/>
        <v>0</v>
      </c>
      <c r="Y1699" s="655">
        <f t="shared" si="7"/>
        <v>0</v>
      </c>
      <c r="Z1699" s="655">
        <f t="shared" si="7"/>
        <v>0</v>
      </c>
      <c r="AA1699" s="655">
        <f t="shared" si="7"/>
        <v>0</v>
      </c>
      <c r="AB1699" s="655">
        <f t="shared" si="7"/>
        <v>0</v>
      </c>
      <c r="AC1699" s="655">
        <f t="shared" si="7"/>
        <v>0</v>
      </c>
      <c r="AD1699" s="655">
        <f t="shared" si="7"/>
        <v>0</v>
      </c>
      <c r="AE1699" s="655">
        <f t="shared" ref="AE1699:AH1699" si="8">AE1672+AE1685+AE1686-AE1693</f>
        <v>0</v>
      </c>
      <c r="AF1699" s="655">
        <f t="shared" si="8"/>
        <v>0</v>
      </c>
      <c r="AG1699" s="655">
        <f t="shared" si="8"/>
        <v>0</v>
      </c>
      <c r="AH1699" s="655">
        <f t="shared" si="8"/>
        <v>0</v>
      </c>
      <c r="AI1699" s="655">
        <f>AI1672+AI1685+AI1686-AI1693</f>
        <v>0</v>
      </c>
      <c r="AJ1699" s="655">
        <f t="shared" ref="AJ1699" si="9">AJ1672+AJ1685+AJ1686-AJ1693</f>
        <v>0</v>
      </c>
      <c r="AK1699" s="655">
        <f t="shared" ref="AK1699:AM1699" si="10">AK1672+AK1685+AK1686-AK1693</f>
        <v>0</v>
      </c>
      <c r="AL1699" s="655">
        <f>AL1672+AL1685+AL1686-AL1693</f>
        <v>0</v>
      </c>
      <c r="AM1699" s="655">
        <f t="shared" si="10"/>
        <v>0</v>
      </c>
    </row>
    <row r="1700" spans="1:39" x14ac:dyDescent="0.2">
      <c r="A1700" s="648">
        <v>2016</v>
      </c>
      <c r="E1700" s="761" t="s">
        <v>1966</v>
      </c>
      <c r="F1700" s="655">
        <f>F1673+F1687-F1694</f>
        <v>0</v>
      </c>
      <c r="G1700" s="655">
        <f t="shared" ref="G1700:AD1700" si="11">G1673+G1687-G1694</f>
        <v>0</v>
      </c>
      <c r="H1700" s="655">
        <f t="shared" si="11"/>
        <v>0</v>
      </c>
      <c r="I1700" s="655">
        <f t="shared" si="11"/>
        <v>0</v>
      </c>
      <c r="J1700" s="655">
        <f t="shared" si="11"/>
        <v>0</v>
      </c>
      <c r="K1700" s="655">
        <f t="shared" si="11"/>
        <v>0</v>
      </c>
      <c r="L1700" s="655">
        <f t="shared" si="11"/>
        <v>0</v>
      </c>
      <c r="M1700" s="655">
        <f>M1673+M1687-M1694</f>
        <v>0</v>
      </c>
      <c r="N1700" s="655">
        <f t="shared" si="11"/>
        <v>0</v>
      </c>
      <c r="O1700" s="655">
        <f t="shared" si="11"/>
        <v>0</v>
      </c>
      <c r="P1700" s="655">
        <f t="shared" si="11"/>
        <v>0</v>
      </c>
      <c r="Q1700" s="655">
        <f t="shared" si="11"/>
        <v>0</v>
      </c>
      <c r="R1700" s="655">
        <f t="shared" si="11"/>
        <v>0</v>
      </c>
      <c r="S1700" s="655">
        <f t="shared" si="11"/>
        <v>0</v>
      </c>
      <c r="T1700" s="655">
        <f t="shared" si="11"/>
        <v>0</v>
      </c>
      <c r="U1700" s="655">
        <f t="shared" si="11"/>
        <v>0</v>
      </c>
      <c r="V1700" s="655">
        <f t="shared" si="11"/>
        <v>0</v>
      </c>
      <c r="W1700" s="655">
        <f t="shared" si="11"/>
        <v>0</v>
      </c>
      <c r="X1700" s="655">
        <f>X1673+X1687-X1694</f>
        <v>-0.35000008344650269</v>
      </c>
      <c r="Y1700" s="655">
        <f t="shared" si="11"/>
        <v>-0.41999999992549419</v>
      </c>
      <c r="Z1700" s="655">
        <f t="shared" si="11"/>
        <v>0</v>
      </c>
      <c r="AA1700" s="655">
        <f t="shared" si="11"/>
        <v>0</v>
      </c>
      <c r="AB1700" s="655">
        <f t="shared" si="11"/>
        <v>0</v>
      </c>
      <c r="AC1700" s="655">
        <f t="shared" si="11"/>
        <v>0</v>
      </c>
      <c r="AD1700" s="655">
        <f t="shared" si="11"/>
        <v>0</v>
      </c>
      <c r="AE1700" s="655">
        <f>AE1673+AE1687-AE1694</f>
        <v>6.9998741149902344E-2</v>
      </c>
      <c r="AF1700" s="655">
        <f t="shared" ref="AF1700:AH1700" si="12">AF1673+AF1687-AF1694</f>
        <v>0</v>
      </c>
      <c r="AG1700" s="655">
        <f t="shared" si="12"/>
        <v>0</v>
      </c>
      <c r="AH1700" s="655">
        <f t="shared" si="12"/>
        <v>0</v>
      </c>
      <c r="AI1700" s="655">
        <f>AI1673+AI1687-AI1694</f>
        <v>0</v>
      </c>
      <c r="AJ1700" s="655">
        <f>AJ1673+AJ1687-AJ1694</f>
        <v>9890</v>
      </c>
      <c r="AK1700" s="655">
        <f t="shared" ref="AK1700:AM1700" si="13">AK1673+AK1687-AK1694</f>
        <v>9890.0700035095215</v>
      </c>
      <c r="AL1700" s="655">
        <f t="shared" si="13"/>
        <v>0</v>
      </c>
      <c r="AM1700" s="655">
        <f t="shared" si="13"/>
        <v>9890.0700007677078</v>
      </c>
    </row>
    <row r="1701" spans="1:39" x14ac:dyDescent="0.2">
      <c r="A1701" s="648">
        <v>2017</v>
      </c>
      <c r="E1701" s="761" t="s">
        <v>1966</v>
      </c>
      <c r="F1701" s="655">
        <f>F1674-F1695</f>
        <v>0</v>
      </c>
      <c r="G1701" s="655">
        <f t="shared" ref="G1701:AH1701" si="14">G1674-G1695</f>
        <v>0</v>
      </c>
      <c r="H1701" s="655">
        <f t="shared" si="14"/>
        <v>0</v>
      </c>
      <c r="I1701" s="655">
        <f t="shared" si="14"/>
        <v>0</v>
      </c>
      <c r="J1701" s="655">
        <f t="shared" si="14"/>
        <v>0</v>
      </c>
      <c r="K1701" s="655">
        <f t="shared" si="14"/>
        <v>0</v>
      </c>
      <c r="L1701" s="655">
        <f t="shared" si="14"/>
        <v>0</v>
      </c>
      <c r="M1701" s="655">
        <f t="shared" si="14"/>
        <v>0</v>
      </c>
      <c r="N1701" s="655">
        <f t="shared" si="14"/>
        <v>0</v>
      </c>
      <c r="O1701" s="655">
        <f t="shared" si="14"/>
        <v>0</v>
      </c>
      <c r="P1701" s="655">
        <f t="shared" si="14"/>
        <v>0</v>
      </c>
      <c r="Q1701" s="655">
        <f t="shared" si="14"/>
        <v>0</v>
      </c>
      <c r="R1701" s="655">
        <f t="shared" si="14"/>
        <v>0</v>
      </c>
      <c r="S1701" s="655">
        <f t="shared" si="14"/>
        <v>0</v>
      </c>
      <c r="T1701" s="655">
        <f t="shared" si="14"/>
        <v>0</v>
      </c>
      <c r="U1701" s="655">
        <f t="shared" si="14"/>
        <v>0</v>
      </c>
      <c r="V1701" s="655">
        <f t="shared" si="14"/>
        <v>0</v>
      </c>
      <c r="W1701" s="655">
        <f>W1674-W1695</f>
        <v>-0.40000000596046448</v>
      </c>
      <c r="X1701" s="655">
        <f t="shared" si="14"/>
        <v>0</v>
      </c>
      <c r="Y1701" s="655">
        <f t="shared" si="14"/>
        <v>0</v>
      </c>
      <c r="Z1701" s="655">
        <f t="shared" si="14"/>
        <v>0</v>
      </c>
      <c r="AA1701" s="655">
        <f t="shared" si="14"/>
        <v>0</v>
      </c>
      <c r="AB1701" s="655">
        <f t="shared" si="14"/>
        <v>0</v>
      </c>
      <c r="AC1701" s="655">
        <f>AC1674-AC1695</f>
        <v>0</v>
      </c>
      <c r="AD1701" s="655">
        <f>AD1674-AD1695</f>
        <v>0</v>
      </c>
      <c r="AE1701" s="655">
        <f>AE1674-AE1695</f>
        <v>-0.39999961853027344</v>
      </c>
      <c r="AF1701" s="655">
        <f t="shared" si="14"/>
        <v>0</v>
      </c>
      <c r="AG1701" s="655">
        <f t="shared" si="14"/>
        <v>0</v>
      </c>
      <c r="AH1701" s="655">
        <f t="shared" si="14"/>
        <v>0</v>
      </c>
      <c r="AI1701" s="655">
        <f t="shared" ref="AI1701" si="15">AI1674-AI1695</f>
        <v>0</v>
      </c>
      <c r="AJ1701" s="655">
        <f>AJ1674-AJ1695</f>
        <v>1043238505.0700008</v>
      </c>
      <c r="AK1701" s="655">
        <f t="shared" ref="AK1701:AM1701" si="16">AK1674-AK1695</f>
        <v>5894083761.6700039</v>
      </c>
      <c r="AL1701" s="655">
        <f t="shared" si="16"/>
        <v>0</v>
      </c>
      <c r="AM1701" s="655">
        <f t="shared" si="16"/>
        <v>5894083761.6700039</v>
      </c>
    </row>
  </sheetData>
  <sheetProtection password="C47C" sheet="1" objects="1" scenarios="1"/>
  <pageMargins left="0.7" right="0.7" top="0.75" bottom="0.75" header="0.3" footer="0.3"/>
  <pageSetup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1044"/>
  <sheetViews>
    <sheetView workbookViewId="0">
      <pane xSplit="7" ySplit="1" topLeftCell="H1002" activePane="bottomRight" state="frozen"/>
      <selection activeCell="A2" sqref="A2"/>
      <selection pane="topRight" activeCell="A2" sqref="A2"/>
      <selection pane="bottomLeft" activeCell="A2" sqref="A2"/>
      <selection pane="bottomRight" activeCell="A2" sqref="A2"/>
    </sheetView>
  </sheetViews>
  <sheetFormatPr defaultRowHeight="11.25" x14ac:dyDescent="0.2"/>
  <cols>
    <col min="1" max="1" width="13.140625" style="761" customWidth="1"/>
    <col min="2" max="2" width="6.140625" style="761" customWidth="1"/>
    <col min="3" max="3" width="7.140625" style="761" customWidth="1"/>
    <col min="4" max="4" width="8.85546875" style="761" customWidth="1"/>
    <col min="5" max="5" width="7.85546875" style="761" customWidth="1"/>
    <col min="6" max="6" width="10.140625" style="761" customWidth="1"/>
    <col min="7" max="7" width="29.7109375" style="761" bestFit="1" customWidth="1"/>
    <col min="8" max="8" width="35.28515625" style="761" customWidth="1"/>
    <col min="9" max="9" width="30.5703125" style="761" customWidth="1"/>
    <col min="10" max="10" width="38.28515625" style="761" customWidth="1"/>
    <col min="11" max="11" width="23.7109375" style="761" customWidth="1"/>
    <col min="12" max="12" width="16.85546875" style="761" customWidth="1"/>
    <col min="13" max="13" width="28.42578125" style="761" customWidth="1"/>
    <col min="14" max="14" width="30.28515625" style="761" customWidth="1"/>
    <col min="15" max="15" width="35.5703125" style="761" customWidth="1"/>
    <col min="16" max="16" width="33.140625" style="761" customWidth="1"/>
    <col min="17" max="17" width="32.85546875" style="761" customWidth="1"/>
    <col min="18" max="18" width="40.28515625" style="761" customWidth="1"/>
    <col min="19" max="19" width="24.85546875" style="761" customWidth="1"/>
    <col min="20" max="16384" width="9.140625" style="761"/>
  </cols>
  <sheetData>
    <row r="1" spans="1:19" ht="52.5" customHeight="1" x14ac:dyDescent="0.2">
      <c r="A1" s="792" t="s">
        <v>1799</v>
      </c>
      <c r="B1" s="793" t="s">
        <v>999</v>
      </c>
      <c r="C1" s="793" t="s">
        <v>1000</v>
      </c>
      <c r="D1" s="798" t="s">
        <v>2065</v>
      </c>
      <c r="E1" s="798" t="s">
        <v>2066</v>
      </c>
      <c r="F1" s="794" t="s">
        <v>1916</v>
      </c>
      <c r="G1" s="795" t="s">
        <v>1001</v>
      </c>
      <c r="H1" s="797" t="s">
        <v>1774</v>
      </c>
      <c r="I1" s="797" t="s">
        <v>1775</v>
      </c>
      <c r="J1" s="797" t="s">
        <v>1776</v>
      </c>
      <c r="K1" s="797" t="s">
        <v>1777</v>
      </c>
      <c r="L1" s="797" t="s">
        <v>1766</v>
      </c>
      <c r="M1" s="797" t="s">
        <v>1778</v>
      </c>
      <c r="N1" s="797" t="s">
        <v>1779</v>
      </c>
      <c r="O1" s="797" t="s">
        <v>1780</v>
      </c>
      <c r="P1" s="797" t="s">
        <v>1781</v>
      </c>
      <c r="Q1" s="797" t="s">
        <v>1782</v>
      </c>
      <c r="R1" s="797" t="s">
        <v>1783</v>
      </c>
      <c r="S1" s="797" t="s">
        <v>1767</v>
      </c>
    </row>
    <row r="2" spans="1:19" x14ac:dyDescent="0.2">
      <c r="A2" s="761">
        <v>2014</v>
      </c>
      <c r="B2" s="761">
        <v>7</v>
      </c>
      <c r="C2" s="796" t="s">
        <v>77</v>
      </c>
      <c r="D2" s="796"/>
      <c r="E2" s="796"/>
      <c r="F2" s="761">
        <v>9</v>
      </c>
      <c r="G2" s="761" t="s">
        <v>998</v>
      </c>
      <c r="H2" s="799">
        <v>92309</v>
      </c>
      <c r="I2" s="799">
        <v>9452</v>
      </c>
      <c r="J2" s="799">
        <v>36946</v>
      </c>
      <c r="K2" s="799">
        <v>76421</v>
      </c>
      <c r="L2" s="799">
        <v>0</v>
      </c>
      <c r="M2" s="799">
        <v>101233</v>
      </c>
      <c r="N2" s="799">
        <v>34740</v>
      </c>
      <c r="O2" s="799">
        <v>1696</v>
      </c>
      <c r="P2" s="799">
        <v>10583</v>
      </c>
      <c r="Q2" s="799">
        <v>0</v>
      </c>
      <c r="R2" s="799">
        <v>5038</v>
      </c>
      <c r="S2" s="799">
        <v>14772</v>
      </c>
    </row>
    <row r="3" spans="1:19" x14ac:dyDescent="0.2">
      <c r="A3" s="761">
        <v>2014</v>
      </c>
      <c r="B3" s="761">
        <v>11</v>
      </c>
      <c r="C3" s="796" t="s">
        <v>75</v>
      </c>
      <c r="D3" s="796"/>
      <c r="E3" s="796"/>
      <c r="F3" s="761">
        <v>18</v>
      </c>
      <c r="G3" s="761" t="s">
        <v>1007</v>
      </c>
      <c r="H3" s="799">
        <v>15770</v>
      </c>
      <c r="I3" s="799">
        <v>1783</v>
      </c>
      <c r="J3" s="799">
        <v>0</v>
      </c>
      <c r="K3" s="799">
        <v>0</v>
      </c>
      <c r="L3" s="799">
        <v>23154</v>
      </c>
      <c r="M3" s="799">
        <v>97159</v>
      </c>
      <c r="N3" s="799">
        <v>685</v>
      </c>
      <c r="O3" s="799">
        <v>333</v>
      </c>
      <c r="P3" s="799">
        <v>0</v>
      </c>
      <c r="Q3" s="799">
        <v>0</v>
      </c>
      <c r="R3" s="799">
        <v>3368</v>
      </c>
      <c r="S3" s="799">
        <v>22271</v>
      </c>
    </row>
    <row r="4" spans="1:19" x14ac:dyDescent="0.2">
      <c r="A4" s="761">
        <v>2014</v>
      </c>
      <c r="B4" s="761">
        <v>11</v>
      </c>
      <c r="C4" s="796" t="s">
        <v>76</v>
      </c>
      <c r="D4" s="796"/>
      <c r="E4" s="796"/>
      <c r="F4" s="761">
        <v>27</v>
      </c>
      <c r="G4" s="761" t="s">
        <v>2005</v>
      </c>
      <c r="H4" s="799">
        <v>3409</v>
      </c>
      <c r="I4" s="799">
        <v>0</v>
      </c>
      <c r="J4" s="799">
        <v>0</v>
      </c>
      <c r="K4" s="799">
        <v>45797</v>
      </c>
      <c r="L4" s="799">
        <v>0</v>
      </c>
      <c r="M4" s="799">
        <v>0</v>
      </c>
      <c r="N4" s="799">
        <v>34985</v>
      </c>
      <c r="O4" s="799">
        <v>12094</v>
      </c>
      <c r="P4" s="799">
        <v>19167</v>
      </c>
      <c r="Q4" s="799">
        <v>0</v>
      </c>
      <c r="R4" s="799">
        <v>8071</v>
      </c>
      <c r="S4" s="799">
        <v>29049</v>
      </c>
    </row>
    <row r="5" spans="1:19" x14ac:dyDescent="0.2">
      <c r="A5" s="761">
        <v>2014</v>
      </c>
      <c r="B5" s="761">
        <v>12</v>
      </c>
      <c r="C5" s="796" t="s">
        <v>79</v>
      </c>
      <c r="D5" s="796"/>
      <c r="E5" s="796"/>
      <c r="F5" s="761">
        <v>63</v>
      </c>
      <c r="G5" s="761" t="s">
        <v>1008</v>
      </c>
      <c r="H5" s="799">
        <v>0</v>
      </c>
      <c r="I5" s="799">
        <v>0</v>
      </c>
      <c r="J5" s="799">
        <v>0</v>
      </c>
      <c r="K5" s="799">
        <v>0</v>
      </c>
      <c r="L5" s="799">
        <v>0</v>
      </c>
      <c r="M5" s="799">
        <v>17044</v>
      </c>
      <c r="N5" s="799">
        <v>2963</v>
      </c>
      <c r="O5" s="799">
        <v>873</v>
      </c>
      <c r="P5" s="799">
        <v>1172</v>
      </c>
      <c r="Q5" s="799">
        <v>0</v>
      </c>
      <c r="R5" s="799">
        <v>0</v>
      </c>
      <c r="S5" s="799">
        <v>4196</v>
      </c>
    </row>
    <row r="6" spans="1:19" x14ac:dyDescent="0.2">
      <c r="A6" s="761">
        <v>2014</v>
      </c>
      <c r="B6" s="761">
        <v>5</v>
      </c>
      <c r="C6" s="796" t="s">
        <v>80</v>
      </c>
      <c r="D6" s="796"/>
      <c r="E6" s="796"/>
      <c r="F6" s="761">
        <v>72</v>
      </c>
      <c r="G6" s="761" t="s">
        <v>1009</v>
      </c>
      <c r="H6" s="799">
        <v>0</v>
      </c>
      <c r="I6" s="799">
        <v>0</v>
      </c>
      <c r="J6" s="799">
        <v>44057</v>
      </c>
      <c r="K6" s="799">
        <v>3914</v>
      </c>
      <c r="L6" s="799">
        <v>0</v>
      </c>
      <c r="M6" s="799">
        <v>0</v>
      </c>
      <c r="N6" s="799">
        <v>45766</v>
      </c>
      <c r="O6" s="799">
        <v>11727</v>
      </c>
      <c r="P6" s="799">
        <v>10003</v>
      </c>
      <c r="Q6" s="799">
        <v>0</v>
      </c>
      <c r="R6" s="799">
        <v>5790</v>
      </c>
      <c r="S6" s="799">
        <v>16276</v>
      </c>
    </row>
    <row r="7" spans="1:19" x14ac:dyDescent="0.2">
      <c r="A7" s="761">
        <v>2014</v>
      </c>
      <c r="B7" s="761">
        <v>15</v>
      </c>
      <c r="C7" s="796" t="s">
        <v>81</v>
      </c>
      <c r="D7" s="796"/>
      <c r="E7" s="796"/>
      <c r="F7" s="761">
        <v>81</v>
      </c>
      <c r="G7" s="761" t="s">
        <v>1010</v>
      </c>
      <c r="H7" s="799">
        <v>0</v>
      </c>
      <c r="I7" s="799">
        <v>0</v>
      </c>
      <c r="J7" s="799">
        <v>56969</v>
      </c>
      <c r="K7" s="799">
        <v>4489</v>
      </c>
      <c r="L7" s="799">
        <v>0</v>
      </c>
      <c r="M7" s="799">
        <v>68499</v>
      </c>
      <c r="N7" s="799">
        <v>60288</v>
      </c>
      <c r="O7" s="799">
        <v>14738</v>
      </c>
      <c r="P7" s="799">
        <v>44895</v>
      </c>
      <c r="Q7" s="799">
        <v>0</v>
      </c>
      <c r="R7" s="799">
        <v>0</v>
      </c>
      <c r="S7" s="799">
        <v>0</v>
      </c>
    </row>
    <row r="8" spans="1:19" x14ac:dyDescent="0.2">
      <c r="A8" s="761">
        <v>2014</v>
      </c>
      <c r="B8" s="761">
        <v>10</v>
      </c>
      <c r="C8" s="796" t="s">
        <v>82</v>
      </c>
      <c r="D8" s="796"/>
      <c r="E8" s="796"/>
      <c r="F8" s="761">
        <v>99</v>
      </c>
      <c r="G8" s="761" t="s">
        <v>1011</v>
      </c>
      <c r="H8" s="799">
        <v>0</v>
      </c>
      <c r="I8" s="799">
        <v>0</v>
      </c>
      <c r="J8" s="799">
        <v>306203</v>
      </c>
      <c r="K8" s="799">
        <v>86271</v>
      </c>
      <c r="L8" s="799">
        <v>0</v>
      </c>
      <c r="M8" s="799">
        <v>0</v>
      </c>
      <c r="N8" s="799">
        <v>765</v>
      </c>
      <c r="O8" s="799">
        <v>4973</v>
      </c>
      <c r="P8" s="799">
        <v>28543</v>
      </c>
      <c r="Q8" s="799">
        <v>0</v>
      </c>
      <c r="R8" s="799">
        <v>3051</v>
      </c>
      <c r="S8" s="799">
        <v>15797</v>
      </c>
    </row>
    <row r="9" spans="1:19" x14ac:dyDescent="0.2">
      <c r="A9" s="761">
        <v>2014</v>
      </c>
      <c r="B9" s="761">
        <v>7</v>
      </c>
      <c r="C9" s="796" t="s">
        <v>83</v>
      </c>
      <c r="D9" s="796"/>
      <c r="E9" s="796"/>
      <c r="F9" s="761">
        <v>108</v>
      </c>
      <c r="G9" s="761" t="s">
        <v>1012</v>
      </c>
      <c r="H9" s="799">
        <v>537</v>
      </c>
      <c r="I9" s="799">
        <v>0</v>
      </c>
      <c r="J9" s="799">
        <v>0</v>
      </c>
      <c r="K9" s="799">
        <v>0</v>
      </c>
      <c r="L9" s="799">
        <v>19103</v>
      </c>
      <c r="M9" s="799">
        <v>1881</v>
      </c>
      <c r="N9" s="799">
        <v>116174</v>
      </c>
      <c r="O9" s="799">
        <v>6835</v>
      </c>
      <c r="P9" s="799">
        <v>14541</v>
      </c>
      <c r="Q9" s="799">
        <v>0</v>
      </c>
      <c r="R9" s="799">
        <v>5263</v>
      </c>
      <c r="S9" s="799">
        <v>13966</v>
      </c>
    </row>
    <row r="10" spans="1:19" x14ac:dyDescent="0.2">
      <c r="A10" s="761">
        <v>2014</v>
      </c>
      <c r="B10" s="761">
        <v>5</v>
      </c>
      <c r="C10" s="796" t="s">
        <v>84</v>
      </c>
      <c r="D10" s="761">
        <v>6417</v>
      </c>
      <c r="E10" s="796"/>
      <c r="F10" s="761">
        <v>126</v>
      </c>
      <c r="G10" s="761" t="s">
        <v>1013</v>
      </c>
      <c r="H10" s="799">
        <v>0</v>
      </c>
      <c r="I10" s="799">
        <v>640</v>
      </c>
      <c r="J10" s="799">
        <v>241705</v>
      </c>
      <c r="K10" s="799">
        <v>144307</v>
      </c>
      <c r="L10" s="799">
        <v>0</v>
      </c>
      <c r="M10" s="799">
        <v>495808</v>
      </c>
      <c r="N10" s="799">
        <v>71906</v>
      </c>
      <c r="O10" s="799">
        <v>35841</v>
      </c>
      <c r="P10" s="799">
        <v>72752</v>
      </c>
      <c r="Q10" s="799">
        <v>0</v>
      </c>
      <c r="R10" s="799">
        <v>14987</v>
      </c>
      <c r="S10" s="799">
        <v>36195</v>
      </c>
    </row>
    <row r="11" spans="1:19" x14ac:dyDescent="0.2">
      <c r="A11" s="761">
        <v>2014</v>
      </c>
      <c r="B11" s="761">
        <v>1</v>
      </c>
      <c r="C11" s="796" t="s">
        <v>85</v>
      </c>
      <c r="D11" s="796"/>
      <c r="E11" s="796"/>
      <c r="F11" s="761">
        <v>135</v>
      </c>
      <c r="G11" s="761" t="s">
        <v>1014</v>
      </c>
      <c r="H11" s="799">
        <v>0</v>
      </c>
      <c r="I11" s="799">
        <v>0</v>
      </c>
      <c r="J11" s="799">
        <v>18590</v>
      </c>
      <c r="K11" s="799">
        <v>123501</v>
      </c>
      <c r="L11" s="799">
        <v>96313</v>
      </c>
      <c r="M11" s="799">
        <v>67583</v>
      </c>
      <c r="N11" s="799">
        <v>62402</v>
      </c>
      <c r="O11" s="799">
        <v>33763</v>
      </c>
      <c r="P11" s="799">
        <v>92897</v>
      </c>
      <c r="Q11" s="799">
        <v>0</v>
      </c>
      <c r="R11" s="799">
        <v>6955</v>
      </c>
      <c r="S11" s="799">
        <v>45555</v>
      </c>
    </row>
    <row r="12" spans="1:19" x14ac:dyDescent="0.2">
      <c r="A12" s="761">
        <v>2014</v>
      </c>
      <c r="B12" s="761">
        <v>7</v>
      </c>
      <c r="C12" s="796" t="s">
        <v>86</v>
      </c>
      <c r="D12" s="796"/>
      <c r="E12" s="796"/>
      <c r="F12" s="761">
        <v>153</v>
      </c>
      <c r="G12" s="761" t="s">
        <v>1482</v>
      </c>
      <c r="H12" s="799">
        <v>0</v>
      </c>
      <c r="I12" s="799">
        <v>0</v>
      </c>
      <c r="J12" s="799">
        <v>219260</v>
      </c>
      <c r="K12" s="799">
        <v>0</v>
      </c>
      <c r="L12" s="799">
        <v>53625</v>
      </c>
      <c r="M12" s="799">
        <v>0</v>
      </c>
      <c r="N12" s="799">
        <v>559</v>
      </c>
      <c r="O12" s="799">
        <v>3553</v>
      </c>
      <c r="P12" s="799">
        <v>12388</v>
      </c>
      <c r="Q12" s="799">
        <v>0</v>
      </c>
      <c r="R12" s="799">
        <v>7263</v>
      </c>
      <c r="S12" s="799">
        <v>17525</v>
      </c>
    </row>
    <row r="13" spans="1:19" x14ac:dyDescent="0.2">
      <c r="A13" s="761">
        <v>2014</v>
      </c>
      <c r="B13" s="761">
        <v>5</v>
      </c>
      <c r="C13" s="796" t="s">
        <v>87</v>
      </c>
      <c r="D13" s="796"/>
      <c r="E13" s="796"/>
      <c r="F13" s="761">
        <v>171</v>
      </c>
      <c r="G13" s="761" t="s">
        <v>1015</v>
      </c>
      <c r="H13" s="799">
        <v>24474</v>
      </c>
      <c r="I13" s="799">
        <v>13281</v>
      </c>
      <c r="J13" s="799">
        <v>1307</v>
      </c>
      <c r="K13" s="799">
        <v>8117</v>
      </c>
      <c r="L13" s="799">
        <v>0</v>
      </c>
      <c r="M13" s="799">
        <v>0</v>
      </c>
      <c r="N13" s="799">
        <v>28411</v>
      </c>
      <c r="O13" s="799">
        <v>21133</v>
      </c>
      <c r="P13" s="799">
        <v>6098</v>
      </c>
      <c r="Q13" s="799">
        <v>0</v>
      </c>
      <c r="R13" s="799">
        <v>6671</v>
      </c>
      <c r="S13" s="799">
        <v>15783</v>
      </c>
    </row>
    <row r="14" spans="1:19" x14ac:dyDescent="0.2">
      <c r="A14" s="761">
        <v>2014</v>
      </c>
      <c r="B14" s="761">
        <v>11</v>
      </c>
      <c r="C14" s="796" t="s">
        <v>88</v>
      </c>
      <c r="D14" s="796"/>
      <c r="E14" s="796"/>
      <c r="F14" s="761">
        <v>225</v>
      </c>
      <c r="G14" s="761" t="s">
        <v>1016</v>
      </c>
      <c r="H14" s="799">
        <v>22385</v>
      </c>
      <c r="I14" s="799">
        <v>2207</v>
      </c>
      <c r="J14" s="799">
        <v>0</v>
      </c>
      <c r="K14" s="799">
        <v>0</v>
      </c>
      <c r="L14" s="799">
        <v>0</v>
      </c>
      <c r="M14" s="799">
        <v>0</v>
      </c>
      <c r="N14" s="799">
        <v>221998</v>
      </c>
      <c r="O14" s="799">
        <v>76731</v>
      </c>
      <c r="P14" s="799">
        <v>184990</v>
      </c>
      <c r="Q14" s="799">
        <v>0</v>
      </c>
      <c r="R14" s="799">
        <v>411</v>
      </c>
      <c r="S14" s="799">
        <v>226412</v>
      </c>
    </row>
    <row r="15" spans="1:19" x14ac:dyDescent="0.2">
      <c r="A15" s="761">
        <v>2014</v>
      </c>
      <c r="B15" s="761">
        <v>10</v>
      </c>
      <c r="C15" s="796" t="s">
        <v>89</v>
      </c>
      <c r="D15" s="796"/>
      <c r="E15" s="796"/>
      <c r="F15" s="761">
        <v>234</v>
      </c>
      <c r="G15" s="761" t="s">
        <v>1017</v>
      </c>
      <c r="H15" s="799">
        <v>15949</v>
      </c>
      <c r="I15" s="799">
        <v>4173</v>
      </c>
      <c r="J15" s="799">
        <v>0</v>
      </c>
      <c r="K15" s="799">
        <v>50731</v>
      </c>
      <c r="L15" s="799">
        <v>0</v>
      </c>
      <c r="M15" s="799">
        <v>226389</v>
      </c>
      <c r="N15" s="799">
        <v>137647</v>
      </c>
      <c r="O15" s="799">
        <v>12541</v>
      </c>
      <c r="P15" s="799">
        <v>11481</v>
      </c>
      <c r="Q15" s="799">
        <v>0</v>
      </c>
      <c r="R15" s="799">
        <v>9593</v>
      </c>
      <c r="S15" s="799">
        <v>19907</v>
      </c>
    </row>
    <row r="16" spans="1:19" x14ac:dyDescent="0.2">
      <c r="A16" s="761">
        <v>2014</v>
      </c>
      <c r="B16" s="761">
        <v>9</v>
      </c>
      <c r="C16" s="796" t="s">
        <v>90</v>
      </c>
      <c r="D16" s="796"/>
      <c r="E16" s="796"/>
      <c r="F16" s="761">
        <v>243</v>
      </c>
      <c r="G16" s="761" t="s">
        <v>1018</v>
      </c>
      <c r="H16" s="799">
        <v>56</v>
      </c>
      <c r="I16" s="799">
        <v>0</v>
      </c>
      <c r="J16" s="799">
        <v>52370</v>
      </c>
      <c r="K16" s="799">
        <v>0</v>
      </c>
      <c r="L16" s="799">
        <v>0</v>
      </c>
      <c r="M16" s="799">
        <v>64454</v>
      </c>
      <c r="N16" s="799">
        <v>0</v>
      </c>
      <c r="O16" s="799">
        <v>0</v>
      </c>
      <c r="P16" s="799">
        <v>6782</v>
      </c>
      <c r="Q16" s="799">
        <v>0</v>
      </c>
      <c r="R16" s="799">
        <v>1478</v>
      </c>
      <c r="S16" s="799">
        <v>7159</v>
      </c>
    </row>
    <row r="17" spans="1:19" x14ac:dyDescent="0.2">
      <c r="A17" s="761">
        <v>2014</v>
      </c>
      <c r="B17" s="761">
        <v>11</v>
      </c>
      <c r="C17" s="796" t="s">
        <v>91</v>
      </c>
      <c r="D17" s="796"/>
      <c r="E17" s="796"/>
      <c r="F17" s="761">
        <v>261</v>
      </c>
      <c r="G17" s="761" t="s">
        <v>1019</v>
      </c>
      <c r="H17" s="799">
        <v>4119</v>
      </c>
      <c r="I17" s="799">
        <v>0</v>
      </c>
      <c r="J17" s="799">
        <v>0</v>
      </c>
      <c r="K17" s="799">
        <v>0</v>
      </c>
      <c r="L17" s="799">
        <v>0</v>
      </c>
      <c r="M17" s="799">
        <v>468247</v>
      </c>
      <c r="N17" s="799">
        <v>0</v>
      </c>
      <c r="O17" s="799">
        <v>21234</v>
      </c>
      <c r="P17" s="799">
        <v>0</v>
      </c>
      <c r="Q17" s="799">
        <v>0</v>
      </c>
      <c r="R17" s="799">
        <v>35716</v>
      </c>
      <c r="S17" s="799">
        <v>452116</v>
      </c>
    </row>
    <row r="18" spans="1:19" x14ac:dyDescent="0.2">
      <c r="A18" s="761">
        <v>2014</v>
      </c>
      <c r="B18" s="761">
        <v>7</v>
      </c>
      <c r="C18" s="796" t="s">
        <v>92</v>
      </c>
      <c r="D18" s="796"/>
      <c r="E18" s="796"/>
      <c r="F18" s="761">
        <v>279</v>
      </c>
      <c r="G18" s="761" t="s">
        <v>1455</v>
      </c>
      <c r="H18" s="799">
        <v>0</v>
      </c>
      <c r="I18" s="799">
        <v>0</v>
      </c>
      <c r="J18" s="799">
        <v>32449</v>
      </c>
      <c r="K18" s="799">
        <v>96988</v>
      </c>
      <c r="L18" s="799">
        <v>14616</v>
      </c>
      <c r="M18" s="799">
        <v>59179</v>
      </c>
      <c r="N18" s="799">
        <v>53878</v>
      </c>
      <c r="O18" s="799">
        <v>50398</v>
      </c>
      <c r="P18" s="799">
        <v>78448</v>
      </c>
      <c r="Q18" s="799">
        <v>47183</v>
      </c>
      <c r="R18" s="799">
        <v>8124</v>
      </c>
      <c r="S18" s="799">
        <v>25951</v>
      </c>
    </row>
    <row r="19" spans="1:19" x14ac:dyDescent="0.2">
      <c r="A19" s="761">
        <v>2014</v>
      </c>
      <c r="B19" s="761">
        <v>5</v>
      </c>
      <c r="C19" s="796" t="s">
        <v>93</v>
      </c>
      <c r="D19" s="761">
        <v>5868</v>
      </c>
      <c r="E19" s="796"/>
      <c r="F19" s="761">
        <v>333</v>
      </c>
      <c r="G19" s="761" t="s">
        <v>1635</v>
      </c>
      <c r="H19" s="799">
        <v>0</v>
      </c>
      <c r="I19" s="799">
        <v>0</v>
      </c>
      <c r="J19" s="799">
        <v>14913</v>
      </c>
      <c r="K19" s="799">
        <v>9038</v>
      </c>
      <c r="L19" s="799">
        <v>1815</v>
      </c>
      <c r="M19" s="799">
        <v>0</v>
      </c>
      <c r="N19" s="799">
        <v>51100</v>
      </c>
      <c r="O19" s="799">
        <v>82550</v>
      </c>
      <c r="P19" s="799">
        <v>7929</v>
      </c>
      <c r="Q19" s="799">
        <v>0</v>
      </c>
      <c r="R19" s="799">
        <v>5553</v>
      </c>
      <c r="S19" s="799">
        <v>13352</v>
      </c>
    </row>
    <row r="20" spans="1:19" x14ac:dyDescent="0.2">
      <c r="A20" s="761">
        <v>2014</v>
      </c>
      <c r="B20" s="761">
        <v>12</v>
      </c>
      <c r="C20" s="796" t="s">
        <v>94</v>
      </c>
      <c r="D20" s="796"/>
      <c r="E20" s="796"/>
      <c r="F20" s="761">
        <v>355</v>
      </c>
      <c r="G20" s="761" t="s">
        <v>1020</v>
      </c>
      <c r="H20" s="799">
        <v>0</v>
      </c>
      <c r="I20" s="799">
        <v>0</v>
      </c>
      <c r="J20" s="799">
        <v>0</v>
      </c>
      <c r="K20" s="799">
        <v>0</v>
      </c>
      <c r="L20" s="799">
        <v>0</v>
      </c>
      <c r="M20" s="799">
        <v>67343</v>
      </c>
      <c r="N20" s="799">
        <v>21110</v>
      </c>
      <c r="O20" s="799">
        <v>37950</v>
      </c>
      <c r="P20" s="799">
        <v>8595</v>
      </c>
      <c r="Q20" s="799">
        <v>0</v>
      </c>
      <c r="R20" s="799">
        <v>6112</v>
      </c>
      <c r="S20" s="799">
        <v>17181</v>
      </c>
    </row>
    <row r="21" spans="1:19" x14ac:dyDescent="0.2">
      <c r="A21" s="761">
        <v>2014</v>
      </c>
      <c r="B21" s="761">
        <v>13</v>
      </c>
      <c r="C21" s="796" t="s">
        <v>95</v>
      </c>
      <c r="D21" s="796"/>
      <c r="E21" s="796"/>
      <c r="F21" s="761">
        <v>387</v>
      </c>
      <c r="G21" s="761" t="s">
        <v>1021</v>
      </c>
      <c r="H21" s="799">
        <v>8030</v>
      </c>
      <c r="I21" s="799">
        <v>0</v>
      </c>
      <c r="J21" s="799">
        <v>0</v>
      </c>
      <c r="K21" s="799">
        <v>23171</v>
      </c>
      <c r="L21" s="799">
        <v>0</v>
      </c>
      <c r="M21" s="799">
        <v>178691</v>
      </c>
      <c r="N21" s="799">
        <v>0</v>
      </c>
      <c r="O21" s="799">
        <v>76055</v>
      </c>
      <c r="P21" s="799">
        <v>67329</v>
      </c>
      <c r="Q21" s="799">
        <v>620</v>
      </c>
      <c r="R21" s="799">
        <v>10301</v>
      </c>
      <c r="S21" s="799">
        <v>25061</v>
      </c>
    </row>
    <row r="22" spans="1:19" x14ac:dyDescent="0.2">
      <c r="A22" s="761">
        <v>2014</v>
      </c>
      <c r="B22" s="761">
        <v>11</v>
      </c>
      <c r="C22" s="796" t="s">
        <v>96</v>
      </c>
      <c r="D22" s="796"/>
      <c r="E22" s="796"/>
      <c r="F22" s="761">
        <v>414</v>
      </c>
      <c r="G22" s="761" t="s">
        <v>1022</v>
      </c>
      <c r="H22" s="799">
        <v>3720</v>
      </c>
      <c r="I22" s="799">
        <v>3713</v>
      </c>
      <c r="J22" s="799">
        <v>60801</v>
      </c>
      <c r="K22" s="799">
        <v>117601</v>
      </c>
      <c r="L22" s="799">
        <v>42724</v>
      </c>
      <c r="M22" s="799">
        <v>18729</v>
      </c>
      <c r="N22" s="799">
        <v>42001</v>
      </c>
      <c r="O22" s="799">
        <v>0</v>
      </c>
      <c r="P22" s="799">
        <v>20466</v>
      </c>
      <c r="Q22" s="799">
        <v>920</v>
      </c>
      <c r="R22" s="799">
        <v>5465</v>
      </c>
      <c r="S22" s="799">
        <v>13860</v>
      </c>
    </row>
    <row r="23" spans="1:19" x14ac:dyDescent="0.2">
      <c r="A23" s="761">
        <v>2014</v>
      </c>
      <c r="B23" s="761">
        <v>12</v>
      </c>
      <c r="C23" s="796" t="s">
        <v>97</v>
      </c>
      <c r="D23" s="796"/>
      <c r="E23" s="796"/>
      <c r="F23" s="761">
        <v>423</v>
      </c>
      <c r="G23" s="761" t="s">
        <v>1023</v>
      </c>
      <c r="H23" s="799">
        <v>40122</v>
      </c>
      <c r="I23" s="799">
        <v>1278</v>
      </c>
      <c r="J23" s="799">
        <v>666</v>
      </c>
      <c r="K23" s="799">
        <v>84917</v>
      </c>
      <c r="L23" s="799">
        <v>15436</v>
      </c>
      <c r="M23" s="799">
        <v>0</v>
      </c>
      <c r="N23" s="799">
        <v>22727</v>
      </c>
      <c r="O23" s="799">
        <v>38137</v>
      </c>
      <c r="P23" s="799">
        <v>4723</v>
      </c>
      <c r="Q23" s="799">
        <v>0</v>
      </c>
      <c r="R23" s="799">
        <v>5783</v>
      </c>
      <c r="S23" s="799">
        <v>13720</v>
      </c>
    </row>
    <row r="24" spans="1:19" x14ac:dyDescent="0.2">
      <c r="A24" s="761">
        <v>2014</v>
      </c>
      <c r="B24" s="761">
        <v>13</v>
      </c>
      <c r="C24" s="796" t="s">
        <v>78</v>
      </c>
      <c r="D24" s="761">
        <v>6750</v>
      </c>
      <c r="E24" s="796"/>
      <c r="F24" s="761">
        <v>441</v>
      </c>
      <c r="G24" s="761" t="s">
        <v>1785</v>
      </c>
      <c r="H24" s="799">
        <v>10903</v>
      </c>
      <c r="I24" s="799">
        <v>0</v>
      </c>
      <c r="J24" s="799">
        <v>67400</v>
      </c>
      <c r="K24" s="799">
        <v>91684</v>
      </c>
      <c r="L24" s="799">
        <v>0</v>
      </c>
      <c r="M24" s="799">
        <v>17134</v>
      </c>
      <c r="N24" s="799">
        <v>44384</v>
      </c>
      <c r="O24" s="799">
        <v>10318</v>
      </c>
      <c r="P24" s="799">
        <v>20560</v>
      </c>
      <c r="Q24" s="799">
        <v>0</v>
      </c>
      <c r="R24" s="799">
        <v>12905</v>
      </c>
      <c r="S24" s="799">
        <v>33107</v>
      </c>
    </row>
    <row r="25" spans="1:19" x14ac:dyDescent="0.2">
      <c r="A25" s="761">
        <v>2014</v>
      </c>
      <c r="B25" s="761">
        <v>11</v>
      </c>
      <c r="C25" s="796" t="s">
        <v>98</v>
      </c>
      <c r="D25" s="796"/>
      <c r="E25" s="796"/>
      <c r="F25" s="761">
        <v>472</v>
      </c>
      <c r="G25" s="761" t="s">
        <v>1024</v>
      </c>
      <c r="H25" s="799">
        <v>105275</v>
      </c>
      <c r="I25" s="799">
        <v>293</v>
      </c>
      <c r="J25" s="799">
        <v>61561</v>
      </c>
      <c r="K25" s="799">
        <v>0</v>
      </c>
      <c r="L25" s="799">
        <v>0</v>
      </c>
      <c r="M25" s="799">
        <v>0</v>
      </c>
      <c r="N25" s="799">
        <v>8265</v>
      </c>
      <c r="O25" s="799">
        <v>22341</v>
      </c>
      <c r="P25" s="799">
        <v>72225</v>
      </c>
      <c r="Q25" s="799">
        <v>0</v>
      </c>
      <c r="R25" s="799">
        <v>10717</v>
      </c>
      <c r="S25" s="799">
        <v>92736</v>
      </c>
    </row>
    <row r="26" spans="1:19" x14ac:dyDescent="0.2">
      <c r="A26" s="761">
        <v>2014</v>
      </c>
      <c r="B26" s="761">
        <v>12</v>
      </c>
      <c r="C26" s="796" t="s">
        <v>99</v>
      </c>
      <c r="D26" s="796"/>
      <c r="E26" s="796"/>
      <c r="F26" s="761">
        <v>504</v>
      </c>
      <c r="G26" s="761" t="s">
        <v>1025</v>
      </c>
      <c r="H26" s="799">
        <v>45103</v>
      </c>
      <c r="I26" s="799">
        <v>0</v>
      </c>
      <c r="J26" s="799">
        <v>148852</v>
      </c>
      <c r="K26" s="799">
        <v>44270</v>
      </c>
      <c r="L26" s="799">
        <v>36304</v>
      </c>
      <c r="M26" s="799">
        <v>109256</v>
      </c>
      <c r="N26" s="799">
        <v>10338</v>
      </c>
      <c r="O26" s="799">
        <v>10445</v>
      </c>
      <c r="P26" s="799">
        <v>36383</v>
      </c>
      <c r="Q26" s="799">
        <v>0</v>
      </c>
      <c r="R26" s="799">
        <v>799</v>
      </c>
      <c r="S26" s="799">
        <v>21154</v>
      </c>
    </row>
    <row r="27" spans="1:19" x14ac:dyDescent="0.2">
      <c r="A27" s="761">
        <v>2014</v>
      </c>
      <c r="B27" s="761">
        <v>11</v>
      </c>
      <c r="C27" s="796" t="s">
        <v>100</v>
      </c>
      <c r="D27" s="796"/>
      <c r="E27" s="796"/>
      <c r="F27" s="761">
        <v>513</v>
      </c>
      <c r="G27" s="761" t="s">
        <v>1026</v>
      </c>
      <c r="H27" s="799">
        <v>0</v>
      </c>
      <c r="I27" s="799">
        <v>0</v>
      </c>
      <c r="J27" s="799">
        <v>7865</v>
      </c>
      <c r="K27" s="799">
        <v>76216</v>
      </c>
      <c r="L27" s="799">
        <v>22996</v>
      </c>
      <c r="M27" s="799">
        <v>22511</v>
      </c>
      <c r="N27" s="799">
        <v>0</v>
      </c>
      <c r="O27" s="799">
        <v>5078</v>
      </c>
      <c r="P27" s="799">
        <v>4151</v>
      </c>
      <c r="Q27" s="799">
        <v>0</v>
      </c>
      <c r="R27" s="799">
        <v>6311</v>
      </c>
      <c r="S27" s="799">
        <v>14847</v>
      </c>
    </row>
    <row r="28" spans="1:19" x14ac:dyDescent="0.2">
      <c r="A28" s="761">
        <v>2014</v>
      </c>
      <c r="B28" s="761">
        <v>7</v>
      </c>
      <c r="C28" s="796" t="s">
        <v>101</v>
      </c>
      <c r="D28" s="796"/>
      <c r="E28" s="796"/>
      <c r="F28" s="761">
        <v>540</v>
      </c>
      <c r="G28" s="761" t="s">
        <v>1027</v>
      </c>
      <c r="H28" s="799">
        <v>362</v>
      </c>
      <c r="I28" s="799">
        <v>0</v>
      </c>
      <c r="J28" s="799">
        <v>19897</v>
      </c>
      <c r="K28" s="799">
        <v>2400</v>
      </c>
      <c r="L28" s="799">
        <v>0</v>
      </c>
      <c r="M28" s="799">
        <v>73426</v>
      </c>
      <c r="N28" s="799">
        <v>558</v>
      </c>
      <c r="O28" s="799">
        <v>0</v>
      </c>
      <c r="P28" s="799">
        <v>4393</v>
      </c>
      <c r="Q28" s="799">
        <v>0</v>
      </c>
      <c r="R28" s="799">
        <v>205</v>
      </c>
      <c r="S28" s="799">
        <v>13115</v>
      </c>
    </row>
    <row r="29" spans="1:19" x14ac:dyDescent="0.2">
      <c r="A29" s="761">
        <v>2014</v>
      </c>
      <c r="B29" s="761">
        <v>13</v>
      </c>
      <c r="C29" s="796" t="s">
        <v>102</v>
      </c>
      <c r="D29" s="796"/>
      <c r="E29" s="796"/>
      <c r="F29" s="761">
        <v>549</v>
      </c>
      <c r="G29" s="761" t="s">
        <v>1028</v>
      </c>
      <c r="H29" s="799">
        <v>0</v>
      </c>
      <c r="I29" s="799">
        <v>0</v>
      </c>
      <c r="J29" s="799">
        <v>0</v>
      </c>
      <c r="K29" s="799">
        <v>0</v>
      </c>
      <c r="L29" s="799">
        <v>0</v>
      </c>
      <c r="M29" s="799">
        <v>20683</v>
      </c>
      <c r="N29" s="799">
        <v>25816</v>
      </c>
      <c r="O29" s="799">
        <v>1492</v>
      </c>
      <c r="P29" s="799">
        <v>20589</v>
      </c>
      <c r="Q29" s="799">
        <v>0</v>
      </c>
      <c r="R29" s="799">
        <v>6841</v>
      </c>
      <c r="S29" s="799">
        <v>21058</v>
      </c>
    </row>
    <row r="30" spans="1:19" x14ac:dyDescent="0.2">
      <c r="A30" s="761">
        <v>2014</v>
      </c>
      <c r="B30" s="761">
        <v>10</v>
      </c>
      <c r="C30" s="796" t="s">
        <v>103</v>
      </c>
      <c r="D30" s="796"/>
      <c r="E30" s="796"/>
      <c r="F30" s="761">
        <v>576</v>
      </c>
      <c r="G30" s="761" t="s">
        <v>1029</v>
      </c>
      <c r="H30" s="799">
        <v>0</v>
      </c>
      <c r="I30" s="799">
        <v>0</v>
      </c>
      <c r="J30" s="799">
        <v>218160</v>
      </c>
      <c r="K30" s="799">
        <v>0</v>
      </c>
      <c r="L30" s="799">
        <v>0</v>
      </c>
      <c r="M30" s="799">
        <v>92309</v>
      </c>
      <c r="N30" s="799">
        <v>33684</v>
      </c>
      <c r="O30" s="799">
        <v>47184</v>
      </c>
      <c r="P30" s="799">
        <v>16389</v>
      </c>
      <c r="Q30" s="799">
        <v>0</v>
      </c>
      <c r="R30" s="799">
        <v>7059</v>
      </c>
      <c r="S30" s="799">
        <v>17700</v>
      </c>
    </row>
    <row r="31" spans="1:19" x14ac:dyDescent="0.2">
      <c r="A31" s="761">
        <v>2014</v>
      </c>
      <c r="B31" s="761">
        <v>9</v>
      </c>
      <c r="C31" s="796" t="s">
        <v>104</v>
      </c>
      <c r="D31" s="796"/>
      <c r="E31" s="796"/>
      <c r="F31" s="761">
        <v>585</v>
      </c>
      <c r="G31" s="761" t="s">
        <v>1030</v>
      </c>
      <c r="H31" s="799">
        <v>3707</v>
      </c>
      <c r="I31" s="799">
        <v>0</v>
      </c>
      <c r="J31" s="799">
        <v>6269</v>
      </c>
      <c r="K31" s="799">
        <v>35794</v>
      </c>
      <c r="L31" s="799">
        <v>37000</v>
      </c>
      <c r="M31" s="799">
        <v>136659</v>
      </c>
      <c r="N31" s="799">
        <v>23063</v>
      </c>
      <c r="O31" s="799">
        <v>34682</v>
      </c>
      <c r="P31" s="799">
        <v>26548</v>
      </c>
      <c r="Q31" s="799">
        <v>0</v>
      </c>
      <c r="R31" s="799">
        <v>4313</v>
      </c>
      <c r="S31" s="799">
        <v>17825</v>
      </c>
    </row>
    <row r="32" spans="1:19" x14ac:dyDescent="0.2">
      <c r="A32" s="761">
        <v>2014</v>
      </c>
      <c r="B32" s="761">
        <v>7</v>
      </c>
      <c r="C32" s="796" t="s">
        <v>105</v>
      </c>
      <c r="D32" s="796"/>
      <c r="E32" s="796"/>
      <c r="F32" s="761">
        <v>594</v>
      </c>
      <c r="G32" s="761" t="s">
        <v>1031</v>
      </c>
      <c r="H32" s="799">
        <v>0</v>
      </c>
      <c r="I32" s="799">
        <v>0</v>
      </c>
      <c r="J32" s="799">
        <v>64204</v>
      </c>
      <c r="K32" s="799">
        <v>14545</v>
      </c>
      <c r="L32" s="799">
        <v>0</v>
      </c>
      <c r="M32" s="799">
        <v>39877</v>
      </c>
      <c r="N32" s="799">
        <v>339017</v>
      </c>
      <c r="O32" s="799">
        <v>11466</v>
      </c>
      <c r="P32" s="799">
        <v>20656</v>
      </c>
      <c r="Q32" s="799">
        <v>0</v>
      </c>
      <c r="R32" s="799">
        <v>7840</v>
      </c>
      <c r="S32" s="799">
        <v>18540</v>
      </c>
    </row>
    <row r="33" spans="1:19" x14ac:dyDescent="0.2">
      <c r="A33" s="761">
        <v>2014</v>
      </c>
      <c r="B33" s="761">
        <v>9</v>
      </c>
      <c r="C33" s="796" t="s">
        <v>106</v>
      </c>
      <c r="D33" s="796"/>
      <c r="E33" s="796"/>
      <c r="F33" s="761">
        <v>603</v>
      </c>
      <c r="G33" s="761" t="s">
        <v>1032</v>
      </c>
      <c r="H33" s="799">
        <v>7144</v>
      </c>
      <c r="I33" s="799">
        <v>0</v>
      </c>
      <c r="J33" s="799">
        <v>11771</v>
      </c>
      <c r="K33" s="799">
        <v>58591</v>
      </c>
      <c r="L33" s="799">
        <v>16574</v>
      </c>
      <c r="M33" s="799">
        <v>0</v>
      </c>
      <c r="N33" s="799">
        <v>10734</v>
      </c>
      <c r="O33" s="799">
        <v>5366</v>
      </c>
      <c r="P33" s="799">
        <v>4273</v>
      </c>
      <c r="Q33" s="799">
        <v>22662</v>
      </c>
      <c r="R33" s="799">
        <v>5727</v>
      </c>
      <c r="S33" s="799">
        <v>14133</v>
      </c>
    </row>
    <row r="34" spans="1:19" x14ac:dyDescent="0.2">
      <c r="A34" s="761">
        <v>2014</v>
      </c>
      <c r="B34" s="761">
        <v>10</v>
      </c>
      <c r="C34" s="796" t="s">
        <v>107</v>
      </c>
      <c r="D34" s="796"/>
      <c r="E34" s="796"/>
      <c r="F34" s="761">
        <v>609</v>
      </c>
      <c r="G34" s="761" t="s">
        <v>1033</v>
      </c>
      <c r="H34" s="799">
        <v>39622</v>
      </c>
      <c r="I34" s="799">
        <v>21367</v>
      </c>
      <c r="J34" s="799">
        <v>0</v>
      </c>
      <c r="K34" s="799">
        <v>81007</v>
      </c>
      <c r="L34" s="799">
        <v>0</v>
      </c>
      <c r="M34" s="799">
        <v>370490</v>
      </c>
      <c r="N34" s="799">
        <v>79461</v>
      </c>
      <c r="O34" s="799">
        <v>0</v>
      </c>
      <c r="P34" s="799">
        <v>11833</v>
      </c>
      <c r="Q34" s="799">
        <v>0</v>
      </c>
      <c r="R34" s="799">
        <v>473</v>
      </c>
      <c r="S34" s="799">
        <v>24523</v>
      </c>
    </row>
    <row r="35" spans="1:19" x14ac:dyDescent="0.2">
      <c r="A35" s="761">
        <v>2014</v>
      </c>
      <c r="B35" s="761">
        <v>9</v>
      </c>
      <c r="C35" s="796" t="s">
        <v>108</v>
      </c>
      <c r="D35" s="796"/>
      <c r="E35" s="796"/>
      <c r="F35" s="761">
        <v>621</v>
      </c>
      <c r="G35" s="761" t="s">
        <v>1034</v>
      </c>
      <c r="H35" s="799">
        <v>22122</v>
      </c>
      <c r="I35" s="799">
        <v>0</v>
      </c>
      <c r="J35" s="799">
        <v>539074</v>
      </c>
      <c r="K35" s="799">
        <v>207303</v>
      </c>
      <c r="L35" s="799">
        <v>0</v>
      </c>
      <c r="M35" s="799">
        <v>369848</v>
      </c>
      <c r="N35" s="799">
        <v>0</v>
      </c>
      <c r="O35" s="799">
        <v>45595</v>
      </c>
      <c r="P35" s="799">
        <v>4839</v>
      </c>
      <c r="Q35" s="799">
        <v>0</v>
      </c>
      <c r="R35" s="799">
        <v>1576</v>
      </c>
      <c r="S35" s="799">
        <v>56322</v>
      </c>
    </row>
    <row r="36" spans="1:19" x14ac:dyDescent="0.2">
      <c r="A36" s="761">
        <v>2014</v>
      </c>
      <c r="B36" s="761">
        <v>15</v>
      </c>
      <c r="C36" s="796" t="s">
        <v>112</v>
      </c>
      <c r="D36" s="796"/>
      <c r="E36" s="796"/>
      <c r="F36" s="761">
        <v>657</v>
      </c>
      <c r="G36" s="761" t="s">
        <v>1495</v>
      </c>
      <c r="H36" s="799">
        <v>62143</v>
      </c>
      <c r="I36" s="799">
        <v>0</v>
      </c>
      <c r="J36" s="799">
        <v>0</v>
      </c>
      <c r="K36" s="799">
        <v>7812</v>
      </c>
      <c r="L36" s="799">
        <v>0</v>
      </c>
      <c r="M36" s="799">
        <v>0</v>
      </c>
      <c r="N36" s="799">
        <v>0</v>
      </c>
      <c r="O36" s="799">
        <v>49725</v>
      </c>
      <c r="P36" s="799">
        <v>63159</v>
      </c>
      <c r="Q36" s="799">
        <v>0</v>
      </c>
      <c r="R36" s="799">
        <v>369</v>
      </c>
      <c r="S36" s="799">
        <v>20466</v>
      </c>
    </row>
    <row r="37" spans="1:19" x14ac:dyDescent="0.2">
      <c r="A37" s="761">
        <v>2014</v>
      </c>
      <c r="B37" s="761">
        <v>11</v>
      </c>
      <c r="C37" s="796" t="s">
        <v>109</v>
      </c>
      <c r="D37" s="796"/>
      <c r="E37" s="796"/>
      <c r="F37" s="761">
        <v>720</v>
      </c>
      <c r="G37" s="761" t="s">
        <v>1035</v>
      </c>
      <c r="H37" s="799">
        <v>2622</v>
      </c>
      <c r="I37" s="799">
        <v>0</v>
      </c>
      <c r="J37" s="799">
        <v>0</v>
      </c>
      <c r="K37" s="799">
        <v>0</v>
      </c>
      <c r="L37" s="799">
        <v>0</v>
      </c>
      <c r="M37" s="799">
        <v>176877</v>
      </c>
      <c r="N37" s="799">
        <v>19379</v>
      </c>
      <c r="O37" s="799">
        <v>8423</v>
      </c>
      <c r="P37" s="799">
        <v>78112</v>
      </c>
      <c r="Q37" s="799">
        <v>0</v>
      </c>
      <c r="R37" s="799">
        <v>10441</v>
      </c>
      <c r="S37" s="799">
        <v>19582</v>
      </c>
    </row>
    <row r="38" spans="1:19" x14ac:dyDescent="0.2">
      <c r="A38" s="761">
        <v>2014</v>
      </c>
      <c r="B38" s="761">
        <v>11</v>
      </c>
      <c r="C38" s="796" t="s">
        <v>110</v>
      </c>
      <c r="D38" s="796"/>
      <c r="E38" s="796"/>
      <c r="F38" s="761">
        <v>729</v>
      </c>
      <c r="G38" s="761" t="s">
        <v>1036</v>
      </c>
      <c r="H38" s="799">
        <v>39107</v>
      </c>
      <c r="I38" s="799">
        <v>0</v>
      </c>
      <c r="J38" s="799">
        <v>32105</v>
      </c>
      <c r="K38" s="799">
        <v>105982</v>
      </c>
      <c r="L38" s="799">
        <v>0</v>
      </c>
      <c r="M38" s="799">
        <v>91883</v>
      </c>
      <c r="N38" s="799">
        <v>25119</v>
      </c>
      <c r="O38" s="799">
        <v>8523</v>
      </c>
      <c r="P38" s="799">
        <v>17657</v>
      </c>
      <c r="Q38" s="799">
        <v>0</v>
      </c>
      <c r="R38" s="799">
        <v>11110</v>
      </c>
      <c r="S38" s="799">
        <v>32948</v>
      </c>
    </row>
    <row r="39" spans="1:19" x14ac:dyDescent="0.2">
      <c r="A39" s="761">
        <v>2014</v>
      </c>
      <c r="B39" s="761">
        <v>12</v>
      </c>
      <c r="C39" s="796" t="s">
        <v>111</v>
      </c>
      <c r="D39" s="796"/>
      <c r="E39" s="796"/>
      <c r="F39" s="761">
        <v>747</v>
      </c>
      <c r="G39" s="761" t="s">
        <v>1037</v>
      </c>
      <c r="H39" s="799">
        <v>0</v>
      </c>
      <c r="I39" s="799">
        <v>71541</v>
      </c>
      <c r="J39" s="799">
        <v>22381</v>
      </c>
      <c r="K39" s="799">
        <v>155878</v>
      </c>
      <c r="L39" s="799">
        <v>0</v>
      </c>
      <c r="M39" s="799">
        <v>0</v>
      </c>
      <c r="N39" s="799">
        <v>0</v>
      </c>
      <c r="O39" s="799">
        <v>37202</v>
      </c>
      <c r="P39" s="799">
        <v>22973</v>
      </c>
      <c r="Q39" s="799">
        <v>0</v>
      </c>
      <c r="R39" s="799">
        <v>7188</v>
      </c>
      <c r="S39" s="799">
        <v>22532</v>
      </c>
    </row>
    <row r="40" spans="1:19" x14ac:dyDescent="0.2">
      <c r="A40" s="761">
        <v>2014</v>
      </c>
      <c r="B40" s="761">
        <v>7</v>
      </c>
      <c r="C40" s="796" t="s">
        <v>113</v>
      </c>
      <c r="D40" s="796"/>
      <c r="E40" s="796"/>
      <c r="F40" s="761">
        <v>819</v>
      </c>
      <c r="G40" s="761" t="s">
        <v>1038</v>
      </c>
      <c r="H40" s="799">
        <v>1770</v>
      </c>
      <c r="I40" s="799">
        <v>52133</v>
      </c>
      <c r="J40" s="799">
        <v>226887</v>
      </c>
      <c r="K40" s="799">
        <v>0</v>
      </c>
      <c r="L40" s="799">
        <v>0</v>
      </c>
      <c r="M40" s="799">
        <v>11338</v>
      </c>
      <c r="N40" s="799">
        <v>25788</v>
      </c>
      <c r="O40" s="799">
        <v>9389</v>
      </c>
      <c r="P40" s="799">
        <v>6409</v>
      </c>
      <c r="Q40" s="799">
        <v>0</v>
      </c>
      <c r="R40" s="799">
        <v>6284</v>
      </c>
      <c r="S40" s="799">
        <v>21409</v>
      </c>
    </row>
    <row r="41" spans="1:19" x14ac:dyDescent="0.2">
      <c r="A41" s="761">
        <v>2014</v>
      </c>
      <c r="B41" s="761">
        <v>7</v>
      </c>
      <c r="C41" s="796" t="s">
        <v>114</v>
      </c>
      <c r="D41" s="796"/>
      <c r="E41" s="796"/>
      <c r="F41" s="761">
        <v>846</v>
      </c>
      <c r="G41" s="761" t="s">
        <v>1039</v>
      </c>
      <c r="H41" s="799">
        <v>24104</v>
      </c>
      <c r="I41" s="799">
        <v>13346</v>
      </c>
      <c r="J41" s="799">
        <v>38076</v>
      </c>
      <c r="K41" s="799">
        <v>0</v>
      </c>
      <c r="L41" s="799">
        <v>0</v>
      </c>
      <c r="M41" s="799">
        <v>78919</v>
      </c>
      <c r="N41" s="799">
        <v>0</v>
      </c>
      <c r="O41" s="799">
        <v>80652</v>
      </c>
      <c r="P41" s="799">
        <v>42085</v>
      </c>
      <c r="Q41" s="799">
        <v>0</v>
      </c>
      <c r="R41" s="799">
        <v>6688</v>
      </c>
      <c r="S41" s="799">
        <v>10711</v>
      </c>
    </row>
    <row r="42" spans="1:19" x14ac:dyDescent="0.2">
      <c r="A42" s="761">
        <v>2014</v>
      </c>
      <c r="B42" s="761">
        <v>7</v>
      </c>
      <c r="C42" s="796" t="s">
        <v>115</v>
      </c>
      <c r="D42" s="796"/>
      <c r="E42" s="796"/>
      <c r="F42" s="761">
        <v>873</v>
      </c>
      <c r="G42" s="761" t="s">
        <v>1040</v>
      </c>
      <c r="H42" s="799">
        <v>9194</v>
      </c>
      <c r="I42" s="799">
        <v>19598</v>
      </c>
      <c r="J42" s="799">
        <v>24885</v>
      </c>
      <c r="K42" s="799">
        <v>0</v>
      </c>
      <c r="L42" s="799">
        <v>0</v>
      </c>
      <c r="M42" s="799">
        <v>1270</v>
      </c>
      <c r="N42" s="799">
        <v>27545</v>
      </c>
      <c r="O42" s="799">
        <v>0</v>
      </c>
      <c r="P42" s="799">
        <v>0</v>
      </c>
      <c r="Q42" s="799">
        <v>0</v>
      </c>
      <c r="R42" s="799">
        <v>6688</v>
      </c>
      <c r="S42" s="799">
        <v>16379</v>
      </c>
    </row>
    <row r="43" spans="1:19" x14ac:dyDescent="0.2">
      <c r="A43" s="761">
        <v>2014</v>
      </c>
      <c r="B43" s="761">
        <v>15</v>
      </c>
      <c r="C43" s="796" t="s">
        <v>116</v>
      </c>
      <c r="D43" s="796"/>
      <c r="E43" s="796"/>
      <c r="F43" s="761">
        <v>882</v>
      </c>
      <c r="G43" s="761" t="s">
        <v>1041</v>
      </c>
      <c r="H43" s="799">
        <v>144631</v>
      </c>
      <c r="I43" s="799">
        <v>0</v>
      </c>
      <c r="J43" s="799">
        <v>230338</v>
      </c>
      <c r="K43" s="799">
        <v>110896</v>
      </c>
      <c r="L43" s="799">
        <v>0</v>
      </c>
      <c r="M43" s="799">
        <v>271542</v>
      </c>
      <c r="N43" s="799">
        <v>0</v>
      </c>
      <c r="O43" s="799">
        <v>34906</v>
      </c>
      <c r="P43" s="799">
        <v>225227</v>
      </c>
      <c r="Q43" s="799">
        <v>0</v>
      </c>
      <c r="R43" s="799">
        <v>0</v>
      </c>
      <c r="S43" s="799">
        <v>52711</v>
      </c>
    </row>
    <row r="44" spans="1:19" x14ac:dyDescent="0.2">
      <c r="A44" s="761">
        <v>2014</v>
      </c>
      <c r="B44" s="761">
        <v>13</v>
      </c>
      <c r="C44" s="796" t="s">
        <v>117</v>
      </c>
      <c r="D44" s="796"/>
      <c r="E44" s="796"/>
      <c r="F44" s="761">
        <v>914</v>
      </c>
      <c r="G44" s="761" t="s">
        <v>1478</v>
      </c>
      <c r="H44" s="799">
        <v>42495</v>
      </c>
      <c r="I44" s="799">
        <v>0</v>
      </c>
      <c r="J44" s="799">
        <v>10066</v>
      </c>
      <c r="K44" s="799">
        <v>0</v>
      </c>
      <c r="L44" s="799">
        <v>0</v>
      </c>
      <c r="M44" s="799">
        <v>88270</v>
      </c>
      <c r="N44" s="799">
        <v>0</v>
      </c>
      <c r="O44" s="799">
        <v>28497</v>
      </c>
      <c r="P44" s="799">
        <v>30335</v>
      </c>
      <c r="Q44" s="799">
        <v>0</v>
      </c>
      <c r="R44" s="799">
        <v>2711</v>
      </c>
      <c r="S44" s="799">
        <v>10463</v>
      </c>
    </row>
    <row r="45" spans="1:19" x14ac:dyDescent="0.2">
      <c r="A45" s="761">
        <v>2014</v>
      </c>
      <c r="B45" s="761">
        <v>7</v>
      </c>
      <c r="C45" s="796" t="s">
        <v>118</v>
      </c>
      <c r="D45" s="796"/>
      <c r="E45" s="796"/>
      <c r="F45" s="761">
        <v>916</v>
      </c>
      <c r="G45" s="761" t="s">
        <v>1042</v>
      </c>
      <c r="H45" s="799">
        <v>3880</v>
      </c>
      <c r="I45" s="799">
        <v>0</v>
      </c>
      <c r="J45" s="799">
        <v>37403</v>
      </c>
      <c r="K45" s="799">
        <v>0</v>
      </c>
      <c r="L45" s="799">
        <v>0</v>
      </c>
      <c r="M45" s="799">
        <v>0</v>
      </c>
      <c r="N45" s="799">
        <v>0</v>
      </c>
      <c r="O45" s="799">
        <v>16361</v>
      </c>
      <c r="P45" s="799">
        <v>11406</v>
      </c>
      <c r="Q45" s="799">
        <v>0</v>
      </c>
      <c r="R45" s="799">
        <v>2994</v>
      </c>
      <c r="S45" s="799">
        <v>671</v>
      </c>
    </row>
    <row r="46" spans="1:19" x14ac:dyDescent="0.2">
      <c r="A46" s="761">
        <v>2014</v>
      </c>
      <c r="B46" s="761">
        <v>9</v>
      </c>
      <c r="C46" s="796" t="s">
        <v>119</v>
      </c>
      <c r="D46" s="796"/>
      <c r="E46" s="796"/>
      <c r="F46" s="761">
        <v>918</v>
      </c>
      <c r="G46" s="761" t="s">
        <v>1043</v>
      </c>
      <c r="H46" s="799">
        <v>8570</v>
      </c>
      <c r="I46" s="799">
        <v>0</v>
      </c>
      <c r="J46" s="799">
        <v>0</v>
      </c>
      <c r="K46" s="799">
        <v>0</v>
      </c>
      <c r="L46" s="799">
        <v>0</v>
      </c>
      <c r="M46" s="799">
        <v>51528</v>
      </c>
      <c r="N46" s="799">
        <v>6213</v>
      </c>
      <c r="O46" s="799">
        <v>15200</v>
      </c>
      <c r="P46" s="799">
        <v>0</v>
      </c>
      <c r="Q46" s="799">
        <v>0</v>
      </c>
      <c r="R46" s="799">
        <v>6734</v>
      </c>
      <c r="S46" s="799">
        <v>13242</v>
      </c>
    </row>
    <row r="47" spans="1:19" x14ac:dyDescent="0.2">
      <c r="A47" s="761">
        <v>2014</v>
      </c>
      <c r="B47" s="761">
        <v>9</v>
      </c>
      <c r="C47" s="796" t="s">
        <v>120</v>
      </c>
      <c r="D47" s="796"/>
      <c r="E47" s="796"/>
      <c r="F47" s="761">
        <v>936</v>
      </c>
      <c r="G47" s="761" t="s">
        <v>1044</v>
      </c>
      <c r="H47" s="799">
        <v>0</v>
      </c>
      <c r="I47" s="799">
        <v>1255</v>
      </c>
      <c r="J47" s="799">
        <v>0</v>
      </c>
      <c r="K47" s="799">
        <v>0</v>
      </c>
      <c r="L47" s="799">
        <v>0</v>
      </c>
      <c r="M47" s="799">
        <v>15510</v>
      </c>
      <c r="N47" s="799">
        <v>1734</v>
      </c>
      <c r="O47" s="799">
        <v>24589</v>
      </c>
      <c r="P47" s="799">
        <v>11052</v>
      </c>
      <c r="Q47" s="799">
        <v>0</v>
      </c>
      <c r="R47" s="799">
        <v>5004</v>
      </c>
      <c r="S47" s="799">
        <v>24085</v>
      </c>
    </row>
    <row r="48" spans="1:19" x14ac:dyDescent="0.2">
      <c r="A48" s="761">
        <v>2014</v>
      </c>
      <c r="B48" s="761">
        <v>15</v>
      </c>
      <c r="C48" s="796" t="s">
        <v>121</v>
      </c>
      <c r="D48" s="796"/>
      <c r="E48" s="796"/>
      <c r="F48" s="761">
        <v>977</v>
      </c>
      <c r="G48" s="761" t="s">
        <v>1045</v>
      </c>
      <c r="H48" s="799">
        <v>6064</v>
      </c>
      <c r="I48" s="799">
        <v>0</v>
      </c>
      <c r="J48" s="799">
        <v>29486</v>
      </c>
      <c r="K48" s="799">
        <v>2181</v>
      </c>
      <c r="L48" s="799">
        <v>0</v>
      </c>
      <c r="M48" s="799">
        <v>47542</v>
      </c>
      <c r="N48" s="799">
        <v>0</v>
      </c>
      <c r="O48" s="799">
        <v>0</v>
      </c>
      <c r="P48" s="799">
        <v>32378</v>
      </c>
      <c r="Q48" s="799">
        <v>0</v>
      </c>
      <c r="R48" s="799">
        <v>0</v>
      </c>
      <c r="S48" s="799">
        <v>25992</v>
      </c>
    </row>
    <row r="49" spans="1:19" x14ac:dyDescent="0.2">
      <c r="A49" s="761">
        <v>2014</v>
      </c>
      <c r="B49" s="761">
        <v>11</v>
      </c>
      <c r="C49" s="796" t="s">
        <v>122</v>
      </c>
      <c r="D49" s="796"/>
      <c r="E49" s="796"/>
      <c r="F49" s="761">
        <v>981</v>
      </c>
      <c r="G49" s="761" t="s">
        <v>1046</v>
      </c>
      <c r="H49" s="799">
        <v>91460</v>
      </c>
      <c r="I49" s="799">
        <v>0</v>
      </c>
      <c r="J49" s="799">
        <v>54851</v>
      </c>
      <c r="K49" s="799">
        <v>286878</v>
      </c>
      <c r="L49" s="799">
        <v>0</v>
      </c>
      <c r="M49" s="799">
        <v>220871</v>
      </c>
      <c r="N49" s="799">
        <v>66113</v>
      </c>
      <c r="O49" s="799">
        <v>1799</v>
      </c>
      <c r="P49" s="799">
        <v>89863</v>
      </c>
      <c r="Q49" s="799">
        <v>0</v>
      </c>
      <c r="R49" s="799">
        <v>9972</v>
      </c>
      <c r="S49" s="799">
        <v>48317</v>
      </c>
    </row>
    <row r="50" spans="1:19" x14ac:dyDescent="0.2">
      <c r="A50" s="761">
        <v>2014</v>
      </c>
      <c r="B50" s="761">
        <v>11</v>
      </c>
      <c r="C50" s="796" t="s">
        <v>123</v>
      </c>
      <c r="D50" s="796"/>
      <c r="E50" s="796"/>
      <c r="F50" s="761">
        <v>999</v>
      </c>
      <c r="G50" s="761" t="s">
        <v>1047</v>
      </c>
      <c r="H50" s="799">
        <v>9902</v>
      </c>
      <c r="I50" s="799">
        <v>0</v>
      </c>
      <c r="J50" s="799">
        <v>479003</v>
      </c>
      <c r="K50" s="799">
        <v>208885</v>
      </c>
      <c r="L50" s="799">
        <v>0</v>
      </c>
      <c r="M50" s="799">
        <v>83085</v>
      </c>
      <c r="N50" s="799">
        <v>105500</v>
      </c>
      <c r="O50" s="799">
        <v>79974</v>
      </c>
      <c r="P50" s="799">
        <v>23705</v>
      </c>
      <c r="Q50" s="799">
        <v>0</v>
      </c>
      <c r="R50" s="799">
        <v>6605</v>
      </c>
      <c r="S50" s="799">
        <v>30018</v>
      </c>
    </row>
    <row r="51" spans="1:19" x14ac:dyDescent="0.2">
      <c r="A51" s="761">
        <v>2014</v>
      </c>
      <c r="B51" s="761">
        <v>7</v>
      </c>
      <c r="C51" s="796" t="s">
        <v>124</v>
      </c>
      <c r="D51" s="796"/>
      <c r="E51" s="796"/>
      <c r="F51" s="761">
        <v>1044</v>
      </c>
      <c r="G51" s="761" t="s">
        <v>1048</v>
      </c>
      <c r="H51" s="799">
        <v>0</v>
      </c>
      <c r="I51" s="799">
        <v>0</v>
      </c>
      <c r="J51" s="799">
        <v>79016</v>
      </c>
      <c r="K51" s="799">
        <v>256132</v>
      </c>
      <c r="L51" s="799">
        <v>94397</v>
      </c>
      <c r="M51" s="799">
        <v>0</v>
      </c>
      <c r="N51" s="799">
        <v>65466</v>
      </c>
      <c r="O51" s="799">
        <v>117148</v>
      </c>
      <c r="P51" s="799">
        <v>187910</v>
      </c>
      <c r="Q51" s="799">
        <v>0</v>
      </c>
      <c r="R51" s="799">
        <v>22806</v>
      </c>
      <c r="S51" s="799">
        <v>78952</v>
      </c>
    </row>
    <row r="52" spans="1:19" x14ac:dyDescent="0.2">
      <c r="A52" s="761">
        <v>2014</v>
      </c>
      <c r="B52" s="761">
        <v>10</v>
      </c>
      <c r="C52" s="796" t="s">
        <v>125</v>
      </c>
      <c r="D52" s="796"/>
      <c r="E52" s="796"/>
      <c r="F52" s="761">
        <v>1053</v>
      </c>
      <c r="G52" s="761" t="s">
        <v>1049</v>
      </c>
      <c r="H52" s="799">
        <v>0</v>
      </c>
      <c r="I52" s="799">
        <v>0</v>
      </c>
      <c r="J52" s="799">
        <v>242533</v>
      </c>
      <c r="K52" s="799">
        <v>461833</v>
      </c>
      <c r="L52" s="799">
        <v>0</v>
      </c>
      <c r="M52" s="799">
        <v>230548</v>
      </c>
      <c r="N52" s="799">
        <v>0</v>
      </c>
      <c r="O52" s="799">
        <v>95570</v>
      </c>
      <c r="P52" s="799">
        <v>0</v>
      </c>
      <c r="Q52" s="799">
        <v>122046</v>
      </c>
      <c r="R52" s="799">
        <v>39076</v>
      </c>
      <c r="S52" s="799">
        <v>2981170</v>
      </c>
    </row>
    <row r="53" spans="1:19" x14ac:dyDescent="0.2">
      <c r="A53" s="761">
        <v>2014</v>
      </c>
      <c r="B53" s="761">
        <v>10</v>
      </c>
      <c r="C53" s="796" t="s">
        <v>126</v>
      </c>
      <c r="D53" s="796"/>
      <c r="E53" s="796"/>
      <c r="F53" s="761">
        <v>1062</v>
      </c>
      <c r="G53" s="761" t="s">
        <v>637</v>
      </c>
      <c r="H53" s="799">
        <v>9721</v>
      </c>
      <c r="I53" s="799">
        <v>0</v>
      </c>
      <c r="J53" s="799">
        <v>0</v>
      </c>
      <c r="K53" s="799">
        <v>179259</v>
      </c>
      <c r="L53" s="799">
        <v>0</v>
      </c>
      <c r="M53" s="799">
        <v>179317</v>
      </c>
      <c r="N53" s="799">
        <v>12661</v>
      </c>
      <c r="O53" s="799">
        <v>0</v>
      </c>
      <c r="P53" s="799">
        <v>0</v>
      </c>
      <c r="Q53" s="799">
        <v>0</v>
      </c>
      <c r="R53" s="799">
        <v>0</v>
      </c>
      <c r="S53" s="799">
        <v>22627</v>
      </c>
    </row>
    <row r="54" spans="1:19" x14ac:dyDescent="0.2">
      <c r="A54" s="761">
        <v>2014</v>
      </c>
      <c r="B54" s="761">
        <v>15</v>
      </c>
      <c r="C54" s="796" t="s">
        <v>127</v>
      </c>
      <c r="D54" s="796"/>
      <c r="E54" s="796"/>
      <c r="F54" s="761">
        <v>1071</v>
      </c>
      <c r="G54" s="761" t="s">
        <v>1051</v>
      </c>
      <c r="H54" s="799">
        <v>0</v>
      </c>
      <c r="I54" s="799">
        <v>22918</v>
      </c>
      <c r="J54" s="799">
        <v>143670</v>
      </c>
      <c r="K54" s="799">
        <v>4664</v>
      </c>
      <c r="L54" s="799">
        <v>0</v>
      </c>
      <c r="M54" s="799">
        <v>320452</v>
      </c>
      <c r="N54" s="799">
        <v>88331</v>
      </c>
      <c r="O54" s="799">
        <v>26618</v>
      </c>
      <c r="P54" s="799">
        <v>138356</v>
      </c>
      <c r="Q54" s="799">
        <v>0</v>
      </c>
      <c r="R54" s="799">
        <v>10131</v>
      </c>
      <c r="S54" s="799">
        <v>30793</v>
      </c>
    </row>
    <row r="55" spans="1:19" x14ac:dyDescent="0.2">
      <c r="A55" s="761">
        <v>2014</v>
      </c>
      <c r="B55" s="761">
        <v>15</v>
      </c>
      <c r="C55" s="796" t="s">
        <v>128</v>
      </c>
      <c r="D55" s="796"/>
      <c r="E55" s="796"/>
      <c r="F55" s="761">
        <v>1079</v>
      </c>
      <c r="G55" s="761" t="s">
        <v>1052</v>
      </c>
      <c r="H55" s="799">
        <v>0</v>
      </c>
      <c r="I55" s="799">
        <v>0</v>
      </c>
      <c r="J55" s="799">
        <v>65147</v>
      </c>
      <c r="K55" s="799">
        <v>0</v>
      </c>
      <c r="L55" s="799">
        <v>0</v>
      </c>
      <c r="M55" s="799">
        <v>0</v>
      </c>
      <c r="N55" s="799">
        <v>45037</v>
      </c>
      <c r="O55" s="799">
        <v>46958</v>
      </c>
      <c r="P55" s="799">
        <v>52317</v>
      </c>
      <c r="Q55" s="799">
        <v>0</v>
      </c>
      <c r="R55" s="799">
        <v>8089</v>
      </c>
      <c r="S55" s="799">
        <v>6440</v>
      </c>
    </row>
    <row r="56" spans="1:19" x14ac:dyDescent="0.2">
      <c r="A56" s="761">
        <v>2014</v>
      </c>
      <c r="B56" s="761">
        <v>1</v>
      </c>
      <c r="C56" s="796" t="s">
        <v>129</v>
      </c>
      <c r="D56" s="796"/>
      <c r="E56" s="796"/>
      <c r="F56" s="761">
        <v>1080</v>
      </c>
      <c r="G56" s="761" t="s">
        <v>1053</v>
      </c>
      <c r="H56" s="799">
        <v>0</v>
      </c>
      <c r="I56" s="799">
        <v>0</v>
      </c>
      <c r="J56" s="799">
        <v>74550</v>
      </c>
      <c r="K56" s="799">
        <v>0</v>
      </c>
      <c r="L56" s="799">
        <v>0</v>
      </c>
      <c r="M56" s="799">
        <v>49520</v>
      </c>
      <c r="N56" s="799">
        <v>22578</v>
      </c>
      <c r="O56" s="799">
        <v>11996</v>
      </c>
      <c r="P56" s="799">
        <v>11591</v>
      </c>
      <c r="Q56" s="799">
        <v>0</v>
      </c>
      <c r="R56" s="799">
        <v>6352</v>
      </c>
      <c r="S56" s="799">
        <v>4222</v>
      </c>
    </row>
    <row r="57" spans="1:19" x14ac:dyDescent="0.2">
      <c r="A57" s="761">
        <v>2014</v>
      </c>
      <c r="B57" s="761">
        <v>9</v>
      </c>
      <c r="C57" s="796" t="s">
        <v>130</v>
      </c>
      <c r="D57" s="796"/>
      <c r="E57" s="796"/>
      <c r="F57" s="761">
        <v>1082</v>
      </c>
      <c r="G57" s="761" t="s">
        <v>1722</v>
      </c>
      <c r="H57" s="799">
        <v>0</v>
      </c>
      <c r="I57" s="799">
        <v>0</v>
      </c>
      <c r="J57" s="799">
        <v>0</v>
      </c>
      <c r="K57" s="799">
        <v>6950</v>
      </c>
      <c r="L57" s="799">
        <v>0</v>
      </c>
      <c r="M57" s="799">
        <v>0</v>
      </c>
      <c r="N57" s="799">
        <v>11308</v>
      </c>
      <c r="O57" s="799">
        <v>44698</v>
      </c>
      <c r="P57" s="799">
        <v>2703</v>
      </c>
      <c r="Q57" s="799">
        <v>0</v>
      </c>
      <c r="R57" s="799">
        <v>10519</v>
      </c>
      <c r="S57" s="799">
        <v>25102</v>
      </c>
    </row>
    <row r="58" spans="1:19" x14ac:dyDescent="0.2">
      <c r="A58" s="761">
        <v>2014</v>
      </c>
      <c r="B58" s="761">
        <v>10</v>
      </c>
      <c r="C58" s="796" t="s">
        <v>131</v>
      </c>
      <c r="D58" s="796"/>
      <c r="E58" s="796"/>
      <c r="F58" s="761">
        <v>1089</v>
      </c>
      <c r="G58" s="761" t="s">
        <v>1054</v>
      </c>
      <c r="H58" s="799">
        <v>0</v>
      </c>
      <c r="I58" s="799">
        <v>0</v>
      </c>
      <c r="J58" s="799">
        <v>123</v>
      </c>
      <c r="K58" s="799">
        <v>22739</v>
      </c>
      <c r="L58" s="799">
        <v>0</v>
      </c>
      <c r="M58" s="799">
        <v>205556</v>
      </c>
      <c r="N58" s="799">
        <v>23865</v>
      </c>
      <c r="O58" s="799">
        <v>0</v>
      </c>
      <c r="P58" s="799">
        <v>0</v>
      </c>
      <c r="Q58" s="799">
        <v>0</v>
      </c>
      <c r="R58" s="799">
        <v>5549</v>
      </c>
      <c r="S58" s="799">
        <v>0</v>
      </c>
    </row>
    <row r="59" spans="1:19" x14ac:dyDescent="0.2">
      <c r="A59" s="761">
        <v>2014</v>
      </c>
      <c r="B59" s="761">
        <v>13</v>
      </c>
      <c r="C59" s="796" t="s">
        <v>132</v>
      </c>
      <c r="D59" s="796"/>
      <c r="E59" s="796"/>
      <c r="F59" s="761">
        <v>1093</v>
      </c>
      <c r="G59" s="761" t="s">
        <v>1055</v>
      </c>
      <c r="H59" s="799">
        <v>15538</v>
      </c>
      <c r="I59" s="799">
        <v>0</v>
      </c>
      <c r="J59" s="799">
        <v>0</v>
      </c>
      <c r="K59" s="799">
        <v>166957</v>
      </c>
      <c r="L59" s="799">
        <v>0</v>
      </c>
      <c r="M59" s="799">
        <v>0</v>
      </c>
      <c r="N59" s="799">
        <v>40863</v>
      </c>
      <c r="O59" s="799">
        <v>14534</v>
      </c>
      <c r="P59" s="799">
        <v>12442</v>
      </c>
      <c r="Q59" s="799">
        <v>0</v>
      </c>
      <c r="R59" s="799">
        <v>7496</v>
      </c>
      <c r="S59" s="799">
        <v>15775</v>
      </c>
    </row>
    <row r="60" spans="1:19" x14ac:dyDescent="0.2">
      <c r="A60" s="761">
        <v>2014</v>
      </c>
      <c r="B60" s="761">
        <v>12</v>
      </c>
      <c r="C60" s="796" t="s">
        <v>133</v>
      </c>
      <c r="D60" s="796"/>
      <c r="E60" s="796"/>
      <c r="F60" s="761">
        <v>1095</v>
      </c>
      <c r="G60" s="761" t="s">
        <v>1057</v>
      </c>
      <c r="H60" s="799">
        <v>0</v>
      </c>
      <c r="I60" s="799">
        <v>0</v>
      </c>
      <c r="J60" s="799">
        <v>0</v>
      </c>
      <c r="K60" s="799">
        <v>0</v>
      </c>
      <c r="L60" s="799">
        <v>0</v>
      </c>
      <c r="M60" s="799">
        <v>124218</v>
      </c>
      <c r="N60" s="799">
        <v>162</v>
      </c>
      <c r="O60" s="799">
        <v>13031</v>
      </c>
      <c r="P60" s="799">
        <v>19842</v>
      </c>
      <c r="Q60" s="799">
        <v>0</v>
      </c>
      <c r="R60" s="799">
        <v>4783</v>
      </c>
      <c r="S60" s="799">
        <v>13279</v>
      </c>
    </row>
    <row r="61" spans="1:19" x14ac:dyDescent="0.2">
      <c r="A61" s="761">
        <v>2014</v>
      </c>
      <c r="B61" s="761">
        <v>15</v>
      </c>
      <c r="C61" s="796" t="s">
        <v>134</v>
      </c>
      <c r="D61" s="796"/>
      <c r="E61" s="796"/>
      <c r="F61" s="761">
        <v>1107</v>
      </c>
      <c r="G61" s="761" t="s">
        <v>1058</v>
      </c>
      <c r="H61" s="799">
        <v>8277</v>
      </c>
      <c r="I61" s="799">
        <v>49464</v>
      </c>
      <c r="J61" s="799">
        <v>0</v>
      </c>
      <c r="K61" s="799">
        <v>67367</v>
      </c>
      <c r="L61" s="799">
        <v>0</v>
      </c>
      <c r="M61" s="799">
        <v>184428</v>
      </c>
      <c r="N61" s="799">
        <v>74688</v>
      </c>
      <c r="O61" s="799">
        <v>55442</v>
      </c>
      <c r="P61" s="799">
        <v>77340</v>
      </c>
      <c r="Q61" s="799">
        <v>0</v>
      </c>
      <c r="R61" s="799">
        <v>208</v>
      </c>
      <c r="S61" s="799">
        <v>27588</v>
      </c>
    </row>
    <row r="62" spans="1:19" x14ac:dyDescent="0.2">
      <c r="A62" s="761">
        <v>2014</v>
      </c>
      <c r="B62" s="761">
        <v>7</v>
      </c>
      <c r="C62" s="796" t="s">
        <v>135</v>
      </c>
      <c r="D62" s="796"/>
      <c r="E62" s="796"/>
      <c r="F62" s="761">
        <v>1116</v>
      </c>
      <c r="G62" s="761" t="s">
        <v>1059</v>
      </c>
      <c r="H62" s="799">
        <v>70638</v>
      </c>
      <c r="I62" s="799">
        <v>0</v>
      </c>
      <c r="J62" s="799">
        <v>56481</v>
      </c>
      <c r="K62" s="799">
        <v>83039</v>
      </c>
      <c r="L62" s="799">
        <v>0</v>
      </c>
      <c r="M62" s="799">
        <v>33739</v>
      </c>
      <c r="N62" s="799">
        <v>0</v>
      </c>
      <c r="O62" s="799">
        <v>41739</v>
      </c>
      <c r="P62" s="799">
        <v>113334</v>
      </c>
      <c r="Q62" s="799">
        <v>0</v>
      </c>
      <c r="R62" s="799">
        <v>9610</v>
      </c>
      <c r="S62" s="799">
        <v>38481</v>
      </c>
    </row>
    <row r="63" spans="1:19" x14ac:dyDescent="0.2">
      <c r="A63" s="761">
        <v>2014</v>
      </c>
      <c r="B63" s="761">
        <v>12</v>
      </c>
      <c r="C63" s="796" t="s">
        <v>136</v>
      </c>
      <c r="D63" s="796"/>
      <c r="E63" s="796"/>
      <c r="F63" s="761">
        <v>1134</v>
      </c>
      <c r="G63" s="761" t="s">
        <v>1060</v>
      </c>
      <c r="H63" s="799">
        <v>0</v>
      </c>
      <c r="I63" s="799">
        <v>0</v>
      </c>
      <c r="J63" s="799">
        <v>0</v>
      </c>
      <c r="K63" s="799">
        <v>0</v>
      </c>
      <c r="L63" s="799">
        <v>7917</v>
      </c>
      <c r="M63" s="799">
        <v>0</v>
      </c>
      <c r="N63" s="799">
        <v>14090</v>
      </c>
      <c r="O63" s="799">
        <v>0</v>
      </c>
      <c r="P63" s="799">
        <v>0</v>
      </c>
      <c r="Q63" s="799">
        <v>0</v>
      </c>
      <c r="R63" s="799">
        <v>0</v>
      </c>
      <c r="S63" s="799">
        <v>14466</v>
      </c>
    </row>
    <row r="64" spans="1:19" x14ac:dyDescent="0.2">
      <c r="A64" s="761">
        <v>2014</v>
      </c>
      <c r="B64" s="761">
        <v>12</v>
      </c>
      <c r="C64" s="796" t="s">
        <v>137</v>
      </c>
      <c r="D64" s="796"/>
      <c r="E64" s="796"/>
      <c r="F64" s="761">
        <v>1152</v>
      </c>
      <c r="G64" s="761" t="s">
        <v>1061</v>
      </c>
      <c r="H64" s="799">
        <v>0</v>
      </c>
      <c r="I64" s="799">
        <v>12895</v>
      </c>
      <c r="J64" s="799">
        <v>16935</v>
      </c>
      <c r="K64" s="799">
        <v>12595</v>
      </c>
      <c r="L64" s="799">
        <v>0</v>
      </c>
      <c r="M64" s="799">
        <v>100102</v>
      </c>
      <c r="N64" s="799">
        <v>20128</v>
      </c>
      <c r="O64" s="799">
        <v>8918</v>
      </c>
      <c r="P64" s="799">
        <v>21850</v>
      </c>
      <c r="Q64" s="799">
        <v>0</v>
      </c>
      <c r="R64" s="799">
        <v>4792</v>
      </c>
      <c r="S64" s="799">
        <v>22830</v>
      </c>
    </row>
    <row r="65" spans="1:19" x14ac:dyDescent="0.2">
      <c r="A65" s="761">
        <v>2014</v>
      </c>
      <c r="B65" s="761">
        <v>13</v>
      </c>
      <c r="C65" s="796" t="s">
        <v>138</v>
      </c>
      <c r="D65" s="796"/>
      <c r="E65" s="796"/>
      <c r="F65" s="761">
        <v>1197</v>
      </c>
      <c r="G65" s="761" t="s">
        <v>1067</v>
      </c>
      <c r="H65" s="799">
        <v>0</v>
      </c>
      <c r="I65" s="799">
        <v>0</v>
      </c>
      <c r="J65" s="799">
        <v>0</v>
      </c>
      <c r="K65" s="799">
        <v>0</v>
      </c>
      <c r="L65" s="799">
        <v>0</v>
      </c>
      <c r="M65" s="799">
        <v>0</v>
      </c>
      <c r="N65" s="799">
        <v>39449</v>
      </c>
      <c r="O65" s="799">
        <v>0</v>
      </c>
      <c r="P65" s="799">
        <v>4572</v>
      </c>
      <c r="Q65" s="799">
        <v>0</v>
      </c>
      <c r="R65" s="799">
        <v>1172</v>
      </c>
      <c r="S65" s="799">
        <v>16854</v>
      </c>
    </row>
    <row r="66" spans="1:19" x14ac:dyDescent="0.2">
      <c r="A66" s="761">
        <v>2014</v>
      </c>
      <c r="B66" s="761">
        <v>5</v>
      </c>
      <c r="C66" s="796" t="s">
        <v>139</v>
      </c>
      <c r="D66" s="761">
        <v>1854</v>
      </c>
      <c r="E66" s="796"/>
      <c r="F66" s="761">
        <v>1206</v>
      </c>
      <c r="G66" s="761" t="s">
        <v>1636</v>
      </c>
      <c r="H66" s="799">
        <v>5145</v>
      </c>
      <c r="I66" s="799">
        <v>2523</v>
      </c>
      <c r="J66" s="799">
        <v>31105</v>
      </c>
      <c r="K66" s="799">
        <v>259469</v>
      </c>
      <c r="L66" s="799">
        <v>15619</v>
      </c>
      <c r="M66" s="799">
        <v>34400</v>
      </c>
      <c r="N66" s="799">
        <v>15437</v>
      </c>
      <c r="O66" s="799">
        <v>103727</v>
      </c>
      <c r="P66" s="799">
        <v>9473</v>
      </c>
      <c r="Q66" s="799">
        <v>0</v>
      </c>
      <c r="R66" s="799">
        <v>13424</v>
      </c>
      <c r="S66" s="799">
        <v>32968</v>
      </c>
    </row>
    <row r="67" spans="1:19" x14ac:dyDescent="0.2">
      <c r="A67" s="761">
        <v>2014</v>
      </c>
      <c r="B67" s="761">
        <v>13</v>
      </c>
      <c r="C67" s="796" t="s">
        <v>140</v>
      </c>
      <c r="D67" s="796"/>
      <c r="E67" s="796"/>
      <c r="F67" s="761">
        <v>1211</v>
      </c>
      <c r="G67" s="761" t="s">
        <v>1068</v>
      </c>
      <c r="H67" s="799">
        <v>4596</v>
      </c>
      <c r="I67" s="799">
        <v>0</v>
      </c>
      <c r="J67" s="799">
        <v>0</v>
      </c>
      <c r="K67" s="799">
        <v>69241</v>
      </c>
      <c r="L67" s="799">
        <v>0</v>
      </c>
      <c r="M67" s="799">
        <v>0</v>
      </c>
      <c r="N67" s="799">
        <v>9834</v>
      </c>
      <c r="O67" s="799">
        <v>27054</v>
      </c>
      <c r="P67" s="799">
        <v>32832</v>
      </c>
      <c r="Q67" s="799">
        <v>0</v>
      </c>
      <c r="R67" s="799">
        <v>7333</v>
      </c>
      <c r="S67" s="799">
        <v>57876</v>
      </c>
    </row>
    <row r="68" spans="1:19" x14ac:dyDescent="0.2">
      <c r="A68" s="761">
        <v>2014</v>
      </c>
      <c r="B68" s="761">
        <v>7</v>
      </c>
      <c r="C68" s="796" t="s">
        <v>141</v>
      </c>
      <c r="D68" s="796"/>
      <c r="E68" s="796"/>
      <c r="F68" s="761">
        <v>1215</v>
      </c>
      <c r="G68" s="761" t="s">
        <v>1069</v>
      </c>
      <c r="H68" s="799">
        <v>0</v>
      </c>
      <c r="I68" s="799">
        <v>0</v>
      </c>
      <c r="J68" s="799">
        <v>0</v>
      </c>
      <c r="K68" s="799">
        <v>18586</v>
      </c>
      <c r="L68" s="799">
        <v>0</v>
      </c>
      <c r="M68" s="799">
        <v>4793</v>
      </c>
      <c r="N68" s="799">
        <v>0</v>
      </c>
      <c r="O68" s="799">
        <v>0</v>
      </c>
      <c r="P68" s="799">
        <v>13209</v>
      </c>
      <c r="Q68" s="799">
        <v>0</v>
      </c>
      <c r="R68" s="799">
        <v>6261</v>
      </c>
      <c r="S68" s="799">
        <v>14414</v>
      </c>
    </row>
    <row r="69" spans="1:19" x14ac:dyDescent="0.2">
      <c r="A69" s="761">
        <v>2014</v>
      </c>
      <c r="B69" s="761">
        <v>5</v>
      </c>
      <c r="C69" s="796" t="s">
        <v>142</v>
      </c>
      <c r="D69" s="796"/>
      <c r="E69" s="796"/>
      <c r="F69" s="761">
        <v>1218</v>
      </c>
      <c r="G69" s="761" t="s">
        <v>1070</v>
      </c>
      <c r="H69" s="799">
        <v>3254</v>
      </c>
      <c r="I69" s="799">
        <v>0</v>
      </c>
      <c r="J69" s="799">
        <v>0</v>
      </c>
      <c r="K69" s="799">
        <v>0</v>
      </c>
      <c r="L69" s="799">
        <v>0</v>
      </c>
      <c r="M69" s="799">
        <v>47375</v>
      </c>
      <c r="N69" s="799">
        <v>0</v>
      </c>
      <c r="O69" s="799">
        <v>18659</v>
      </c>
      <c r="P69" s="799">
        <v>5764</v>
      </c>
      <c r="Q69" s="799">
        <v>0</v>
      </c>
      <c r="R69" s="799">
        <v>5175</v>
      </c>
      <c r="S69" s="799">
        <v>10930</v>
      </c>
    </row>
    <row r="70" spans="1:19" x14ac:dyDescent="0.2">
      <c r="A70" s="761">
        <v>2014</v>
      </c>
      <c r="B70" s="761">
        <v>10</v>
      </c>
      <c r="C70" s="796" t="s">
        <v>143</v>
      </c>
      <c r="D70" s="796"/>
      <c r="E70" s="796"/>
      <c r="F70" s="761">
        <v>1221</v>
      </c>
      <c r="G70" s="761" t="s">
        <v>2006</v>
      </c>
      <c r="H70" s="799">
        <v>28724</v>
      </c>
      <c r="I70" s="799">
        <v>5531</v>
      </c>
      <c r="J70" s="799">
        <v>155676</v>
      </c>
      <c r="K70" s="799">
        <v>129713</v>
      </c>
      <c r="L70" s="799">
        <v>0</v>
      </c>
      <c r="M70" s="799">
        <v>222784</v>
      </c>
      <c r="N70" s="799">
        <v>89628</v>
      </c>
      <c r="O70" s="799">
        <v>0</v>
      </c>
      <c r="P70" s="799">
        <v>90585</v>
      </c>
      <c r="Q70" s="799">
        <v>4730</v>
      </c>
      <c r="R70" s="799">
        <v>10143</v>
      </c>
      <c r="S70" s="799">
        <v>24998</v>
      </c>
    </row>
    <row r="71" spans="1:19" x14ac:dyDescent="0.2">
      <c r="A71" s="761">
        <v>2014</v>
      </c>
      <c r="B71" s="761">
        <v>7</v>
      </c>
      <c r="C71" s="796" t="s">
        <v>144</v>
      </c>
      <c r="D71" s="796"/>
      <c r="E71" s="796"/>
      <c r="F71" s="761">
        <v>1233</v>
      </c>
      <c r="G71" s="761" t="s">
        <v>1071</v>
      </c>
      <c r="H71" s="799">
        <v>0</v>
      </c>
      <c r="I71" s="799">
        <v>0</v>
      </c>
      <c r="J71" s="799">
        <v>0</v>
      </c>
      <c r="K71" s="799">
        <v>0</v>
      </c>
      <c r="L71" s="799">
        <v>80453</v>
      </c>
      <c r="M71" s="799">
        <v>0</v>
      </c>
      <c r="N71" s="799">
        <v>0</v>
      </c>
      <c r="O71" s="799">
        <v>2255</v>
      </c>
      <c r="P71" s="799">
        <v>18580</v>
      </c>
      <c r="Q71" s="799">
        <v>0</v>
      </c>
      <c r="R71" s="799">
        <v>0</v>
      </c>
      <c r="S71" s="799">
        <v>21272</v>
      </c>
    </row>
    <row r="72" spans="1:19" x14ac:dyDescent="0.2">
      <c r="A72" s="761">
        <v>2014</v>
      </c>
      <c r="B72" s="761">
        <v>9</v>
      </c>
      <c r="C72" s="796" t="s">
        <v>145</v>
      </c>
      <c r="D72" s="796"/>
      <c r="E72" s="796"/>
      <c r="F72" s="761">
        <v>1278</v>
      </c>
      <c r="G72" s="761" t="s">
        <v>1072</v>
      </c>
      <c r="H72" s="799">
        <v>0</v>
      </c>
      <c r="I72" s="799">
        <v>0</v>
      </c>
      <c r="J72" s="799">
        <v>0</v>
      </c>
      <c r="K72" s="799">
        <v>38404</v>
      </c>
      <c r="L72" s="799">
        <v>0</v>
      </c>
      <c r="M72" s="799">
        <v>0</v>
      </c>
      <c r="N72" s="799">
        <v>599000</v>
      </c>
      <c r="O72" s="799">
        <v>53993</v>
      </c>
      <c r="P72" s="799">
        <v>62309</v>
      </c>
      <c r="Q72" s="799">
        <v>0</v>
      </c>
      <c r="R72" s="799">
        <v>0</v>
      </c>
      <c r="S72" s="799">
        <v>88784</v>
      </c>
    </row>
    <row r="73" spans="1:19" x14ac:dyDescent="0.2">
      <c r="A73" s="761">
        <v>2014</v>
      </c>
      <c r="B73" s="761">
        <v>11</v>
      </c>
      <c r="C73" s="796" t="s">
        <v>146</v>
      </c>
      <c r="D73" s="796"/>
      <c r="E73" s="796"/>
      <c r="F73" s="761">
        <v>1332</v>
      </c>
      <c r="G73" s="761" t="s">
        <v>1073</v>
      </c>
      <c r="H73" s="799">
        <v>0</v>
      </c>
      <c r="I73" s="799">
        <v>0</v>
      </c>
      <c r="J73" s="799">
        <v>2549</v>
      </c>
      <c r="K73" s="799">
        <v>39531</v>
      </c>
      <c r="L73" s="799">
        <v>0</v>
      </c>
      <c r="M73" s="799">
        <v>198804</v>
      </c>
      <c r="N73" s="799">
        <v>0</v>
      </c>
      <c r="O73" s="799">
        <v>94953</v>
      </c>
      <c r="P73" s="799">
        <v>47453</v>
      </c>
      <c r="Q73" s="799">
        <v>1</v>
      </c>
      <c r="R73" s="799">
        <v>3267</v>
      </c>
      <c r="S73" s="799">
        <v>16468</v>
      </c>
    </row>
    <row r="74" spans="1:19" x14ac:dyDescent="0.2">
      <c r="A74" s="761">
        <v>2014</v>
      </c>
      <c r="B74" s="761">
        <v>10</v>
      </c>
      <c r="C74" s="796" t="s">
        <v>147</v>
      </c>
      <c r="D74" s="796"/>
      <c r="E74" s="796"/>
      <c r="F74" s="761">
        <v>1337</v>
      </c>
      <c r="G74" s="761" t="s">
        <v>1074</v>
      </c>
      <c r="H74" s="799">
        <v>0</v>
      </c>
      <c r="I74" s="799">
        <v>0</v>
      </c>
      <c r="J74" s="799">
        <v>0</v>
      </c>
      <c r="K74" s="799">
        <v>0</v>
      </c>
      <c r="L74" s="799">
        <v>0</v>
      </c>
      <c r="M74" s="799">
        <v>814</v>
      </c>
      <c r="N74" s="799">
        <v>86873</v>
      </c>
      <c r="O74" s="799">
        <v>0</v>
      </c>
      <c r="P74" s="799">
        <v>0</v>
      </c>
      <c r="Q74" s="799">
        <v>0</v>
      </c>
      <c r="R74" s="799">
        <v>10863</v>
      </c>
      <c r="S74" s="799">
        <v>981</v>
      </c>
    </row>
    <row r="75" spans="1:19" x14ac:dyDescent="0.2">
      <c r="A75" s="761">
        <v>2014</v>
      </c>
      <c r="B75" s="761">
        <v>11</v>
      </c>
      <c r="C75" s="796" t="s">
        <v>148</v>
      </c>
      <c r="D75" s="796"/>
      <c r="E75" s="796"/>
      <c r="F75" s="761">
        <v>1350</v>
      </c>
      <c r="G75" s="761" t="s">
        <v>1075</v>
      </c>
      <c r="H75" s="799">
        <v>9455</v>
      </c>
      <c r="I75" s="799">
        <v>0</v>
      </c>
      <c r="J75" s="799">
        <v>133475</v>
      </c>
      <c r="K75" s="799">
        <v>0</v>
      </c>
      <c r="L75" s="799">
        <v>0</v>
      </c>
      <c r="M75" s="799">
        <v>34459</v>
      </c>
      <c r="N75" s="799">
        <v>6667</v>
      </c>
      <c r="O75" s="799">
        <v>42618</v>
      </c>
      <c r="P75" s="799">
        <v>29005</v>
      </c>
      <c r="Q75" s="799">
        <v>0</v>
      </c>
      <c r="R75" s="799">
        <v>5754</v>
      </c>
      <c r="S75" s="799">
        <v>35284</v>
      </c>
    </row>
    <row r="76" spans="1:19" x14ac:dyDescent="0.2">
      <c r="A76" s="761">
        <v>2014</v>
      </c>
      <c r="B76" s="761">
        <v>11</v>
      </c>
      <c r="C76" s="796" t="s">
        <v>149</v>
      </c>
      <c r="D76" s="796"/>
      <c r="E76" s="796"/>
      <c r="F76" s="761">
        <v>1359</v>
      </c>
      <c r="G76" s="761" t="s">
        <v>1076</v>
      </c>
      <c r="H76" s="799">
        <v>7262</v>
      </c>
      <c r="I76" s="799">
        <v>0</v>
      </c>
      <c r="J76" s="799">
        <v>0</v>
      </c>
      <c r="K76" s="799">
        <v>0</v>
      </c>
      <c r="L76" s="799">
        <v>0</v>
      </c>
      <c r="M76" s="799">
        <v>0</v>
      </c>
      <c r="N76" s="799">
        <v>3864</v>
      </c>
      <c r="O76" s="799">
        <v>5777</v>
      </c>
      <c r="P76" s="799">
        <v>0</v>
      </c>
      <c r="Q76" s="799">
        <v>0</v>
      </c>
      <c r="R76" s="799">
        <v>5166</v>
      </c>
      <c r="S76" s="799">
        <v>17114</v>
      </c>
    </row>
    <row r="77" spans="1:19" x14ac:dyDescent="0.2">
      <c r="A77" s="761">
        <v>2014</v>
      </c>
      <c r="B77" s="761">
        <v>9</v>
      </c>
      <c r="C77" s="796" t="s">
        <v>150</v>
      </c>
      <c r="D77" s="796"/>
      <c r="E77" s="796"/>
      <c r="F77" s="761">
        <v>1368</v>
      </c>
      <c r="G77" s="761" t="s">
        <v>1077</v>
      </c>
      <c r="H77" s="799">
        <v>0</v>
      </c>
      <c r="I77" s="799">
        <v>35132</v>
      </c>
      <c r="J77" s="799">
        <v>64415</v>
      </c>
      <c r="K77" s="799">
        <v>49389</v>
      </c>
      <c r="L77" s="799">
        <v>0</v>
      </c>
      <c r="M77" s="799">
        <v>724</v>
      </c>
      <c r="N77" s="799">
        <v>52792</v>
      </c>
      <c r="O77" s="799">
        <v>29171</v>
      </c>
      <c r="P77" s="799">
        <v>12575</v>
      </c>
      <c r="Q77" s="799">
        <v>0</v>
      </c>
      <c r="R77" s="799">
        <v>1781</v>
      </c>
      <c r="S77" s="799">
        <v>23072</v>
      </c>
    </row>
    <row r="78" spans="1:19" x14ac:dyDescent="0.2">
      <c r="A78" s="761">
        <v>2014</v>
      </c>
      <c r="B78" s="761">
        <v>11</v>
      </c>
      <c r="C78" s="796" t="s">
        <v>151</v>
      </c>
      <c r="D78" s="796"/>
      <c r="E78" s="796"/>
      <c r="F78" s="761">
        <v>1413</v>
      </c>
      <c r="G78" s="761" t="s">
        <v>638</v>
      </c>
      <c r="H78" s="799">
        <v>0</v>
      </c>
      <c r="I78" s="799">
        <v>0</v>
      </c>
      <c r="J78" s="799">
        <v>0</v>
      </c>
      <c r="K78" s="799">
        <v>145</v>
      </c>
      <c r="L78" s="799">
        <v>33339</v>
      </c>
      <c r="M78" s="799">
        <v>55478</v>
      </c>
      <c r="N78" s="799">
        <v>12487</v>
      </c>
      <c r="O78" s="799">
        <v>6158</v>
      </c>
      <c r="P78" s="799">
        <v>4449</v>
      </c>
      <c r="Q78" s="799">
        <v>4572</v>
      </c>
      <c r="R78" s="799">
        <v>6462</v>
      </c>
      <c r="S78" s="799">
        <v>14866</v>
      </c>
    </row>
    <row r="79" spans="1:19" x14ac:dyDescent="0.2">
      <c r="A79" s="761">
        <v>2014</v>
      </c>
      <c r="B79" s="761">
        <v>13</v>
      </c>
      <c r="C79" s="796" t="s">
        <v>152</v>
      </c>
      <c r="D79" s="796"/>
      <c r="E79" s="796"/>
      <c r="F79" s="761">
        <v>1431</v>
      </c>
      <c r="G79" s="761" t="s">
        <v>1078</v>
      </c>
      <c r="H79" s="799">
        <v>23724</v>
      </c>
      <c r="I79" s="799">
        <v>0</v>
      </c>
      <c r="J79" s="799">
        <v>0</v>
      </c>
      <c r="K79" s="799">
        <v>0</v>
      </c>
      <c r="L79" s="799">
        <v>0</v>
      </c>
      <c r="M79" s="799">
        <v>117259</v>
      </c>
      <c r="N79" s="799">
        <v>27512</v>
      </c>
      <c r="O79" s="799">
        <v>10793</v>
      </c>
      <c r="P79" s="799">
        <v>26561</v>
      </c>
      <c r="Q79" s="799">
        <v>0</v>
      </c>
      <c r="R79" s="799">
        <v>6566</v>
      </c>
      <c r="S79" s="799">
        <v>44894</v>
      </c>
    </row>
    <row r="80" spans="1:19" x14ac:dyDescent="0.2">
      <c r="A80" s="761">
        <v>2014</v>
      </c>
      <c r="B80" s="761">
        <v>13</v>
      </c>
      <c r="C80" s="796" t="s">
        <v>153</v>
      </c>
      <c r="D80" s="796"/>
      <c r="E80" s="796"/>
      <c r="F80" s="761">
        <v>1476</v>
      </c>
      <c r="G80" s="761" t="s">
        <v>1079</v>
      </c>
      <c r="H80" s="799">
        <v>0</v>
      </c>
      <c r="I80" s="799">
        <v>177146</v>
      </c>
      <c r="J80" s="799">
        <v>427973</v>
      </c>
      <c r="K80" s="799">
        <v>0</v>
      </c>
      <c r="L80" s="799">
        <v>0</v>
      </c>
      <c r="M80" s="799">
        <v>733605</v>
      </c>
      <c r="N80" s="799">
        <v>151422</v>
      </c>
      <c r="O80" s="799">
        <v>0</v>
      </c>
      <c r="P80" s="799">
        <v>209488</v>
      </c>
      <c r="Q80" s="799">
        <v>0</v>
      </c>
      <c r="R80" s="799">
        <v>6784</v>
      </c>
      <c r="S80" s="799">
        <v>358958</v>
      </c>
    </row>
    <row r="81" spans="1:19" x14ac:dyDescent="0.2">
      <c r="A81" s="761">
        <v>2014</v>
      </c>
      <c r="B81" s="761">
        <v>13</v>
      </c>
      <c r="C81" s="796" t="s">
        <v>154</v>
      </c>
      <c r="D81" s="761">
        <v>5328</v>
      </c>
      <c r="E81" s="796"/>
      <c r="F81" s="761">
        <v>1503</v>
      </c>
      <c r="G81" s="761" t="s">
        <v>1080</v>
      </c>
      <c r="H81" s="799">
        <v>0</v>
      </c>
      <c r="I81" s="799">
        <v>0</v>
      </c>
      <c r="J81" s="799">
        <v>177894</v>
      </c>
      <c r="K81" s="799">
        <v>193153</v>
      </c>
      <c r="L81" s="799">
        <v>0</v>
      </c>
      <c r="M81" s="799">
        <v>61262</v>
      </c>
      <c r="N81" s="799">
        <v>133213</v>
      </c>
      <c r="O81" s="799">
        <v>2612</v>
      </c>
      <c r="P81" s="799">
        <v>25830</v>
      </c>
      <c r="Q81" s="799">
        <v>0</v>
      </c>
      <c r="R81" s="799">
        <v>15553</v>
      </c>
      <c r="S81" s="799">
        <v>85685</v>
      </c>
    </row>
    <row r="82" spans="1:19" x14ac:dyDescent="0.2">
      <c r="A82" s="761">
        <v>2014</v>
      </c>
      <c r="B82" s="761">
        <v>11</v>
      </c>
      <c r="C82" s="796" t="s">
        <v>155</v>
      </c>
      <c r="D82" s="796"/>
      <c r="E82" s="796"/>
      <c r="F82" s="761">
        <v>1576</v>
      </c>
      <c r="G82" s="761" t="s">
        <v>1081</v>
      </c>
      <c r="H82" s="799">
        <v>0</v>
      </c>
      <c r="I82" s="799">
        <v>0</v>
      </c>
      <c r="J82" s="799">
        <v>0</v>
      </c>
      <c r="K82" s="799">
        <v>0</v>
      </c>
      <c r="L82" s="799">
        <v>0</v>
      </c>
      <c r="M82" s="799">
        <v>94690</v>
      </c>
      <c r="N82" s="799">
        <v>42630</v>
      </c>
      <c r="O82" s="799">
        <v>0</v>
      </c>
      <c r="P82" s="799">
        <v>0</v>
      </c>
      <c r="Q82" s="799">
        <v>0</v>
      </c>
      <c r="R82" s="799">
        <v>0</v>
      </c>
      <c r="S82" s="799">
        <v>0</v>
      </c>
    </row>
    <row r="83" spans="1:19" x14ac:dyDescent="0.2">
      <c r="A83" s="761">
        <v>2014</v>
      </c>
      <c r="B83" s="761">
        <v>15</v>
      </c>
      <c r="C83" s="796" t="s">
        <v>156</v>
      </c>
      <c r="D83" s="796"/>
      <c r="E83" s="796"/>
      <c r="F83" s="761">
        <v>1602</v>
      </c>
      <c r="G83" s="761" t="s">
        <v>1082</v>
      </c>
      <c r="H83" s="799">
        <v>0</v>
      </c>
      <c r="I83" s="799">
        <v>0</v>
      </c>
      <c r="J83" s="799">
        <v>0</v>
      </c>
      <c r="K83" s="799">
        <v>74324</v>
      </c>
      <c r="L83" s="799">
        <v>0</v>
      </c>
      <c r="M83" s="799">
        <v>100161</v>
      </c>
      <c r="N83" s="799">
        <v>9601</v>
      </c>
      <c r="O83" s="799">
        <v>5129</v>
      </c>
      <c r="P83" s="799">
        <v>6686</v>
      </c>
      <c r="Q83" s="799">
        <v>0</v>
      </c>
      <c r="R83" s="799">
        <v>264</v>
      </c>
      <c r="S83" s="799">
        <v>0</v>
      </c>
    </row>
    <row r="84" spans="1:19" x14ac:dyDescent="0.2">
      <c r="A84" s="761">
        <v>2014</v>
      </c>
      <c r="B84" s="761">
        <v>9</v>
      </c>
      <c r="C84" s="796" t="s">
        <v>157</v>
      </c>
      <c r="D84" s="796"/>
      <c r="E84" s="796"/>
      <c r="F84" s="761">
        <v>1611</v>
      </c>
      <c r="G84" s="761" t="s">
        <v>1083</v>
      </c>
      <c r="H84" s="799">
        <v>301808</v>
      </c>
      <c r="I84" s="799">
        <v>0</v>
      </c>
      <c r="J84" s="799">
        <v>214856</v>
      </c>
      <c r="K84" s="799">
        <v>53540</v>
      </c>
      <c r="L84" s="799">
        <v>153777</v>
      </c>
      <c r="M84" s="799">
        <v>568315</v>
      </c>
      <c r="N84" s="799">
        <v>594402</v>
      </c>
      <c r="O84" s="799">
        <v>449453</v>
      </c>
      <c r="P84" s="799">
        <v>405106</v>
      </c>
      <c r="Q84" s="799">
        <v>0</v>
      </c>
      <c r="R84" s="799">
        <v>400</v>
      </c>
      <c r="S84" s="799">
        <v>184310</v>
      </c>
    </row>
    <row r="85" spans="1:19" x14ac:dyDescent="0.2">
      <c r="A85" s="761">
        <v>2014</v>
      </c>
      <c r="B85" s="761">
        <v>15</v>
      </c>
      <c r="C85" s="796" t="s">
        <v>158</v>
      </c>
      <c r="D85" s="796"/>
      <c r="E85" s="796"/>
      <c r="F85" s="761">
        <v>1619</v>
      </c>
      <c r="G85" s="761" t="s">
        <v>1084</v>
      </c>
      <c r="H85" s="799">
        <v>1731</v>
      </c>
      <c r="I85" s="799">
        <v>0</v>
      </c>
      <c r="J85" s="799">
        <v>0</v>
      </c>
      <c r="K85" s="799">
        <v>94818</v>
      </c>
      <c r="L85" s="799">
        <v>0</v>
      </c>
      <c r="M85" s="799">
        <v>11084</v>
      </c>
      <c r="N85" s="799">
        <v>5701</v>
      </c>
      <c r="O85" s="799">
        <v>29284</v>
      </c>
      <c r="P85" s="799">
        <v>15148</v>
      </c>
      <c r="Q85" s="799">
        <v>11547</v>
      </c>
      <c r="R85" s="799">
        <v>1937</v>
      </c>
      <c r="S85" s="799">
        <v>1149</v>
      </c>
    </row>
    <row r="86" spans="1:19" x14ac:dyDescent="0.2">
      <c r="A86" s="761">
        <v>2014</v>
      </c>
      <c r="B86" s="761">
        <v>1</v>
      </c>
      <c r="C86" s="796" t="s">
        <v>159</v>
      </c>
      <c r="D86" s="796"/>
      <c r="E86" s="796"/>
      <c r="F86" s="761">
        <v>1638</v>
      </c>
      <c r="G86" s="761" t="s">
        <v>1085</v>
      </c>
      <c r="H86" s="799">
        <v>43761</v>
      </c>
      <c r="I86" s="799">
        <v>0</v>
      </c>
      <c r="J86" s="799">
        <v>0</v>
      </c>
      <c r="K86" s="799">
        <v>0</v>
      </c>
      <c r="L86" s="799">
        <v>0</v>
      </c>
      <c r="M86" s="799">
        <v>44434</v>
      </c>
      <c r="N86" s="799">
        <v>94254</v>
      </c>
      <c r="O86" s="799">
        <v>0</v>
      </c>
      <c r="P86" s="799">
        <v>4158</v>
      </c>
      <c r="Q86" s="799">
        <v>0</v>
      </c>
      <c r="R86" s="799">
        <v>9713</v>
      </c>
      <c r="S86" s="799">
        <v>27042</v>
      </c>
    </row>
    <row r="87" spans="1:19" x14ac:dyDescent="0.2">
      <c r="A87" s="761">
        <v>2014</v>
      </c>
      <c r="B87" s="761">
        <v>9</v>
      </c>
      <c r="C87" s="796" t="s">
        <v>160</v>
      </c>
      <c r="D87" s="796"/>
      <c r="E87" s="796"/>
      <c r="F87" s="761">
        <v>1675</v>
      </c>
      <c r="G87" s="761" t="s">
        <v>1086</v>
      </c>
      <c r="H87" s="799">
        <v>0</v>
      </c>
      <c r="I87" s="799">
        <v>0</v>
      </c>
      <c r="J87" s="799">
        <v>0</v>
      </c>
      <c r="K87" s="799">
        <v>62941</v>
      </c>
      <c r="L87" s="799">
        <v>0</v>
      </c>
      <c r="M87" s="799">
        <v>4762</v>
      </c>
      <c r="N87" s="799">
        <v>420</v>
      </c>
      <c r="O87" s="799">
        <v>4252</v>
      </c>
      <c r="P87" s="799">
        <v>0</v>
      </c>
      <c r="Q87" s="799">
        <v>0</v>
      </c>
      <c r="R87" s="799">
        <v>1361</v>
      </c>
      <c r="S87" s="799">
        <v>12815</v>
      </c>
    </row>
    <row r="88" spans="1:19" x14ac:dyDescent="0.2">
      <c r="A88" s="761">
        <v>2014</v>
      </c>
      <c r="B88" s="761">
        <v>12</v>
      </c>
      <c r="C88" s="796" t="s">
        <v>161</v>
      </c>
      <c r="D88" s="796"/>
      <c r="E88" s="796"/>
      <c r="F88" s="761">
        <v>1701</v>
      </c>
      <c r="G88" s="761" t="s">
        <v>1087</v>
      </c>
      <c r="H88" s="799">
        <v>0</v>
      </c>
      <c r="I88" s="799">
        <v>241564</v>
      </c>
      <c r="J88" s="799">
        <v>0</v>
      </c>
      <c r="K88" s="799">
        <v>152335</v>
      </c>
      <c r="L88" s="799">
        <v>56973</v>
      </c>
      <c r="M88" s="799">
        <v>58195</v>
      </c>
      <c r="N88" s="799">
        <v>0</v>
      </c>
      <c r="O88" s="799">
        <v>0</v>
      </c>
      <c r="P88" s="799">
        <v>0</v>
      </c>
      <c r="Q88" s="799">
        <v>0</v>
      </c>
      <c r="R88" s="799">
        <v>4679</v>
      </c>
      <c r="S88" s="799">
        <v>35511</v>
      </c>
    </row>
    <row r="89" spans="1:19" x14ac:dyDescent="0.2">
      <c r="A89" s="761">
        <v>2014</v>
      </c>
      <c r="B89" s="761">
        <v>7</v>
      </c>
      <c r="C89" s="796" t="s">
        <v>162</v>
      </c>
      <c r="D89" s="796"/>
      <c r="E89" s="796"/>
      <c r="F89" s="761">
        <v>1719</v>
      </c>
      <c r="G89" s="761" t="s">
        <v>1088</v>
      </c>
      <c r="H89" s="799">
        <v>0</v>
      </c>
      <c r="I89" s="799">
        <v>0</v>
      </c>
      <c r="J89" s="799">
        <v>77580</v>
      </c>
      <c r="K89" s="799">
        <v>30638</v>
      </c>
      <c r="L89" s="799">
        <v>50278</v>
      </c>
      <c r="M89" s="799">
        <v>0</v>
      </c>
      <c r="N89" s="799">
        <v>12231</v>
      </c>
      <c r="O89" s="799">
        <v>23231</v>
      </c>
      <c r="P89" s="799">
        <v>30721</v>
      </c>
      <c r="Q89" s="799">
        <v>0</v>
      </c>
      <c r="R89" s="799">
        <v>6690</v>
      </c>
      <c r="S89" s="799">
        <v>15655</v>
      </c>
    </row>
    <row r="90" spans="1:19" x14ac:dyDescent="0.2">
      <c r="A90" s="761">
        <v>2014</v>
      </c>
      <c r="B90" s="761">
        <v>11</v>
      </c>
      <c r="C90" s="796" t="s">
        <v>163</v>
      </c>
      <c r="D90" s="796"/>
      <c r="E90" s="796"/>
      <c r="F90" s="761">
        <v>1737</v>
      </c>
      <c r="G90" s="761" t="s">
        <v>1089</v>
      </c>
      <c r="H90" s="799">
        <v>0</v>
      </c>
      <c r="I90" s="799">
        <v>0</v>
      </c>
      <c r="J90" s="799">
        <v>0</v>
      </c>
      <c r="K90" s="799">
        <v>2073109</v>
      </c>
      <c r="L90" s="799">
        <v>0</v>
      </c>
      <c r="M90" s="799">
        <v>720929</v>
      </c>
      <c r="N90" s="799">
        <v>0</v>
      </c>
      <c r="O90" s="799">
        <v>267836</v>
      </c>
      <c r="P90" s="799">
        <v>2584758</v>
      </c>
      <c r="Q90" s="799">
        <v>0</v>
      </c>
      <c r="R90" s="799">
        <v>123950</v>
      </c>
      <c r="S90" s="799">
        <v>886815</v>
      </c>
    </row>
    <row r="91" spans="1:19" x14ac:dyDescent="0.2">
      <c r="A91" s="761">
        <v>2014</v>
      </c>
      <c r="B91" s="761">
        <v>13</v>
      </c>
      <c r="C91" s="796" t="s">
        <v>164</v>
      </c>
      <c r="D91" s="796"/>
      <c r="E91" s="796"/>
      <c r="F91" s="761">
        <v>1782</v>
      </c>
      <c r="G91" s="761" t="s">
        <v>1090</v>
      </c>
      <c r="H91" s="799">
        <v>0</v>
      </c>
      <c r="I91" s="799">
        <v>0</v>
      </c>
      <c r="J91" s="799">
        <v>0</v>
      </c>
      <c r="K91" s="799">
        <v>47546</v>
      </c>
      <c r="L91" s="799">
        <v>0</v>
      </c>
      <c r="M91" s="799">
        <v>0</v>
      </c>
      <c r="N91" s="799">
        <v>35826</v>
      </c>
      <c r="O91" s="799">
        <v>7610</v>
      </c>
      <c r="P91" s="799">
        <v>0</v>
      </c>
      <c r="Q91" s="799">
        <v>0</v>
      </c>
      <c r="R91" s="799">
        <v>5416</v>
      </c>
      <c r="S91" s="799">
        <v>94693</v>
      </c>
    </row>
    <row r="92" spans="1:19" x14ac:dyDescent="0.2">
      <c r="A92" s="761">
        <v>2014</v>
      </c>
      <c r="B92" s="761">
        <v>7</v>
      </c>
      <c r="C92" s="796" t="s">
        <v>165</v>
      </c>
      <c r="D92" s="796"/>
      <c r="E92" s="796"/>
      <c r="F92" s="761">
        <v>1791</v>
      </c>
      <c r="G92" s="761" t="s">
        <v>2007</v>
      </c>
      <c r="H92" s="799">
        <v>7060</v>
      </c>
      <c r="I92" s="799">
        <v>0</v>
      </c>
      <c r="J92" s="799">
        <v>76533</v>
      </c>
      <c r="K92" s="799">
        <v>239676</v>
      </c>
      <c r="L92" s="799">
        <v>63389</v>
      </c>
      <c r="M92" s="799">
        <v>26934</v>
      </c>
      <c r="N92" s="799">
        <v>93790</v>
      </c>
      <c r="O92" s="799">
        <v>6188</v>
      </c>
      <c r="P92" s="799">
        <v>58041</v>
      </c>
      <c r="Q92" s="799">
        <v>0</v>
      </c>
      <c r="R92" s="799">
        <v>1536</v>
      </c>
      <c r="S92" s="799">
        <v>19391</v>
      </c>
    </row>
    <row r="93" spans="1:19" x14ac:dyDescent="0.2">
      <c r="A93" s="761">
        <v>2014</v>
      </c>
      <c r="B93" s="761">
        <v>1</v>
      </c>
      <c r="C93" s="796" t="s">
        <v>166</v>
      </c>
      <c r="D93" s="796"/>
      <c r="E93" s="796"/>
      <c r="F93" s="761">
        <v>1863</v>
      </c>
      <c r="G93" s="761" t="s">
        <v>1092</v>
      </c>
      <c r="H93" s="799">
        <v>0</v>
      </c>
      <c r="I93" s="799">
        <v>0</v>
      </c>
      <c r="J93" s="799">
        <v>0</v>
      </c>
      <c r="K93" s="799">
        <v>0</v>
      </c>
      <c r="L93" s="799">
        <v>0</v>
      </c>
      <c r="M93" s="799">
        <v>76296</v>
      </c>
      <c r="N93" s="799">
        <v>254547</v>
      </c>
      <c r="O93" s="799">
        <v>335008</v>
      </c>
      <c r="P93" s="799">
        <v>570960</v>
      </c>
      <c r="Q93" s="799">
        <v>0</v>
      </c>
      <c r="R93" s="799">
        <v>24368</v>
      </c>
      <c r="S93" s="799">
        <v>116637</v>
      </c>
    </row>
    <row r="94" spans="1:19" x14ac:dyDescent="0.2">
      <c r="A94" s="761">
        <v>2014</v>
      </c>
      <c r="B94" s="761">
        <v>7</v>
      </c>
      <c r="C94" s="796" t="s">
        <v>167</v>
      </c>
      <c r="D94" s="796"/>
      <c r="E94" s="796"/>
      <c r="F94" s="761">
        <v>1908</v>
      </c>
      <c r="G94" s="761" t="s">
        <v>1093</v>
      </c>
      <c r="H94" s="799">
        <v>4509</v>
      </c>
      <c r="I94" s="799">
        <v>1294</v>
      </c>
      <c r="J94" s="799">
        <v>71646</v>
      </c>
      <c r="K94" s="799">
        <v>11413</v>
      </c>
      <c r="L94" s="799">
        <v>50499</v>
      </c>
      <c r="M94" s="799">
        <v>0</v>
      </c>
      <c r="N94" s="799">
        <v>24807</v>
      </c>
      <c r="O94" s="799">
        <v>26853</v>
      </c>
      <c r="P94" s="799">
        <v>0</v>
      </c>
      <c r="Q94" s="799">
        <v>0</v>
      </c>
      <c r="R94" s="799">
        <v>2212</v>
      </c>
      <c r="S94" s="799">
        <v>22753</v>
      </c>
    </row>
    <row r="95" spans="1:19" x14ac:dyDescent="0.2">
      <c r="A95" s="761">
        <v>2014</v>
      </c>
      <c r="B95" s="761">
        <v>13</v>
      </c>
      <c r="C95" s="796" t="s">
        <v>168</v>
      </c>
      <c r="D95" s="796"/>
      <c r="E95" s="796"/>
      <c r="F95" s="761">
        <v>1917</v>
      </c>
      <c r="G95" s="761" t="s">
        <v>1094</v>
      </c>
      <c r="H95" s="799">
        <v>0</v>
      </c>
      <c r="I95" s="799">
        <v>0</v>
      </c>
      <c r="J95" s="799">
        <v>0</v>
      </c>
      <c r="K95" s="799">
        <v>10659</v>
      </c>
      <c r="L95" s="799">
        <v>51177</v>
      </c>
      <c r="M95" s="799">
        <v>82290</v>
      </c>
      <c r="N95" s="799">
        <v>1703</v>
      </c>
      <c r="O95" s="799">
        <v>21578</v>
      </c>
      <c r="P95" s="799">
        <v>43903</v>
      </c>
      <c r="Q95" s="799">
        <v>0</v>
      </c>
      <c r="R95" s="799">
        <v>6645</v>
      </c>
      <c r="S95" s="799">
        <v>15464</v>
      </c>
    </row>
    <row r="96" spans="1:19" x14ac:dyDescent="0.2">
      <c r="A96" s="761">
        <v>2014</v>
      </c>
      <c r="B96" s="761">
        <v>9</v>
      </c>
      <c r="C96" s="796" t="s">
        <v>169</v>
      </c>
      <c r="D96" s="796"/>
      <c r="E96" s="796"/>
      <c r="F96" s="761">
        <v>1926</v>
      </c>
      <c r="G96" s="761" t="s">
        <v>1095</v>
      </c>
      <c r="H96" s="799">
        <v>0</v>
      </c>
      <c r="I96" s="799">
        <v>0</v>
      </c>
      <c r="J96" s="799">
        <v>82077</v>
      </c>
      <c r="K96" s="799">
        <v>35627</v>
      </c>
      <c r="L96" s="799">
        <v>53850</v>
      </c>
      <c r="M96" s="799">
        <v>0</v>
      </c>
      <c r="N96" s="799">
        <v>2777</v>
      </c>
      <c r="O96" s="799">
        <v>44300</v>
      </c>
      <c r="P96" s="799">
        <v>18381</v>
      </c>
      <c r="Q96" s="799">
        <v>0</v>
      </c>
      <c r="R96" s="799">
        <v>1599</v>
      </c>
      <c r="S96" s="799">
        <v>8317</v>
      </c>
    </row>
    <row r="97" spans="1:19" x14ac:dyDescent="0.2">
      <c r="A97" s="761">
        <v>2014</v>
      </c>
      <c r="B97" s="761">
        <v>7</v>
      </c>
      <c r="C97" s="796" t="s">
        <v>170</v>
      </c>
      <c r="D97" s="796"/>
      <c r="E97" s="796"/>
      <c r="F97" s="761">
        <v>6536</v>
      </c>
      <c r="G97" s="761" t="s">
        <v>639</v>
      </c>
      <c r="H97" s="799">
        <v>606</v>
      </c>
      <c r="I97" s="799">
        <v>13153</v>
      </c>
      <c r="J97" s="799">
        <v>219896</v>
      </c>
      <c r="K97" s="799">
        <v>17391</v>
      </c>
      <c r="L97" s="799">
        <v>0</v>
      </c>
      <c r="M97" s="799">
        <v>0</v>
      </c>
      <c r="N97" s="799">
        <v>10278</v>
      </c>
      <c r="O97" s="799">
        <v>22725</v>
      </c>
      <c r="P97" s="799">
        <v>67085</v>
      </c>
      <c r="Q97" s="799">
        <v>0</v>
      </c>
      <c r="R97" s="799">
        <v>1578</v>
      </c>
      <c r="S97" s="799">
        <v>19937</v>
      </c>
    </row>
    <row r="98" spans="1:19" x14ac:dyDescent="0.2">
      <c r="A98" s="761">
        <v>2014</v>
      </c>
      <c r="B98" s="761">
        <v>5</v>
      </c>
      <c r="C98" s="796" t="s">
        <v>171</v>
      </c>
      <c r="D98" s="796"/>
      <c r="E98" s="796"/>
      <c r="F98" s="761">
        <v>1944</v>
      </c>
      <c r="G98" s="761" t="s">
        <v>1096</v>
      </c>
      <c r="H98" s="799">
        <v>32909</v>
      </c>
      <c r="I98" s="799">
        <v>109312</v>
      </c>
      <c r="J98" s="799">
        <v>0</v>
      </c>
      <c r="K98" s="799">
        <v>0</v>
      </c>
      <c r="L98" s="799">
        <v>0</v>
      </c>
      <c r="M98" s="799">
        <v>0</v>
      </c>
      <c r="N98" s="799">
        <v>53746</v>
      </c>
      <c r="O98" s="799">
        <v>52430</v>
      </c>
      <c r="P98" s="799">
        <v>0</v>
      </c>
      <c r="Q98" s="799">
        <v>0</v>
      </c>
      <c r="R98" s="799">
        <v>7602</v>
      </c>
      <c r="S98" s="799">
        <v>16767</v>
      </c>
    </row>
    <row r="99" spans="1:19" x14ac:dyDescent="0.2">
      <c r="A99" s="761">
        <v>2014</v>
      </c>
      <c r="B99" s="761">
        <v>11</v>
      </c>
      <c r="C99" s="796" t="s">
        <v>172</v>
      </c>
      <c r="D99" s="796"/>
      <c r="E99" s="796"/>
      <c r="F99" s="761">
        <v>1953</v>
      </c>
      <c r="G99" s="761" t="s">
        <v>1097</v>
      </c>
      <c r="H99" s="799">
        <v>0</v>
      </c>
      <c r="I99" s="799">
        <v>0</v>
      </c>
      <c r="J99" s="799">
        <v>13170</v>
      </c>
      <c r="K99" s="799">
        <v>0</v>
      </c>
      <c r="L99" s="799">
        <v>0</v>
      </c>
      <c r="M99" s="799">
        <v>0</v>
      </c>
      <c r="N99" s="799">
        <v>50174</v>
      </c>
      <c r="O99" s="799">
        <v>725</v>
      </c>
      <c r="P99" s="799">
        <v>6728</v>
      </c>
      <c r="Q99" s="799">
        <v>0</v>
      </c>
      <c r="R99" s="799">
        <v>4292</v>
      </c>
      <c r="S99" s="799">
        <v>13894</v>
      </c>
    </row>
    <row r="100" spans="1:19" x14ac:dyDescent="0.2">
      <c r="A100" s="761">
        <v>2014</v>
      </c>
      <c r="B100" s="761">
        <v>7</v>
      </c>
      <c r="C100" s="796" t="s">
        <v>173</v>
      </c>
      <c r="D100" s="796"/>
      <c r="E100" s="796"/>
      <c r="F100" s="761">
        <v>1963</v>
      </c>
      <c r="G100" s="761" t="s">
        <v>1098</v>
      </c>
      <c r="H100" s="799">
        <v>0</v>
      </c>
      <c r="I100" s="799">
        <v>0</v>
      </c>
      <c r="J100" s="799">
        <v>0</v>
      </c>
      <c r="K100" s="799">
        <v>0</v>
      </c>
      <c r="L100" s="799">
        <v>67662</v>
      </c>
      <c r="M100" s="799">
        <v>0</v>
      </c>
      <c r="N100" s="799">
        <v>0</v>
      </c>
      <c r="O100" s="799">
        <v>0</v>
      </c>
      <c r="P100" s="799">
        <v>0</v>
      </c>
      <c r="Q100" s="799">
        <v>0</v>
      </c>
      <c r="R100" s="799">
        <v>6974</v>
      </c>
      <c r="S100" s="799">
        <v>14000</v>
      </c>
    </row>
    <row r="101" spans="1:19" x14ac:dyDescent="0.2">
      <c r="A101" s="761">
        <v>2014</v>
      </c>
      <c r="B101" s="761">
        <v>9</v>
      </c>
      <c r="C101" s="796" t="s">
        <v>174</v>
      </c>
      <c r="D101" s="796"/>
      <c r="E101" s="796"/>
      <c r="F101" s="761">
        <v>1965</v>
      </c>
      <c r="G101" s="761" t="s">
        <v>1524</v>
      </c>
      <c r="H101" s="799">
        <v>0</v>
      </c>
      <c r="I101" s="799">
        <v>0</v>
      </c>
      <c r="J101" s="799">
        <v>111656</v>
      </c>
      <c r="K101" s="799">
        <v>41989</v>
      </c>
      <c r="L101" s="799">
        <v>0</v>
      </c>
      <c r="M101" s="799">
        <v>0</v>
      </c>
      <c r="N101" s="799">
        <v>105658</v>
      </c>
      <c r="O101" s="799">
        <v>50991</v>
      </c>
      <c r="P101" s="799">
        <v>35348</v>
      </c>
      <c r="Q101" s="799">
        <v>0</v>
      </c>
      <c r="R101" s="799">
        <v>7491</v>
      </c>
      <c r="S101" s="799">
        <v>25927</v>
      </c>
    </row>
    <row r="102" spans="1:19" x14ac:dyDescent="0.2">
      <c r="A102" s="761">
        <v>2014</v>
      </c>
      <c r="B102" s="761">
        <v>13</v>
      </c>
      <c r="C102" s="796" t="s">
        <v>175</v>
      </c>
      <c r="D102" s="796"/>
      <c r="E102" s="796"/>
      <c r="F102" s="761">
        <v>1970</v>
      </c>
      <c r="G102" s="761" t="s">
        <v>1099</v>
      </c>
      <c r="H102" s="799">
        <v>0</v>
      </c>
      <c r="I102" s="799">
        <v>6498</v>
      </c>
      <c r="J102" s="799">
        <v>0</v>
      </c>
      <c r="K102" s="799">
        <v>0</v>
      </c>
      <c r="L102" s="799">
        <v>0</v>
      </c>
      <c r="M102" s="799">
        <v>54885</v>
      </c>
      <c r="N102" s="799">
        <v>25563</v>
      </c>
      <c r="O102" s="799">
        <v>0</v>
      </c>
      <c r="P102" s="799">
        <v>0</v>
      </c>
      <c r="Q102" s="799">
        <v>0</v>
      </c>
      <c r="R102" s="799">
        <v>2044</v>
      </c>
      <c r="S102" s="799">
        <v>16017</v>
      </c>
    </row>
    <row r="103" spans="1:19" x14ac:dyDescent="0.2">
      <c r="A103" s="761">
        <v>2014</v>
      </c>
      <c r="B103" s="761">
        <v>1</v>
      </c>
      <c r="C103" s="796" t="s">
        <v>176</v>
      </c>
      <c r="D103" s="796"/>
      <c r="E103" s="796"/>
      <c r="F103" s="761">
        <v>1972</v>
      </c>
      <c r="G103" s="761" t="s">
        <v>1100</v>
      </c>
      <c r="H103" s="799">
        <v>0</v>
      </c>
      <c r="I103" s="799">
        <v>0</v>
      </c>
      <c r="J103" s="799">
        <v>60932</v>
      </c>
      <c r="K103" s="799">
        <v>29610</v>
      </c>
      <c r="L103" s="799">
        <v>20671</v>
      </c>
      <c r="M103" s="799">
        <v>98860</v>
      </c>
      <c r="N103" s="799">
        <v>5171</v>
      </c>
      <c r="O103" s="799">
        <v>33169</v>
      </c>
      <c r="P103" s="799">
        <v>9770</v>
      </c>
      <c r="Q103" s="799">
        <v>0</v>
      </c>
      <c r="R103" s="799">
        <v>2269</v>
      </c>
      <c r="S103" s="799">
        <v>18602</v>
      </c>
    </row>
    <row r="104" spans="1:19" x14ac:dyDescent="0.2">
      <c r="A104" s="761">
        <v>2014</v>
      </c>
      <c r="B104" s="761">
        <v>12</v>
      </c>
      <c r="C104" s="796" t="s">
        <v>177</v>
      </c>
      <c r="D104" s="796"/>
      <c r="E104" s="796"/>
      <c r="F104" s="761">
        <v>1975</v>
      </c>
      <c r="G104" s="761" t="s">
        <v>1101</v>
      </c>
      <c r="H104" s="799">
        <v>24665</v>
      </c>
      <c r="I104" s="799">
        <v>5719</v>
      </c>
      <c r="J104" s="799">
        <v>93747</v>
      </c>
      <c r="K104" s="799">
        <v>1365</v>
      </c>
      <c r="L104" s="799">
        <v>34603</v>
      </c>
      <c r="M104" s="799">
        <v>41096</v>
      </c>
      <c r="N104" s="799">
        <v>44981</v>
      </c>
      <c r="O104" s="799">
        <v>12003</v>
      </c>
      <c r="P104" s="799">
        <v>15148</v>
      </c>
      <c r="Q104" s="799">
        <v>0</v>
      </c>
      <c r="R104" s="799">
        <v>4982</v>
      </c>
      <c r="S104" s="799">
        <v>15040</v>
      </c>
    </row>
    <row r="105" spans="1:19" x14ac:dyDescent="0.2">
      <c r="A105" s="761">
        <v>2014</v>
      </c>
      <c r="B105" s="761">
        <v>1</v>
      </c>
      <c r="C105" s="796" t="s">
        <v>178</v>
      </c>
      <c r="D105" s="796"/>
      <c r="E105" s="796"/>
      <c r="F105" s="761">
        <v>1989</v>
      </c>
      <c r="G105" s="761" t="s">
        <v>1102</v>
      </c>
      <c r="H105" s="799">
        <v>0</v>
      </c>
      <c r="I105" s="799">
        <v>0</v>
      </c>
      <c r="J105" s="799">
        <v>0</v>
      </c>
      <c r="K105" s="799">
        <v>0</v>
      </c>
      <c r="L105" s="799">
        <v>24011</v>
      </c>
      <c r="M105" s="799">
        <v>122181</v>
      </c>
      <c r="N105" s="799">
        <v>1526</v>
      </c>
      <c r="O105" s="799">
        <v>0</v>
      </c>
      <c r="P105" s="799">
        <v>0</v>
      </c>
      <c r="Q105" s="799">
        <v>0</v>
      </c>
      <c r="R105" s="799">
        <v>6285</v>
      </c>
      <c r="S105" s="799">
        <v>15082</v>
      </c>
    </row>
    <row r="106" spans="1:19" x14ac:dyDescent="0.2">
      <c r="A106" s="761">
        <v>2014</v>
      </c>
      <c r="B106" s="761">
        <v>7</v>
      </c>
      <c r="C106" s="796" t="s">
        <v>179</v>
      </c>
      <c r="D106" s="796"/>
      <c r="E106" s="796"/>
      <c r="F106" s="761">
        <v>2007</v>
      </c>
      <c r="G106" s="761" t="s">
        <v>1103</v>
      </c>
      <c r="H106" s="799">
        <v>202691</v>
      </c>
      <c r="I106" s="799">
        <v>0</v>
      </c>
      <c r="J106" s="799">
        <v>0</v>
      </c>
      <c r="K106" s="799">
        <v>35918</v>
      </c>
      <c r="L106" s="799">
        <v>94118</v>
      </c>
      <c r="M106" s="799">
        <v>30147</v>
      </c>
      <c r="N106" s="799">
        <v>0</v>
      </c>
      <c r="O106" s="799">
        <v>14860</v>
      </c>
      <c r="P106" s="799">
        <v>1480</v>
      </c>
      <c r="Q106" s="799">
        <v>0</v>
      </c>
      <c r="R106" s="799">
        <v>7395</v>
      </c>
      <c r="S106" s="799">
        <v>8549</v>
      </c>
    </row>
    <row r="107" spans="1:19" x14ac:dyDescent="0.2">
      <c r="A107" s="761">
        <v>2014</v>
      </c>
      <c r="B107" s="761">
        <v>5</v>
      </c>
      <c r="C107" s="796" t="s">
        <v>180</v>
      </c>
      <c r="D107" s="796"/>
      <c r="E107" s="796"/>
      <c r="F107" s="761">
        <v>2088</v>
      </c>
      <c r="G107" s="761" t="s">
        <v>1104</v>
      </c>
      <c r="H107" s="799">
        <v>0</v>
      </c>
      <c r="I107" s="799">
        <v>0</v>
      </c>
      <c r="J107" s="799">
        <v>85323</v>
      </c>
      <c r="K107" s="799">
        <v>30943</v>
      </c>
      <c r="L107" s="799">
        <v>0</v>
      </c>
      <c r="M107" s="799">
        <v>26555</v>
      </c>
      <c r="N107" s="799">
        <v>7627</v>
      </c>
      <c r="O107" s="799">
        <v>0</v>
      </c>
      <c r="P107" s="799">
        <v>5822</v>
      </c>
      <c r="Q107" s="799">
        <v>0</v>
      </c>
      <c r="R107" s="799">
        <v>4511</v>
      </c>
      <c r="S107" s="799">
        <v>12294</v>
      </c>
    </row>
    <row r="108" spans="1:19" x14ac:dyDescent="0.2">
      <c r="A108" s="761">
        <v>2014</v>
      </c>
      <c r="B108" s="761">
        <v>10</v>
      </c>
      <c r="C108" s="796" t="s">
        <v>181</v>
      </c>
      <c r="D108" s="796"/>
      <c r="E108" s="796"/>
      <c r="F108" s="761">
        <v>2097</v>
      </c>
      <c r="G108" s="761" t="s">
        <v>2008</v>
      </c>
      <c r="H108" s="799">
        <v>0</v>
      </c>
      <c r="I108" s="799">
        <v>0</v>
      </c>
      <c r="J108" s="799">
        <v>0</v>
      </c>
      <c r="K108" s="799">
        <v>0</v>
      </c>
      <c r="L108" s="799">
        <v>0</v>
      </c>
      <c r="M108" s="799">
        <v>0</v>
      </c>
      <c r="N108" s="799">
        <v>0</v>
      </c>
      <c r="O108" s="799">
        <v>24595</v>
      </c>
      <c r="P108" s="799">
        <v>6688</v>
      </c>
      <c r="Q108" s="799">
        <v>0</v>
      </c>
      <c r="R108" s="799">
        <v>6732</v>
      </c>
      <c r="S108" s="799">
        <v>15482</v>
      </c>
    </row>
    <row r="109" spans="1:19" x14ac:dyDescent="0.2">
      <c r="A109" s="761">
        <v>2014</v>
      </c>
      <c r="B109" s="761">
        <v>13</v>
      </c>
      <c r="C109" s="796" t="s">
        <v>182</v>
      </c>
      <c r="D109" s="796"/>
      <c r="E109" s="796"/>
      <c r="F109" s="761">
        <v>2113</v>
      </c>
      <c r="G109" s="761" t="s">
        <v>1105</v>
      </c>
      <c r="H109" s="799">
        <v>0</v>
      </c>
      <c r="I109" s="799">
        <v>0</v>
      </c>
      <c r="J109" s="799">
        <v>17900</v>
      </c>
      <c r="K109" s="799">
        <v>8806</v>
      </c>
      <c r="L109" s="799">
        <v>0</v>
      </c>
      <c r="M109" s="799">
        <v>0</v>
      </c>
      <c r="N109" s="799">
        <v>0</v>
      </c>
      <c r="O109" s="799">
        <v>0</v>
      </c>
      <c r="P109" s="799">
        <v>0</v>
      </c>
      <c r="Q109" s="799">
        <v>0</v>
      </c>
      <c r="R109" s="799">
        <v>5552</v>
      </c>
      <c r="S109" s="799">
        <v>11118</v>
      </c>
    </row>
    <row r="110" spans="1:19" x14ac:dyDescent="0.2">
      <c r="A110" s="761">
        <v>2014</v>
      </c>
      <c r="B110" s="761">
        <v>5</v>
      </c>
      <c r="C110" s="796" t="s">
        <v>183</v>
      </c>
      <c r="D110" s="796"/>
      <c r="E110" s="796"/>
      <c r="F110" s="761">
        <v>2124</v>
      </c>
      <c r="G110" s="761" t="s">
        <v>1106</v>
      </c>
      <c r="H110" s="799">
        <v>0</v>
      </c>
      <c r="I110" s="799">
        <v>14006</v>
      </c>
      <c r="J110" s="799">
        <v>9228</v>
      </c>
      <c r="K110" s="799">
        <v>232409</v>
      </c>
      <c r="L110" s="799">
        <v>0</v>
      </c>
      <c r="M110" s="799">
        <v>77751</v>
      </c>
      <c r="N110" s="799">
        <v>103324</v>
      </c>
      <c r="O110" s="799">
        <v>4</v>
      </c>
      <c r="P110" s="799">
        <v>55841</v>
      </c>
      <c r="Q110" s="799">
        <v>0</v>
      </c>
      <c r="R110" s="799">
        <v>10012</v>
      </c>
      <c r="S110" s="799">
        <v>24528</v>
      </c>
    </row>
    <row r="111" spans="1:19" x14ac:dyDescent="0.2">
      <c r="A111" s="761">
        <v>2014</v>
      </c>
      <c r="B111" s="761">
        <v>11</v>
      </c>
      <c r="C111" s="796" t="s">
        <v>184</v>
      </c>
      <c r="D111" s="761">
        <v>2016</v>
      </c>
      <c r="E111" s="796"/>
      <c r="F111" s="761">
        <v>2151</v>
      </c>
      <c r="G111" s="761" t="s">
        <v>1637</v>
      </c>
      <c r="H111" s="799">
        <v>106122</v>
      </c>
      <c r="I111" s="799">
        <v>0</v>
      </c>
      <c r="J111" s="799">
        <v>39785</v>
      </c>
      <c r="K111" s="799">
        <v>34138</v>
      </c>
      <c r="L111" s="799">
        <v>0</v>
      </c>
      <c r="M111" s="799">
        <v>0</v>
      </c>
      <c r="N111" s="799">
        <v>16653</v>
      </c>
      <c r="O111" s="799">
        <v>28889</v>
      </c>
      <c r="P111" s="799">
        <v>31966</v>
      </c>
      <c r="Q111" s="799">
        <v>0</v>
      </c>
      <c r="R111" s="799">
        <v>11657</v>
      </c>
      <c r="S111" s="799">
        <v>35286</v>
      </c>
    </row>
    <row r="112" spans="1:19" x14ac:dyDescent="0.2">
      <c r="A112" s="761">
        <v>2014</v>
      </c>
      <c r="B112" s="761">
        <v>15</v>
      </c>
      <c r="C112" s="796" t="s">
        <v>185</v>
      </c>
      <c r="D112" s="796"/>
      <c r="E112" s="796"/>
      <c r="F112" s="761">
        <v>2169</v>
      </c>
      <c r="G112" s="761" t="s">
        <v>1107</v>
      </c>
      <c r="H112" s="799">
        <v>54341</v>
      </c>
      <c r="I112" s="799">
        <v>0</v>
      </c>
      <c r="J112" s="799">
        <v>102334</v>
      </c>
      <c r="K112" s="799">
        <v>0</v>
      </c>
      <c r="L112" s="799">
        <v>0</v>
      </c>
      <c r="M112" s="799">
        <v>0</v>
      </c>
      <c r="N112" s="799">
        <v>77168</v>
      </c>
      <c r="O112" s="799">
        <v>0</v>
      </c>
      <c r="P112" s="799">
        <v>7613</v>
      </c>
      <c r="Q112" s="799">
        <v>0</v>
      </c>
      <c r="R112" s="799">
        <v>664</v>
      </c>
      <c r="S112" s="799">
        <v>28689</v>
      </c>
    </row>
    <row r="113" spans="1:19" x14ac:dyDescent="0.2">
      <c r="A113" s="761">
        <v>2014</v>
      </c>
      <c r="B113" s="761">
        <v>7</v>
      </c>
      <c r="C113" s="796" t="s">
        <v>187</v>
      </c>
      <c r="D113" s="796"/>
      <c r="E113" s="796"/>
      <c r="F113" s="761">
        <v>2295</v>
      </c>
      <c r="G113" s="761" t="s">
        <v>1109</v>
      </c>
      <c r="H113" s="799">
        <v>0</v>
      </c>
      <c r="I113" s="799">
        <v>0</v>
      </c>
      <c r="J113" s="799">
        <v>0</v>
      </c>
      <c r="K113" s="799">
        <v>0</v>
      </c>
      <c r="L113" s="799">
        <v>0</v>
      </c>
      <c r="M113" s="799">
        <v>192428</v>
      </c>
      <c r="N113" s="799">
        <v>56164</v>
      </c>
      <c r="O113" s="799">
        <v>0</v>
      </c>
      <c r="P113" s="799">
        <v>33869</v>
      </c>
      <c r="Q113" s="799">
        <v>0</v>
      </c>
      <c r="R113" s="799">
        <v>9110</v>
      </c>
      <c r="S113" s="799">
        <v>0</v>
      </c>
    </row>
    <row r="114" spans="1:19" x14ac:dyDescent="0.2">
      <c r="A114" s="761">
        <v>2014</v>
      </c>
      <c r="B114" s="761">
        <v>5</v>
      </c>
      <c r="C114" s="796" t="s">
        <v>188</v>
      </c>
      <c r="D114" s="796"/>
      <c r="E114" s="796"/>
      <c r="F114" s="761">
        <v>2313</v>
      </c>
      <c r="G114" s="761" t="s">
        <v>1110</v>
      </c>
      <c r="H114" s="799">
        <v>0</v>
      </c>
      <c r="I114" s="799">
        <v>0</v>
      </c>
      <c r="J114" s="799">
        <v>0</v>
      </c>
      <c r="K114" s="799">
        <v>68153</v>
      </c>
      <c r="L114" s="799">
        <v>0</v>
      </c>
      <c r="M114" s="799">
        <v>469029</v>
      </c>
      <c r="N114" s="799">
        <v>272311</v>
      </c>
      <c r="O114" s="799">
        <v>75417</v>
      </c>
      <c r="P114" s="799">
        <v>0</v>
      </c>
      <c r="Q114" s="799">
        <v>0</v>
      </c>
      <c r="R114" s="799">
        <v>5724</v>
      </c>
      <c r="S114" s="799">
        <v>31627</v>
      </c>
    </row>
    <row r="115" spans="1:19" x14ac:dyDescent="0.2">
      <c r="A115" s="761">
        <v>2014</v>
      </c>
      <c r="B115" s="761">
        <v>15</v>
      </c>
      <c r="C115" s="796" t="s">
        <v>189</v>
      </c>
      <c r="D115" s="796"/>
      <c r="E115" s="796"/>
      <c r="F115" s="761">
        <v>2322</v>
      </c>
      <c r="G115" s="761" t="s">
        <v>1111</v>
      </c>
      <c r="H115" s="799">
        <v>13695</v>
      </c>
      <c r="I115" s="799">
        <v>0</v>
      </c>
      <c r="J115" s="799">
        <v>0</v>
      </c>
      <c r="K115" s="799">
        <v>13414</v>
      </c>
      <c r="L115" s="799">
        <v>0</v>
      </c>
      <c r="M115" s="799">
        <v>0</v>
      </c>
      <c r="N115" s="799">
        <v>112519</v>
      </c>
      <c r="O115" s="799">
        <v>45521</v>
      </c>
      <c r="P115" s="799">
        <v>65738</v>
      </c>
      <c r="Q115" s="799">
        <v>0</v>
      </c>
      <c r="R115" s="799">
        <v>13415</v>
      </c>
      <c r="S115" s="799">
        <v>43797</v>
      </c>
    </row>
    <row r="116" spans="1:19" x14ac:dyDescent="0.2">
      <c r="A116" s="761">
        <v>2014</v>
      </c>
      <c r="B116" s="761">
        <v>13</v>
      </c>
      <c r="C116" s="796" t="s">
        <v>190</v>
      </c>
      <c r="D116" s="796"/>
      <c r="E116" s="796"/>
      <c r="F116" s="761">
        <v>2369</v>
      </c>
      <c r="G116" s="761" t="s">
        <v>1112</v>
      </c>
      <c r="H116" s="799">
        <v>0</v>
      </c>
      <c r="I116" s="799">
        <v>0</v>
      </c>
      <c r="J116" s="799">
        <v>44664</v>
      </c>
      <c r="K116" s="799">
        <v>38510</v>
      </c>
      <c r="L116" s="799">
        <v>0</v>
      </c>
      <c r="M116" s="799">
        <v>107608</v>
      </c>
      <c r="N116" s="799">
        <v>148607</v>
      </c>
      <c r="O116" s="799">
        <v>46830</v>
      </c>
      <c r="P116" s="799">
        <v>18493</v>
      </c>
      <c r="Q116" s="799">
        <v>1771</v>
      </c>
      <c r="R116" s="799">
        <v>6612</v>
      </c>
      <c r="S116" s="799">
        <v>145575</v>
      </c>
    </row>
    <row r="117" spans="1:19" x14ac:dyDescent="0.2">
      <c r="A117" s="761">
        <v>2014</v>
      </c>
      <c r="B117" s="761">
        <v>12</v>
      </c>
      <c r="C117" s="796" t="s">
        <v>191</v>
      </c>
      <c r="D117" s="796"/>
      <c r="E117" s="796"/>
      <c r="F117" s="761">
        <v>2376</v>
      </c>
      <c r="G117" s="761" t="s">
        <v>1113</v>
      </c>
      <c r="H117" s="799">
        <v>141</v>
      </c>
      <c r="I117" s="799">
        <v>0</v>
      </c>
      <c r="J117" s="799">
        <v>7669</v>
      </c>
      <c r="K117" s="799">
        <v>0</v>
      </c>
      <c r="L117" s="799">
        <v>0</v>
      </c>
      <c r="M117" s="799">
        <v>27097</v>
      </c>
      <c r="N117" s="799">
        <v>77303</v>
      </c>
      <c r="O117" s="799">
        <v>8573</v>
      </c>
      <c r="P117" s="799">
        <v>22499</v>
      </c>
      <c r="Q117" s="799">
        <v>0</v>
      </c>
      <c r="R117" s="799">
        <v>6647</v>
      </c>
      <c r="S117" s="799">
        <v>16002</v>
      </c>
    </row>
    <row r="118" spans="1:19" x14ac:dyDescent="0.2">
      <c r="A118" s="761">
        <v>2014</v>
      </c>
      <c r="B118" s="761">
        <v>7</v>
      </c>
      <c r="C118" s="796" t="s">
        <v>192</v>
      </c>
      <c r="D118" s="761">
        <v>6633</v>
      </c>
      <c r="E118" s="796"/>
      <c r="F118" s="761">
        <v>2403</v>
      </c>
      <c r="G118" s="761" t="s">
        <v>1747</v>
      </c>
      <c r="H118" s="799">
        <v>37499</v>
      </c>
      <c r="I118" s="799">
        <v>0</v>
      </c>
      <c r="J118" s="799">
        <v>10832</v>
      </c>
      <c r="K118" s="799">
        <v>3453</v>
      </c>
      <c r="L118" s="799">
        <v>0</v>
      </c>
      <c r="M118" s="799">
        <v>195547</v>
      </c>
      <c r="N118" s="799">
        <v>35771</v>
      </c>
      <c r="O118" s="799">
        <v>20141</v>
      </c>
      <c r="P118" s="799">
        <v>94930</v>
      </c>
      <c r="Q118" s="799">
        <v>3339</v>
      </c>
      <c r="R118" s="799">
        <v>13757</v>
      </c>
      <c r="S118" s="799">
        <v>29046</v>
      </c>
    </row>
    <row r="119" spans="1:19" x14ac:dyDescent="0.2">
      <c r="A119" s="761">
        <v>2014</v>
      </c>
      <c r="B119" s="761">
        <v>12</v>
      </c>
      <c r="C119" s="796" t="s">
        <v>193</v>
      </c>
      <c r="D119" s="796"/>
      <c r="E119" s="796"/>
      <c r="F119" s="761">
        <v>2457</v>
      </c>
      <c r="G119" s="761" t="s">
        <v>1002</v>
      </c>
      <c r="H119" s="799">
        <v>0</v>
      </c>
      <c r="I119" s="799">
        <v>0</v>
      </c>
      <c r="J119" s="799">
        <v>0</v>
      </c>
      <c r="K119" s="799">
        <v>56445</v>
      </c>
      <c r="L119" s="799">
        <v>0</v>
      </c>
      <c r="M119" s="799">
        <v>231568</v>
      </c>
      <c r="N119" s="799">
        <v>1003</v>
      </c>
      <c r="O119" s="799">
        <v>9958</v>
      </c>
      <c r="P119" s="799">
        <v>38018</v>
      </c>
      <c r="Q119" s="799">
        <v>0</v>
      </c>
      <c r="R119" s="799">
        <v>6692</v>
      </c>
      <c r="S119" s="799">
        <v>13590</v>
      </c>
    </row>
    <row r="120" spans="1:19" x14ac:dyDescent="0.2">
      <c r="A120" s="761">
        <v>2014</v>
      </c>
      <c r="B120" s="761">
        <v>11</v>
      </c>
      <c r="C120" s="796" t="s">
        <v>194</v>
      </c>
      <c r="D120" s="796"/>
      <c r="E120" s="796"/>
      <c r="F120" s="761">
        <v>2466</v>
      </c>
      <c r="G120" s="761" t="s">
        <v>1114</v>
      </c>
      <c r="H120" s="799">
        <v>56388</v>
      </c>
      <c r="I120" s="799">
        <v>0</v>
      </c>
      <c r="J120" s="799">
        <v>46441</v>
      </c>
      <c r="K120" s="799">
        <v>0</v>
      </c>
      <c r="L120" s="799">
        <v>0</v>
      </c>
      <c r="M120" s="799">
        <v>0</v>
      </c>
      <c r="N120" s="799">
        <v>0</v>
      </c>
      <c r="O120" s="799">
        <v>3081</v>
      </c>
      <c r="P120" s="799">
        <v>9398</v>
      </c>
      <c r="Q120" s="799">
        <v>0</v>
      </c>
      <c r="R120" s="799">
        <v>0</v>
      </c>
      <c r="S120" s="799">
        <v>28709</v>
      </c>
    </row>
    <row r="121" spans="1:19" x14ac:dyDescent="0.2">
      <c r="A121" s="761">
        <v>2014</v>
      </c>
      <c r="B121" s="761">
        <v>5</v>
      </c>
      <c r="C121" s="796" t="s">
        <v>195</v>
      </c>
      <c r="D121" s="796"/>
      <c r="E121" s="796"/>
      <c r="F121" s="761">
        <v>2493</v>
      </c>
      <c r="G121" s="761" t="s">
        <v>1115</v>
      </c>
      <c r="H121" s="799">
        <v>0</v>
      </c>
      <c r="I121" s="799">
        <v>0</v>
      </c>
      <c r="J121" s="799">
        <v>0</v>
      </c>
      <c r="K121" s="799">
        <v>5696</v>
      </c>
      <c r="L121" s="799">
        <v>0</v>
      </c>
      <c r="M121" s="799">
        <v>35425</v>
      </c>
      <c r="N121" s="799">
        <v>0</v>
      </c>
      <c r="O121" s="799">
        <v>0</v>
      </c>
      <c r="P121" s="799">
        <v>2326</v>
      </c>
      <c r="Q121" s="799">
        <v>0</v>
      </c>
      <c r="R121" s="799">
        <v>2511</v>
      </c>
      <c r="S121" s="799">
        <v>0</v>
      </c>
    </row>
    <row r="122" spans="1:19" x14ac:dyDescent="0.2">
      <c r="A122" s="761">
        <v>2014</v>
      </c>
      <c r="B122" s="761">
        <v>7</v>
      </c>
      <c r="C122" s="796" t="s">
        <v>196</v>
      </c>
      <c r="D122" s="796"/>
      <c r="E122" s="796"/>
      <c r="F122" s="761">
        <v>2502</v>
      </c>
      <c r="G122" s="761" t="s">
        <v>1116</v>
      </c>
      <c r="H122" s="799">
        <v>14067</v>
      </c>
      <c r="I122" s="799">
        <v>0</v>
      </c>
      <c r="J122" s="799">
        <v>949</v>
      </c>
      <c r="K122" s="799">
        <v>21412</v>
      </c>
      <c r="L122" s="799">
        <v>0</v>
      </c>
      <c r="M122" s="799">
        <v>0</v>
      </c>
      <c r="N122" s="799">
        <v>11754</v>
      </c>
      <c r="O122" s="799">
        <v>23344</v>
      </c>
      <c r="P122" s="799">
        <v>43717</v>
      </c>
      <c r="Q122" s="799">
        <v>0</v>
      </c>
      <c r="R122" s="799">
        <v>1780</v>
      </c>
      <c r="S122" s="799">
        <v>21627</v>
      </c>
    </row>
    <row r="123" spans="1:19" x14ac:dyDescent="0.2">
      <c r="A123" s="761">
        <v>2014</v>
      </c>
      <c r="B123" s="761">
        <v>13</v>
      </c>
      <c r="C123" s="796" t="s">
        <v>197</v>
      </c>
      <c r="D123" s="796"/>
      <c r="E123" s="796"/>
      <c r="F123" s="761">
        <v>2511</v>
      </c>
      <c r="G123" s="761" t="s">
        <v>1117</v>
      </c>
      <c r="H123" s="799">
        <v>0</v>
      </c>
      <c r="I123" s="799">
        <v>0</v>
      </c>
      <c r="J123" s="799">
        <v>196725</v>
      </c>
      <c r="K123" s="799">
        <v>158125</v>
      </c>
      <c r="L123" s="799">
        <v>0</v>
      </c>
      <c r="M123" s="799">
        <v>125699</v>
      </c>
      <c r="N123" s="799">
        <v>105968</v>
      </c>
      <c r="O123" s="799">
        <v>87584</v>
      </c>
      <c r="P123" s="799">
        <v>59382</v>
      </c>
      <c r="Q123" s="799">
        <v>0</v>
      </c>
      <c r="R123" s="799">
        <v>836</v>
      </c>
      <c r="S123" s="799">
        <v>67929</v>
      </c>
    </row>
    <row r="124" spans="1:19" x14ac:dyDescent="0.2">
      <c r="A124" s="761">
        <v>2014</v>
      </c>
      <c r="B124" s="761">
        <v>11</v>
      </c>
      <c r="C124" s="796" t="s">
        <v>198</v>
      </c>
      <c r="D124" s="796"/>
      <c r="E124" s="796"/>
      <c r="F124" s="761">
        <v>2520</v>
      </c>
      <c r="G124" s="761" t="s">
        <v>1118</v>
      </c>
      <c r="H124" s="799">
        <v>0</v>
      </c>
      <c r="I124" s="799">
        <v>0</v>
      </c>
      <c r="J124" s="799">
        <v>0</v>
      </c>
      <c r="K124" s="799">
        <v>0</v>
      </c>
      <c r="L124" s="799">
        <v>0</v>
      </c>
      <c r="M124" s="799">
        <v>0</v>
      </c>
      <c r="N124" s="799">
        <v>6062</v>
      </c>
      <c r="O124" s="799">
        <v>9405</v>
      </c>
      <c r="P124" s="799">
        <v>13035</v>
      </c>
      <c r="Q124" s="799">
        <v>0</v>
      </c>
      <c r="R124" s="799">
        <v>5942</v>
      </c>
      <c r="S124" s="799">
        <v>13223</v>
      </c>
    </row>
    <row r="125" spans="1:19" x14ac:dyDescent="0.2">
      <c r="A125" s="761">
        <v>2014</v>
      </c>
      <c r="B125" s="761">
        <v>5</v>
      </c>
      <c r="C125" s="796" t="s">
        <v>199</v>
      </c>
      <c r="D125" s="796"/>
      <c r="E125" s="796"/>
      <c r="F125" s="761">
        <v>2556</v>
      </c>
      <c r="G125" s="761" t="s">
        <v>630</v>
      </c>
      <c r="H125" s="799">
        <v>0</v>
      </c>
      <c r="I125" s="799">
        <v>1350</v>
      </c>
      <c r="J125" s="799">
        <v>53696</v>
      </c>
      <c r="K125" s="799">
        <v>54229</v>
      </c>
      <c r="L125" s="799">
        <v>0</v>
      </c>
      <c r="M125" s="799">
        <v>0</v>
      </c>
      <c r="N125" s="799">
        <v>7402</v>
      </c>
      <c r="O125" s="799">
        <v>8200</v>
      </c>
      <c r="P125" s="799">
        <v>5584</v>
      </c>
      <c r="Q125" s="799">
        <v>0</v>
      </c>
      <c r="R125" s="799">
        <v>6299</v>
      </c>
      <c r="S125" s="799">
        <v>14500</v>
      </c>
    </row>
    <row r="126" spans="1:19" x14ac:dyDescent="0.2">
      <c r="A126" s="761">
        <v>2014</v>
      </c>
      <c r="B126" s="761">
        <v>13</v>
      </c>
      <c r="C126" s="796" t="s">
        <v>200</v>
      </c>
      <c r="D126" s="796"/>
      <c r="E126" s="796"/>
      <c r="F126" s="761">
        <v>2673</v>
      </c>
      <c r="G126" s="761" t="s">
        <v>2009</v>
      </c>
      <c r="H126" s="799">
        <v>0</v>
      </c>
      <c r="I126" s="799">
        <v>0</v>
      </c>
      <c r="J126" s="799">
        <v>0</v>
      </c>
      <c r="K126" s="799">
        <v>71849</v>
      </c>
      <c r="L126" s="799">
        <v>0</v>
      </c>
      <c r="M126" s="799">
        <v>29493</v>
      </c>
      <c r="N126" s="799">
        <v>32110</v>
      </c>
      <c r="O126" s="799">
        <v>32485</v>
      </c>
      <c r="P126" s="799">
        <v>22702</v>
      </c>
      <c r="Q126" s="799">
        <v>0</v>
      </c>
      <c r="R126" s="799">
        <v>5636</v>
      </c>
      <c r="S126" s="799">
        <v>16142</v>
      </c>
    </row>
    <row r="127" spans="1:19" x14ac:dyDescent="0.2">
      <c r="A127" s="761">
        <v>2014</v>
      </c>
      <c r="B127" s="761">
        <v>7</v>
      </c>
      <c r="C127" s="796" t="s">
        <v>201</v>
      </c>
      <c r="D127" s="796"/>
      <c r="E127" s="796"/>
      <c r="F127" s="761">
        <v>2682</v>
      </c>
      <c r="G127" s="761" t="s">
        <v>1119</v>
      </c>
      <c r="H127" s="799">
        <v>0</v>
      </c>
      <c r="I127" s="799">
        <v>0</v>
      </c>
      <c r="J127" s="799">
        <v>0</v>
      </c>
      <c r="K127" s="799">
        <v>0</v>
      </c>
      <c r="L127" s="799">
        <v>0</v>
      </c>
      <c r="M127" s="799">
        <v>0</v>
      </c>
      <c r="N127" s="799">
        <v>14270</v>
      </c>
      <c r="O127" s="799">
        <v>752</v>
      </c>
      <c r="P127" s="799">
        <v>8064</v>
      </c>
      <c r="Q127" s="799">
        <v>0</v>
      </c>
      <c r="R127" s="799">
        <v>2208</v>
      </c>
      <c r="S127" s="799">
        <v>8384</v>
      </c>
    </row>
    <row r="128" spans="1:19" x14ac:dyDescent="0.2">
      <c r="A128" s="761">
        <v>2014</v>
      </c>
      <c r="B128" s="761">
        <v>7</v>
      </c>
      <c r="C128" s="796" t="s">
        <v>202</v>
      </c>
      <c r="D128" s="796"/>
      <c r="E128" s="796"/>
      <c r="F128" s="761">
        <v>2709</v>
      </c>
      <c r="G128" s="761" t="s">
        <v>1120</v>
      </c>
      <c r="H128" s="799">
        <v>122322</v>
      </c>
      <c r="I128" s="799">
        <v>0</v>
      </c>
      <c r="J128" s="799">
        <v>155146</v>
      </c>
      <c r="K128" s="799">
        <v>30658</v>
      </c>
      <c r="L128" s="799">
        <v>0</v>
      </c>
      <c r="M128" s="799">
        <v>29900</v>
      </c>
      <c r="N128" s="799">
        <v>0</v>
      </c>
      <c r="O128" s="799">
        <v>72931</v>
      </c>
      <c r="P128" s="799">
        <v>16940</v>
      </c>
      <c r="Q128" s="799">
        <v>0</v>
      </c>
      <c r="R128" s="799">
        <v>11196</v>
      </c>
      <c r="S128" s="799">
        <v>32130</v>
      </c>
    </row>
    <row r="129" spans="1:19" x14ac:dyDescent="0.2">
      <c r="A129" s="761">
        <v>2014</v>
      </c>
      <c r="B129" s="761">
        <v>13</v>
      </c>
      <c r="C129" s="796" t="s">
        <v>203</v>
      </c>
      <c r="D129" s="796"/>
      <c r="E129" s="796"/>
      <c r="F129" s="761">
        <v>2718</v>
      </c>
      <c r="G129" s="761" t="s">
        <v>1121</v>
      </c>
      <c r="H129" s="799">
        <v>0</v>
      </c>
      <c r="I129" s="799">
        <v>0</v>
      </c>
      <c r="J129" s="799">
        <v>0</v>
      </c>
      <c r="K129" s="799">
        <v>0</v>
      </c>
      <c r="L129" s="799">
        <v>0</v>
      </c>
      <c r="M129" s="799">
        <v>0</v>
      </c>
      <c r="N129" s="799">
        <v>96230</v>
      </c>
      <c r="O129" s="799">
        <v>0</v>
      </c>
      <c r="P129" s="799">
        <v>50169</v>
      </c>
      <c r="Q129" s="799">
        <v>31616</v>
      </c>
      <c r="R129" s="799">
        <v>7139</v>
      </c>
      <c r="S129" s="799">
        <v>18206</v>
      </c>
    </row>
    <row r="130" spans="1:19" x14ac:dyDescent="0.2">
      <c r="A130" s="761">
        <v>2014</v>
      </c>
      <c r="B130" s="761">
        <v>7</v>
      </c>
      <c r="C130" s="796" t="s">
        <v>204</v>
      </c>
      <c r="D130" s="796"/>
      <c r="E130" s="796"/>
      <c r="F130" s="761">
        <v>2727</v>
      </c>
      <c r="G130" s="761" t="s">
        <v>1122</v>
      </c>
      <c r="H130" s="799">
        <v>3707</v>
      </c>
      <c r="I130" s="799">
        <v>0</v>
      </c>
      <c r="J130" s="799">
        <v>41225</v>
      </c>
      <c r="K130" s="799">
        <v>0</v>
      </c>
      <c r="L130" s="799">
        <v>0</v>
      </c>
      <c r="M130" s="799">
        <v>0</v>
      </c>
      <c r="N130" s="799">
        <v>447</v>
      </c>
      <c r="O130" s="799">
        <v>0</v>
      </c>
      <c r="P130" s="799">
        <v>0</v>
      </c>
      <c r="Q130" s="799">
        <v>0</v>
      </c>
      <c r="R130" s="799">
        <v>4905</v>
      </c>
      <c r="S130" s="799">
        <v>1197</v>
      </c>
    </row>
    <row r="131" spans="1:19" x14ac:dyDescent="0.2">
      <c r="A131" s="761">
        <v>2014</v>
      </c>
      <c r="B131" s="761">
        <v>11</v>
      </c>
      <c r="C131" s="796" t="s">
        <v>205</v>
      </c>
      <c r="D131" s="796"/>
      <c r="E131" s="796"/>
      <c r="F131" s="761">
        <v>2754</v>
      </c>
      <c r="G131" s="761" t="s">
        <v>1123</v>
      </c>
      <c r="H131" s="799">
        <v>2980</v>
      </c>
      <c r="I131" s="799">
        <v>0</v>
      </c>
      <c r="J131" s="799">
        <v>57907</v>
      </c>
      <c r="K131" s="799">
        <v>0</v>
      </c>
      <c r="L131" s="799">
        <v>0</v>
      </c>
      <c r="M131" s="799">
        <v>47823</v>
      </c>
      <c r="N131" s="799">
        <v>335</v>
      </c>
      <c r="O131" s="799">
        <v>2503</v>
      </c>
      <c r="P131" s="799">
        <v>292</v>
      </c>
      <c r="Q131" s="799">
        <v>3156</v>
      </c>
      <c r="R131" s="799">
        <v>0</v>
      </c>
      <c r="S131" s="799">
        <v>13058</v>
      </c>
    </row>
    <row r="132" spans="1:19" x14ac:dyDescent="0.2">
      <c r="A132" s="761">
        <v>2014</v>
      </c>
      <c r="B132" s="761">
        <v>1</v>
      </c>
      <c r="C132" s="796" t="s">
        <v>206</v>
      </c>
      <c r="D132" s="796"/>
      <c r="E132" s="796"/>
      <c r="F132" s="761">
        <v>2763</v>
      </c>
      <c r="G132" s="761" t="s">
        <v>1056</v>
      </c>
      <c r="H132" s="799">
        <v>0</v>
      </c>
      <c r="I132" s="799">
        <v>0</v>
      </c>
      <c r="J132" s="799">
        <v>49131</v>
      </c>
      <c r="K132" s="799">
        <v>38485</v>
      </c>
      <c r="L132" s="799">
        <v>0</v>
      </c>
      <c r="M132" s="799">
        <v>19399</v>
      </c>
      <c r="N132" s="799">
        <v>32821</v>
      </c>
      <c r="O132" s="799">
        <v>1994</v>
      </c>
      <c r="P132" s="799">
        <v>2341</v>
      </c>
      <c r="Q132" s="799">
        <v>0</v>
      </c>
      <c r="R132" s="799">
        <v>7333</v>
      </c>
      <c r="S132" s="799">
        <v>18371</v>
      </c>
    </row>
    <row r="133" spans="1:19" x14ac:dyDescent="0.2">
      <c r="A133" s="761">
        <v>2014</v>
      </c>
      <c r="B133" s="761">
        <v>10</v>
      </c>
      <c r="C133" s="796" t="s">
        <v>207</v>
      </c>
      <c r="D133" s="796"/>
      <c r="E133" s="796"/>
      <c r="F133" s="761">
        <v>2766</v>
      </c>
      <c r="G133" s="761" t="s">
        <v>920</v>
      </c>
      <c r="H133" s="799">
        <v>0</v>
      </c>
      <c r="I133" s="799">
        <v>0</v>
      </c>
      <c r="J133" s="799">
        <v>24529</v>
      </c>
      <c r="K133" s="799">
        <v>0</v>
      </c>
      <c r="L133" s="799">
        <v>0</v>
      </c>
      <c r="M133" s="799">
        <v>60328</v>
      </c>
      <c r="N133" s="799">
        <v>99571</v>
      </c>
      <c r="O133" s="799">
        <v>41680</v>
      </c>
      <c r="P133" s="799">
        <v>0</v>
      </c>
      <c r="Q133" s="799">
        <v>0</v>
      </c>
      <c r="R133" s="799">
        <v>6164</v>
      </c>
      <c r="S133" s="799">
        <v>15006</v>
      </c>
    </row>
    <row r="134" spans="1:19" x14ac:dyDescent="0.2">
      <c r="A134" s="761">
        <v>2014</v>
      </c>
      <c r="B134" s="761">
        <v>13</v>
      </c>
      <c r="C134" s="796" t="s">
        <v>208</v>
      </c>
      <c r="D134" s="796"/>
      <c r="E134" s="796"/>
      <c r="F134" s="761">
        <v>2772</v>
      </c>
      <c r="G134" s="761" t="s">
        <v>1124</v>
      </c>
      <c r="H134" s="799">
        <v>3525</v>
      </c>
      <c r="I134" s="799">
        <v>18352</v>
      </c>
      <c r="J134" s="799">
        <v>110942</v>
      </c>
      <c r="K134" s="799">
        <v>0</v>
      </c>
      <c r="L134" s="799">
        <v>0</v>
      </c>
      <c r="M134" s="799">
        <v>0</v>
      </c>
      <c r="N134" s="799">
        <v>0</v>
      </c>
      <c r="O134" s="799">
        <v>6969</v>
      </c>
      <c r="P134" s="799">
        <v>5259</v>
      </c>
      <c r="Q134" s="799">
        <v>0</v>
      </c>
      <c r="R134" s="799">
        <v>5961</v>
      </c>
      <c r="S134" s="799">
        <v>39675</v>
      </c>
    </row>
    <row r="135" spans="1:19" x14ac:dyDescent="0.2">
      <c r="A135" s="761">
        <v>2014</v>
      </c>
      <c r="B135" s="761">
        <v>7</v>
      </c>
      <c r="C135" s="796" t="s">
        <v>209</v>
      </c>
      <c r="D135" s="796"/>
      <c r="E135" s="796"/>
      <c r="F135" s="761">
        <v>2781</v>
      </c>
      <c r="G135" s="761" t="s">
        <v>1125</v>
      </c>
      <c r="H135" s="799">
        <v>11764</v>
      </c>
      <c r="I135" s="799">
        <v>0</v>
      </c>
      <c r="J135" s="799">
        <v>0</v>
      </c>
      <c r="K135" s="799">
        <v>984</v>
      </c>
      <c r="L135" s="799">
        <v>37688</v>
      </c>
      <c r="M135" s="799">
        <v>0</v>
      </c>
      <c r="N135" s="799">
        <v>0</v>
      </c>
      <c r="O135" s="799">
        <v>0</v>
      </c>
      <c r="P135" s="799">
        <v>0</v>
      </c>
      <c r="Q135" s="799">
        <v>0</v>
      </c>
      <c r="R135" s="799">
        <v>4577</v>
      </c>
      <c r="S135" s="799">
        <v>0</v>
      </c>
    </row>
    <row r="136" spans="1:19" x14ac:dyDescent="0.2">
      <c r="A136" s="761">
        <v>2014</v>
      </c>
      <c r="B136" s="761">
        <v>13</v>
      </c>
      <c r="C136" s="796" t="s">
        <v>210</v>
      </c>
      <c r="D136" s="796"/>
      <c r="E136" s="796"/>
      <c r="F136" s="761">
        <v>2826</v>
      </c>
      <c r="G136" s="761" t="s">
        <v>1126</v>
      </c>
      <c r="H136" s="799">
        <v>194478</v>
      </c>
      <c r="I136" s="799">
        <v>30880</v>
      </c>
      <c r="J136" s="799">
        <v>81439</v>
      </c>
      <c r="K136" s="799">
        <v>124861</v>
      </c>
      <c r="L136" s="799">
        <v>57718</v>
      </c>
      <c r="M136" s="799">
        <v>0</v>
      </c>
      <c r="N136" s="799">
        <v>139</v>
      </c>
      <c r="O136" s="799">
        <v>32010</v>
      </c>
      <c r="P136" s="799">
        <v>9155</v>
      </c>
      <c r="Q136" s="799">
        <v>0</v>
      </c>
      <c r="R136" s="799">
        <v>0</v>
      </c>
      <c r="S136" s="799">
        <v>26246</v>
      </c>
    </row>
    <row r="137" spans="1:19" x14ac:dyDescent="0.2">
      <c r="A137" s="761">
        <v>2014</v>
      </c>
      <c r="B137" s="761">
        <v>15</v>
      </c>
      <c r="C137" s="796" t="s">
        <v>211</v>
      </c>
      <c r="D137" s="796"/>
      <c r="E137" s="796"/>
      <c r="F137" s="761">
        <v>2834</v>
      </c>
      <c r="G137" s="761" t="s">
        <v>1127</v>
      </c>
      <c r="H137" s="799">
        <v>299741</v>
      </c>
      <c r="I137" s="799">
        <v>12668</v>
      </c>
      <c r="J137" s="799">
        <v>96128</v>
      </c>
      <c r="K137" s="799">
        <v>97297</v>
      </c>
      <c r="L137" s="799">
        <v>32923</v>
      </c>
      <c r="M137" s="799">
        <v>63210</v>
      </c>
      <c r="N137" s="799">
        <v>2758</v>
      </c>
      <c r="O137" s="799">
        <v>0</v>
      </c>
      <c r="P137" s="799">
        <v>23293</v>
      </c>
      <c r="Q137" s="799">
        <v>0</v>
      </c>
      <c r="R137" s="799">
        <v>0</v>
      </c>
      <c r="S137" s="799">
        <v>6168</v>
      </c>
    </row>
    <row r="138" spans="1:19" x14ac:dyDescent="0.2">
      <c r="A138" s="761">
        <v>2014</v>
      </c>
      <c r="B138" s="761">
        <v>5</v>
      </c>
      <c r="C138" s="796" t="s">
        <v>212</v>
      </c>
      <c r="D138" s="796"/>
      <c r="E138" s="796"/>
      <c r="F138" s="761">
        <v>2846</v>
      </c>
      <c r="G138" s="761" t="s">
        <v>1128</v>
      </c>
      <c r="H138" s="799">
        <v>0</v>
      </c>
      <c r="I138" s="799">
        <v>0</v>
      </c>
      <c r="J138" s="799">
        <v>18042</v>
      </c>
      <c r="K138" s="799">
        <v>0</v>
      </c>
      <c r="L138" s="799">
        <v>0</v>
      </c>
      <c r="M138" s="799">
        <v>0</v>
      </c>
      <c r="N138" s="799">
        <v>0</v>
      </c>
      <c r="O138" s="799">
        <v>24499</v>
      </c>
      <c r="P138" s="799">
        <v>0</v>
      </c>
      <c r="Q138" s="799">
        <v>0</v>
      </c>
      <c r="R138" s="799">
        <v>5714</v>
      </c>
      <c r="S138" s="799">
        <v>12935</v>
      </c>
    </row>
    <row r="139" spans="1:19" x14ac:dyDescent="0.2">
      <c r="A139" s="761">
        <v>2014</v>
      </c>
      <c r="B139" s="761">
        <v>12</v>
      </c>
      <c r="C139" s="796" t="s">
        <v>213</v>
      </c>
      <c r="D139" s="796"/>
      <c r="E139" s="796"/>
      <c r="F139" s="761">
        <v>2862</v>
      </c>
      <c r="G139" s="761" t="s">
        <v>1129</v>
      </c>
      <c r="H139" s="799">
        <v>0</v>
      </c>
      <c r="I139" s="799">
        <v>0</v>
      </c>
      <c r="J139" s="799">
        <v>36716</v>
      </c>
      <c r="K139" s="799">
        <v>70633</v>
      </c>
      <c r="L139" s="799">
        <v>0</v>
      </c>
      <c r="M139" s="799">
        <v>35817</v>
      </c>
      <c r="N139" s="799">
        <v>1208</v>
      </c>
      <c r="O139" s="799">
        <v>4647</v>
      </c>
      <c r="P139" s="799">
        <v>7490</v>
      </c>
      <c r="Q139" s="799">
        <v>0</v>
      </c>
      <c r="R139" s="799">
        <v>7346</v>
      </c>
      <c r="S139" s="799">
        <v>6137</v>
      </c>
    </row>
    <row r="140" spans="1:19" x14ac:dyDescent="0.2">
      <c r="A140" s="761">
        <v>2014</v>
      </c>
      <c r="B140" s="761">
        <v>10</v>
      </c>
      <c r="C140" s="796" t="s">
        <v>214</v>
      </c>
      <c r="D140" s="796"/>
      <c r="E140" s="796"/>
      <c r="F140" s="761">
        <v>2977</v>
      </c>
      <c r="G140" s="761" t="s">
        <v>1130</v>
      </c>
      <c r="H140" s="799">
        <v>0</v>
      </c>
      <c r="I140" s="799">
        <v>0</v>
      </c>
      <c r="J140" s="799">
        <v>0</v>
      </c>
      <c r="K140" s="799">
        <v>0</v>
      </c>
      <c r="L140" s="799">
        <v>0</v>
      </c>
      <c r="M140" s="799">
        <v>30406</v>
      </c>
      <c r="N140" s="799">
        <v>30613</v>
      </c>
      <c r="O140" s="799">
        <v>37201</v>
      </c>
      <c r="P140" s="799">
        <v>42482</v>
      </c>
      <c r="Q140" s="799">
        <v>0</v>
      </c>
      <c r="R140" s="799">
        <v>0</v>
      </c>
      <c r="S140" s="799">
        <v>9446</v>
      </c>
    </row>
    <row r="141" spans="1:19" x14ac:dyDescent="0.2">
      <c r="A141" s="761">
        <v>2014</v>
      </c>
      <c r="B141" s="761">
        <v>12</v>
      </c>
      <c r="C141" s="796" t="s">
        <v>215</v>
      </c>
      <c r="D141" s="796"/>
      <c r="E141" s="796"/>
      <c r="F141" s="761">
        <v>2988</v>
      </c>
      <c r="G141" s="761" t="s">
        <v>1131</v>
      </c>
      <c r="H141" s="799">
        <v>0</v>
      </c>
      <c r="I141" s="799">
        <v>1938</v>
      </c>
      <c r="J141" s="799">
        <v>0</v>
      </c>
      <c r="K141" s="799">
        <v>0</v>
      </c>
      <c r="L141" s="799">
        <v>0</v>
      </c>
      <c r="M141" s="799">
        <v>0</v>
      </c>
      <c r="N141" s="799">
        <v>0</v>
      </c>
      <c r="O141" s="799">
        <v>0</v>
      </c>
      <c r="P141" s="799">
        <v>0</v>
      </c>
      <c r="Q141" s="799">
        <v>0</v>
      </c>
      <c r="R141" s="799">
        <v>3733</v>
      </c>
      <c r="S141" s="799">
        <v>0</v>
      </c>
    </row>
    <row r="142" spans="1:19" x14ac:dyDescent="0.2">
      <c r="A142" s="761">
        <v>2014</v>
      </c>
      <c r="B142" s="761">
        <v>1</v>
      </c>
      <c r="C142" s="796" t="s">
        <v>216</v>
      </c>
      <c r="D142" s="796"/>
      <c r="E142" s="796"/>
      <c r="F142" s="761">
        <v>3029</v>
      </c>
      <c r="G142" s="761" t="s">
        <v>1132</v>
      </c>
      <c r="H142" s="799">
        <v>0</v>
      </c>
      <c r="I142" s="799">
        <v>0</v>
      </c>
      <c r="J142" s="799">
        <v>231315</v>
      </c>
      <c r="K142" s="799">
        <v>0</v>
      </c>
      <c r="L142" s="799">
        <v>0</v>
      </c>
      <c r="M142" s="799">
        <v>0</v>
      </c>
      <c r="N142" s="799">
        <v>0</v>
      </c>
      <c r="O142" s="799">
        <v>25745</v>
      </c>
      <c r="P142" s="799">
        <v>115005</v>
      </c>
      <c r="Q142" s="799">
        <v>1616</v>
      </c>
      <c r="R142" s="799">
        <v>9365</v>
      </c>
      <c r="S142" s="799">
        <v>166914</v>
      </c>
    </row>
    <row r="143" spans="1:19" x14ac:dyDescent="0.2">
      <c r="A143" s="761">
        <v>2014</v>
      </c>
      <c r="B143" s="761">
        <v>7</v>
      </c>
      <c r="C143" s="796" t="s">
        <v>217</v>
      </c>
      <c r="D143" s="796"/>
      <c r="E143" s="796"/>
      <c r="F143" s="761">
        <v>3033</v>
      </c>
      <c r="G143" s="761" t="s">
        <v>640</v>
      </c>
      <c r="H143" s="799">
        <v>68713</v>
      </c>
      <c r="I143" s="799">
        <v>4228</v>
      </c>
      <c r="J143" s="799">
        <v>0</v>
      </c>
      <c r="K143" s="799">
        <v>43180</v>
      </c>
      <c r="L143" s="799">
        <v>0</v>
      </c>
      <c r="M143" s="799">
        <v>0</v>
      </c>
      <c r="N143" s="799">
        <v>273</v>
      </c>
      <c r="O143" s="799">
        <v>5037</v>
      </c>
      <c r="P143" s="799">
        <v>39</v>
      </c>
      <c r="Q143" s="799">
        <v>0</v>
      </c>
      <c r="R143" s="799">
        <v>6364</v>
      </c>
      <c r="S143" s="799">
        <v>519</v>
      </c>
    </row>
    <row r="144" spans="1:19" x14ac:dyDescent="0.2">
      <c r="A144" s="761">
        <v>2014</v>
      </c>
      <c r="B144" s="761">
        <v>7</v>
      </c>
      <c r="C144" s="796" t="s">
        <v>218</v>
      </c>
      <c r="D144" s="796"/>
      <c r="E144" s="796"/>
      <c r="F144" s="761">
        <v>3042</v>
      </c>
      <c r="G144" s="761" t="s">
        <v>1134</v>
      </c>
      <c r="H144" s="799">
        <v>0</v>
      </c>
      <c r="I144" s="799">
        <v>0</v>
      </c>
      <c r="J144" s="799">
        <v>110263</v>
      </c>
      <c r="K144" s="799">
        <v>22737</v>
      </c>
      <c r="L144" s="799">
        <v>0</v>
      </c>
      <c r="M144" s="799">
        <v>0</v>
      </c>
      <c r="N144" s="799">
        <v>0</v>
      </c>
      <c r="O144" s="799">
        <v>27732</v>
      </c>
      <c r="P144" s="799">
        <v>51672</v>
      </c>
      <c r="Q144" s="799">
        <v>0</v>
      </c>
      <c r="R144" s="799">
        <v>2642</v>
      </c>
      <c r="S144" s="799">
        <v>17115</v>
      </c>
    </row>
    <row r="145" spans="1:19" x14ac:dyDescent="0.2">
      <c r="A145" s="761">
        <v>2014</v>
      </c>
      <c r="B145" s="761">
        <v>5</v>
      </c>
      <c r="C145" s="796" t="s">
        <v>219</v>
      </c>
      <c r="D145" s="796"/>
      <c r="E145" s="796"/>
      <c r="F145" s="761">
        <v>3060</v>
      </c>
      <c r="G145" s="761" t="s">
        <v>1135</v>
      </c>
      <c r="H145" s="799">
        <v>4418</v>
      </c>
      <c r="I145" s="799">
        <v>0</v>
      </c>
      <c r="J145" s="799">
        <v>82084</v>
      </c>
      <c r="K145" s="799">
        <v>49466</v>
      </c>
      <c r="L145" s="799">
        <v>0</v>
      </c>
      <c r="M145" s="799">
        <v>31919</v>
      </c>
      <c r="N145" s="799">
        <v>471</v>
      </c>
      <c r="O145" s="799">
        <v>0</v>
      </c>
      <c r="P145" s="799">
        <v>5135</v>
      </c>
      <c r="Q145" s="799">
        <v>0</v>
      </c>
      <c r="R145" s="799">
        <v>0</v>
      </c>
      <c r="S145" s="799">
        <v>18844</v>
      </c>
    </row>
    <row r="146" spans="1:19" x14ac:dyDescent="0.2">
      <c r="A146" s="761">
        <v>2014</v>
      </c>
      <c r="B146" s="761">
        <v>7</v>
      </c>
      <c r="C146" s="796" t="s">
        <v>220</v>
      </c>
      <c r="D146" s="796"/>
      <c r="E146" s="796"/>
      <c r="F146" s="761">
        <v>3105</v>
      </c>
      <c r="G146" s="761" t="s">
        <v>1136</v>
      </c>
      <c r="H146" s="799">
        <v>27866</v>
      </c>
      <c r="I146" s="799">
        <v>13459</v>
      </c>
      <c r="J146" s="799">
        <v>97621</v>
      </c>
      <c r="K146" s="799">
        <v>135645</v>
      </c>
      <c r="L146" s="799">
        <v>61252</v>
      </c>
      <c r="M146" s="799">
        <v>126874</v>
      </c>
      <c r="N146" s="799">
        <v>164631</v>
      </c>
      <c r="O146" s="799">
        <v>8950</v>
      </c>
      <c r="P146" s="799">
        <v>64786</v>
      </c>
      <c r="Q146" s="799">
        <v>0</v>
      </c>
      <c r="R146" s="799">
        <v>0</v>
      </c>
      <c r="S146" s="799">
        <v>21017</v>
      </c>
    </row>
    <row r="147" spans="1:19" x14ac:dyDescent="0.2">
      <c r="A147" s="761">
        <v>2014</v>
      </c>
      <c r="B147" s="761">
        <v>11</v>
      </c>
      <c r="C147" s="796" t="s">
        <v>221</v>
      </c>
      <c r="D147" s="796"/>
      <c r="E147" s="796"/>
      <c r="F147" s="761">
        <v>3114</v>
      </c>
      <c r="G147" s="761" t="s">
        <v>1137</v>
      </c>
      <c r="H147" s="799">
        <v>7423</v>
      </c>
      <c r="I147" s="799">
        <v>0</v>
      </c>
      <c r="J147" s="799">
        <v>9678</v>
      </c>
      <c r="K147" s="799">
        <v>1264</v>
      </c>
      <c r="L147" s="799">
        <v>0</v>
      </c>
      <c r="M147" s="799">
        <v>0</v>
      </c>
      <c r="N147" s="799">
        <v>18381</v>
      </c>
      <c r="O147" s="799">
        <v>11434</v>
      </c>
      <c r="P147" s="799">
        <v>51883</v>
      </c>
      <c r="Q147" s="799">
        <v>64108</v>
      </c>
      <c r="R147" s="799">
        <v>3388</v>
      </c>
      <c r="S147" s="799">
        <v>26833</v>
      </c>
    </row>
    <row r="148" spans="1:19" x14ac:dyDescent="0.2">
      <c r="A148" s="761">
        <v>2014</v>
      </c>
      <c r="B148" s="761">
        <v>11</v>
      </c>
      <c r="C148" s="796" t="s">
        <v>222</v>
      </c>
      <c r="D148" s="796"/>
      <c r="E148" s="796"/>
      <c r="F148" s="761">
        <v>3119</v>
      </c>
      <c r="G148" s="761" t="s">
        <v>1138</v>
      </c>
      <c r="H148" s="799">
        <v>5173</v>
      </c>
      <c r="I148" s="799">
        <v>1294</v>
      </c>
      <c r="J148" s="799">
        <v>173955</v>
      </c>
      <c r="K148" s="799">
        <v>26183</v>
      </c>
      <c r="L148" s="799">
        <v>0</v>
      </c>
      <c r="M148" s="799">
        <v>163560</v>
      </c>
      <c r="N148" s="799">
        <v>23601</v>
      </c>
      <c r="O148" s="799">
        <v>91711</v>
      </c>
      <c r="P148" s="799">
        <v>64475</v>
      </c>
      <c r="Q148" s="799">
        <v>43843</v>
      </c>
      <c r="R148" s="799">
        <v>0</v>
      </c>
      <c r="S148" s="799">
        <v>25570</v>
      </c>
    </row>
    <row r="149" spans="1:19" x14ac:dyDescent="0.2">
      <c r="A149" s="761">
        <v>2014</v>
      </c>
      <c r="B149" s="761">
        <v>10</v>
      </c>
      <c r="C149" s="796" t="s">
        <v>223</v>
      </c>
      <c r="D149" s="796"/>
      <c r="E149" s="796"/>
      <c r="F149" s="761">
        <v>3141</v>
      </c>
      <c r="G149" s="761" t="s">
        <v>1139</v>
      </c>
      <c r="H149" s="799">
        <v>712818</v>
      </c>
      <c r="I149" s="799">
        <v>0</v>
      </c>
      <c r="J149" s="799">
        <v>642229</v>
      </c>
      <c r="K149" s="799">
        <v>544409</v>
      </c>
      <c r="L149" s="799">
        <v>0</v>
      </c>
      <c r="M149" s="799">
        <v>28180</v>
      </c>
      <c r="N149" s="799">
        <v>665142</v>
      </c>
      <c r="O149" s="799">
        <v>302179</v>
      </c>
      <c r="P149" s="799">
        <v>414138</v>
      </c>
      <c r="Q149" s="799">
        <v>39977</v>
      </c>
      <c r="R149" s="799">
        <v>52393</v>
      </c>
      <c r="S149" s="799">
        <v>173738</v>
      </c>
    </row>
    <row r="150" spans="1:19" x14ac:dyDescent="0.2">
      <c r="A150" s="761">
        <v>2014</v>
      </c>
      <c r="B150" s="761">
        <v>7</v>
      </c>
      <c r="C150" s="796" t="s">
        <v>224</v>
      </c>
      <c r="D150" s="796"/>
      <c r="E150" s="796"/>
      <c r="F150" s="761">
        <v>3150</v>
      </c>
      <c r="G150" s="761" t="s">
        <v>1140</v>
      </c>
      <c r="H150" s="799">
        <v>59132</v>
      </c>
      <c r="I150" s="799">
        <v>0</v>
      </c>
      <c r="J150" s="799">
        <v>19298</v>
      </c>
      <c r="K150" s="799">
        <v>0</v>
      </c>
      <c r="L150" s="799">
        <v>0</v>
      </c>
      <c r="M150" s="799">
        <v>0</v>
      </c>
      <c r="N150" s="799">
        <v>20613</v>
      </c>
      <c r="O150" s="799">
        <v>10615</v>
      </c>
      <c r="P150" s="799">
        <v>54145</v>
      </c>
      <c r="Q150" s="799">
        <v>0</v>
      </c>
      <c r="R150" s="799">
        <v>4146</v>
      </c>
      <c r="S150" s="799">
        <v>13343</v>
      </c>
    </row>
    <row r="151" spans="1:19" x14ac:dyDescent="0.2">
      <c r="A151" s="761">
        <v>2014</v>
      </c>
      <c r="B151" s="761">
        <v>10</v>
      </c>
      <c r="C151" s="796" t="s">
        <v>225</v>
      </c>
      <c r="D151" s="796"/>
      <c r="E151" s="796"/>
      <c r="F151" s="761">
        <v>3154</v>
      </c>
      <c r="G151" s="761" t="s">
        <v>1141</v>
      </c>
      <c r="H151" s="799">
        <v>945</v>
      </c>
      <c r="I151" s="799">
        <v>0</v>
      </c>
      <c r="J151" s="799">
        <v>134040</v>
      </c>
      <c r="K151" s="799">
        <v>161320</v>
      </c>
      <c r="L151" s="799">
        <v>41469</v>
      </c>
      <c r="M151" s="799">
        <v>87878</v>
      </c>
      <c r="N151" s="799">
        <v>19395</v>
      </c>
      <c r="O151" s="799">
        <v>38782</v>
      </c>
      <c r="P151" s="799">
        <v>6242</v>
      </c>
      <c r="Q151" s="799">
        <v>0</v>
      </c>
      <c r="R151" s="799">
        <v>6798</v>
      </c>
      <c r="S151" s="799">
        <v>27739</v>
      </c>
    </row>
    <row r="152" spans="1:19" x14ac:dyDescent="0.2">
      <c r="A152" s="761">
        <v>2014</v>
      </c>
      <c r="B152" s="761">
        <v>13</v>
      </c>
      <c r="C152" s="796" t="s">
        <v>1484</v>
      </c>
      <c r="D152" s="796"/>
      <c r="E152" s="796"/>
      <c r="F152" s="761">
        <v>3168</v>
      </c>
      <c r="G152" s="761" t="s">
        <v>1481</v>
      </c>
      <c r="H152" s="799">
        <v>23695</v>
      </c>
      <c r="I152" s="799">
        <v>5423</v>
      </c>
      <c r="J152" s="799">
        <v>28681</v>
      </c>
      <c r="K152" s="799">
        <v>18558</v>
      </c>
      <c r="L152" s="799">
        <v>0</v>
      </c>
      <c r="M152" s="799">
        <v>0</v>
      </c>
      <c r="N152" s="799">
        <v>7569</v>
      </c>
      <c r="O152" s="799">
        <v>26503</v>
      </c>
      <c r="P152" s="799">
        <v>61585</v>
      </c>
      <c r="Q152" s="799">
        <v>0</v>
      </c>
      <c r="R152" s="799">
        <v>7714</v>
      </c>
      <c r="S152" s="799">
        <v>18004</v>
      </c>
    </row>
    <row r="153" spans="1:19" x14ac:dyDescent="0.2">
      <c r="A153" s="761">
        <v>2014</v>
      </c>
      <c r="B153" s="761">
        <v>7</v>
      </c>
      <c r="C153" s="796" t="s">
        <v>226</v>
      </c>
      <c r="D153" s="796"/>
      <c r="E153" s="796"/>
      <c r="F153" s="761">
        <v>3186</v>
      </c>
      <c r="G153" s="761" t="s">
        <v>1142</v>
      </c>
      <c r="H153" s="799">
        <v>0</v>
      </c>
      <c r="I153" s="799">
        <v>0</v>
      </c>
      <c r="J153" s="799">
        <v>0</v>
      </c>
      <c r="K153" s="799">
        <v>62173</v>
      </c>
      <c r="L153" s="799">
        <v>21209</v>
      </c>
      <c r="M153" s="799">
        <v>0</v>
      </c>
      <c r="N153" s="799">
        <v>0</v>
      </c>
      <c r="O153" s="799">
        <v>0</v>
      </c>
      <c r="P153" s="799">
        <v>0</v>
      </c>
      <c r="Q153" s="799">
        <v>0</v>
      </c>
      <c r="R153" s="799">
        <v>3503</v>
      </c>
      <c r="S153" s="799">
        <v>17243</v>
      </c>
    </row>
    <row r="154" spans="1:19" x14ac:dyDescent="0.2">
      <c r="A154" s="761">
        <v>2014</v>
      </c>
      <c r="B154" s="761">
        <v>5</v>
      </c>
      <c r="C154" s="796" t="s">
        <v>227</v>
      </c>
      <c r="D154" s="761">
        <v>1967</v>
      </c>
      <c r="E154" s="796"/>
      <c r="F154" s="761">
        <v>3195</v>
      </c>
      <c r="G154" s="761" t="s">
        <v>1638</v>
      </c>
      <c r="H154" s="799">
        <v>0</v>
      </c>
      <c r="I154" s="799">
        <v>1</v>
      </c>
      <c r="J154" s="799">
        <v>0</v>
      </c>
      <c r="K154" s="799">
        <v>14375</v>
      </c>
      <c r="L154" s="799">
        <v>29986</v>
      </c>
      <c r="M154" s="799">
        <v>253908</v>
      </c>
      <c r="N154" s="799">
        <v>18789</v>
      </c>
      <c r="O154" s="799">
        <v>3491</v>
      </c>
      <c r="P154" s="799">
        <v>4864</v>
      </c>
      <c r="Q154" s="799">
        <v>0</v>
      </c>
      <c r="R154" s="799">
        <v>0</v>
      </c>
      <c r="S154" s="799">
        <v>36144</v>
      </c>
    </row>
    <row r="155" spans="1:19" x14ac:dyDescent="0.2">
      <c r="A155" s="761">
        <v>2014</v>
      </c>
      <c r="B155" s="761">
        <v>7</v>
      </c>
      <c r="C155" s="796" t="s">
        <v>228</v>
      </c>
      <c r="D155" s="796"/>
      <c r="E155" s="796"/>
      <c r="F155" s="761">
        <v>3204</v>
      </c>
      <c r="G155" s="761" t="s">
        <v>1146</v>
      </c>
      <c r="H155" s="799">
        <v>1725</v>
      </c>
      <c r="I155" s="799">
        <v>0</v>
      </c>
      <c r="J155" s="799">
        <v>18741</v>
      </c>
      <c r="K155" s="799">
        <v>6894</v>
      </c>
      <c r="L155" s="799">
        <v>0</v>
      </c>
      <c r="M155" s="799">
        <v>0</v>
      </c>
      <c r="N155" s="799">
        <v>10670</v>
      </c>
      <c r="O155" s="799">
        <v>23207</v>
      </c>
      <c r="P155" s="799">
        <v>62168</v>
      </c>
      <c r="Q155" s="799">
        <v>0</v>
      </c>
      <c r="R155" s="799">
        <v>7679</v>
      </c>
      <c r="S155" s="799">
        <v>21719</v>
      </c>
    </row>
    <row r="156" spans="1:19" x14ac:dyDescent="0.2">
      <c r="A156" s="761">
        <v>2014</v>
      </c>
      <c r="B156" s="761">
        <v>11</v>
      </c>
      <c r="C156" s="796" t="s">
        <v>229</v>
      </c>
      <c r="D156" s="796"/>
      <c r="E156" s="796"/>
      <c r="F156" s="761">
        <v>3231</v>
      </c>
      <c r="G156" s="761" t="s">
        <v>1147</v>
      </c>
      <c r="H156" s="799">
        <v>113460</v>
      </c>
      <c r="I156" s="799">
        <v>0</v>
      </c>
      <c r="J156" s="799">
        <v>256333</v>
      </c>
      <c r="K156" s="799">
        <v>0</v>
      </c>
      <c r="L156" s="799">
        <v>0</v>
      </c>
      <c r="M156" s="799">
        <v>261334</v>
      </c>
      <c r="N156" s="799">
        <v>110607</v>
      </c>
      <c r="O156" s="799">
        <v>0</v>
      </c>
      <c r="P156" s="799">
        <v>0</v>
      </c>
      <c r="Q156" s="799">
        <v>0</v>
      </c>
      <c r="R156" s="799">
        <v>0</v>
      </c>
      <c r="S156" s="799">
        <v>59792</v>
      </c>
    </row>
    <row r="157" spans="1:19" x14ac:dyDescent="0.2">
      <c r="A157" s="761">
        <v>2014</v>
      </c>
      <c r="B157" s="761">
        <v>15</v>
      </c>
      <c r="C157" s="796" t="s">
        <v>230</v>
      </c>
      <c r="D157" s="796"/>
      <c r="E157" s="796"/>
      <c r="F157" s="761">
        <v>3312</v>
      </c>
      <c r="G157" s="761" t="s">
        <v>1148</v>
      </c>
      <c r="H157" s="799">
        <v>332979</v>
      </c>
      <c r="I157" s="799">
        <v>0</v>
      </c>
      <c r="J157" s="799">
        <v>0</v>
      </c>
      <c r="K157" s="799">
        <v>197361</v>
      </c>
      <c r="L157" s="799">
        <v>0</v>
      </c>
      <c r="M157" s="799">
        <v>43222</v>
      </c>
      <c r="N157" s="799">
        <v>79946</v>
      </c>
      <c r="O157" s="799">
        <v>201042</v>
      </c>
      <c r="P157" s="799">
        <v>139859</v>
      </c>
      <c r="Q157" s="799">
        <v>0</v>
      </c>
      <c r="R157" s="799">
        <v>9945</v>
      </c>
      <c r="S157" s="799">
        <v>22821</v>
      </c>
    </row>
    <row r="158" spans="1:19" x14ac:dyDescent="0.2">
      <c r="A158" s="761">
        <v>2014</v>
      </c>
      <c r="B158" s="761">
        <v>15</v>
      </c>
      <c r="C158" s="796" t="s">
        <v>231</v>
      </c>
      <c r="D158" s="796"/>
      <c r="E158" s="796"/>
      <c r="F158" s="761">
        <v>3330</v>
      </c>
      <c r="G158" s="761" t="s">
        <v>1149</v>
      </c>
      <c r="H158" s="799">
        <v>11589</v>
      </c>
      <c r="I158" s="799">
        <v>0</v>
      </c>
      <c r="J158" s="799">
        <v>0</v>
      </c>
      <c r="K158" s="799">
        <v>6730</v>
      </c>
      <c r="L158" s="799">
        <v>0</v>
      </c>
      <c r="M158" s="799">
        <v>0</v>
      </c>
      <c r="N158" s="799">
        <v>0</v>
      </c>
      <c r="O158" s="799">
        <v>19829</v>
      </c>
      <c r="P158" s="799">
        <v>22523</v>
      </c>
      <c r="Q158" s="799">
        <v>0</v>
      </c>
      <c r="R158" s="799">
        <v>2248</v>
      </c>
      <c r="S158" s="799">
        <v>16257</v>
      </c>
    </row>
    <row r="159" spans="1:19" x14ac:dyDescent="0.2">
      <c r="A159" s="761">
        <v>2014</v>
      </c>
      <c r="B159" s="761">
        <v>12</v>
      </c>
      <c r="C159" s="796" t="s">
        <v>232</v>
      </c>
      <c r="D159" s="796"/>
      <c r="E159" s="796"/>
      <c r="F159" s="761">
        <v>3348</v>
      </c>
      <c r="G159" s="761" t="s">
        <v>1150</v>
      </c>
      <c r="H159" s="799">
        <v>1867</v>
      </c>
      <c r="I159" s="799">
        <v>0</v>
      </c>
      <c r="J159" s="799">
        <v>0</v>
      </c>
      <c r="K159" s="799">
        <v>13881</v>
      </c>
      <c r="L159" s="799">
        <v>0</v>
      </c>
      <c r="M159" s="799">
        <v>0</v>
      </c>
      <c r="N159" s="799">
        <v>0</v>
      </c>
      <c r="O159" s="799">
        <v>15720</v>
      </c>
      <c r="P159" s="799">
        <v>35637</v>
      </c>
      <c r="Q159" s="799">
        <v>29401</v>
      </c>
      <c r="R159" s="799">
        <v>6711</v>
      </c>
      <c r="S159" s="799">
        <v>10141</v>
      </c>
    </row>
    <row r="160" spans="1:19" x14ac:dyDescent="0.2">
      <c r="A160" s="761">
        <v>2014</v>
      </c>
      <c r="B160" s="761">
        <v>11</v>
      </c>
      <c r="C160" s="796" t="s">
        <v>233</v>
      </c>
      <c r="D160" s="796"/>
      <c r="E160" s="796"/>
      <c r="F160" s="761">
        <v>3375</v>
      </c>
      <c r="G160" s="761" t="s">
        <v>1151</v>
      </c>
      <c r="H160" s="799">
        <v>0</v>
      </c>
      <c r="I160" s="799">
        <v>0</v>
      </c>
      <c r="J160" s="799">
        <v>0</v>
      </c>
      <c r="K160" s="799">
        <v>168761</v>
      </c>
      <c r="L160" s="799">
        <v>0</v>
      </c>
      <c r="M160" s="799">
        <v>473807</v>
      </c>
      <c r="N160" s="799">
        <v>86273</v>
      </c>
      <c r="O160" s="799">
        <v>0</v>
      </c>
      <c r="P160" s="799">
        <v>25249</v>
      </c>
      <c r="Q160" s="799">
        <v>0</v>
      </c>
      <c r="R160" s="799">
        <v>11748</v>
      </c>
      <c r="S160" s="799">
        <v>241</v>
      </c>
    </row>
    <row r="161" spans="1:19" x14ac:dyDescent="0.2">
      <c r="A161" s="761">
        <v>2014</v>
      </c>
      <c r="B161" s="761">
        <v>7</v>
      </c>
      <c r="C161" s="796" t="s">
        <v>234</v>
      </c>
      <c r="D161" s="796"/>
      <c r="E161" s="796"/>
      <c r="F161" s="761">
        <v>3420</v>
      </c>
      <c r="G161" s="761" t="s">
        <v>1152</v>
      </c>
      <c r="H161" s="799">
        <v>0</v>
      </c>
      <c r="I161" s="799">
        <v>13569</v>
      </c>
      <c r="J161" s="799">
        <v>35005</v>
      </c>
      <c r="K161" s="799">
        <v>75193</v>
      </c>
      <c r="L161" s="799">
        <v>0</v>
      </c>
      <c r="M161" s="799">
        <v>55395</v>
      </c>
      <c r="N161" s="799">
        <v>92197</v>
      </c>
      <c r="O161" s="799">
        <v>31995</v>
      </c>
      <c r="P161" s="799">
        <v>11719</v>
      </c>
      <c r="Q161" s="799">
        <v>0</v>
      </c>
      <c r="R161" s="799">
        <v>7199</v>
      </c>
      <c r="S161" s="799">
        <v>12129</v>
      </c>
    </row>
    <row r="162" spans="1:19" x14ac:dyDescent="0.2">
      <c r="A162" s="761">
        <v>2014</v>
      </c>
      <c r="B162" s="761">
        <v>13</v>
      </c>
      <c r="C162" s="796" t="s">
        <v>235</v>
      </c>
      <c r="D162" s="796"/>
      <c r="E162" s="796"/>
      <c r="F162" s="761">
        <v>3465</v>
      </c>
      <c r="G162" s="761" t="s">
        <v>1153</v>
      </c>
      <c r="H162" s="799">
        <v>0</v>
      </c>
      <c r="I162" s="799">
        <v>0</v>
      </c>
      <c r="J162" s="799">
        <v>0</v>
      </c>
      <c r="K162" s="799">
        <v>0</v>
      </c>
      <c r="L162" s="799">
        <v>0</v>
      </c>
      <c r="M162" s="799">
        <v>29906</v>
      </c>
      <c r="N162" s="799">
        <v>29694</v>
      </c>
      <c r="O162" s="799">
        <v>2</v>
      </c>
      <c r="P162" s="799">
        <v>4001</v>
      </c>
      <c r="Q162" s="799">
        <v>0</v>
      </c>
      <c r="R162" s="799">
        <v>6150</v>
      </c>
      <c r="S162" s="799">
        <v>11913</v>
      </c>
    </row>
    <row r="163" spans="1:19" x14ac:dyDescent="0.2">
      <c r="A163" s="761">
        <v>2014</v>
      </c>
      <c r="B163" s="761">
        <v>5</v>
      </c>
      <c r="C163" s="796" t="s">
        <v>236</v>
      </c>
      <c r="D163" s="796"/>
      <c r="E163" s="796"/>
      <c r="F163" s="761">
        <v>3537</v>
      </c>
      <c r="G163" s="761" t="s">
        <v>1154</v>
      </c>
      <c r="H163" s="799">
        <v>0</v>
      </c>
      <c r="I163" s="799">
        <v>0</v>
      </c>
      <c r="J163" s="799">
        <v>19151</v>
      </c>
      <c r="K163" s="799">
        <v>2560</v>
      </c>
      <c r="L163" s="799">
        <v>0</v>
      </c>
      <c r="M163" s="799">
        <v>0</v>
      </c>
      <c r="N163" s="799">
        <v>0</v>
      </c>
      <c r="O163" s="799">
        <v>21230</v>
      </c>
      <c r="P163" s="799">
        <v>2728</v>
      </c>
      <c r="Q163" s="799">
        <v>0</v>
      </c>
      <c r="R163" s="799">
        <v>4885</v>
      </c>
      <c r="S163" s="799">
        <v>15175</v>
      </c>
    </row>
    <row r="164" spans="1:19" x14ac:dyDescent="0.2">
      <c r="A164" s="761">
        <v>2014</v>
      </c>
      <c r="B164" s="761">
        <v>12</v>
      </c>
      <c r="C164" s="796" t="s">
        <v>237</v>
      </c>
      <c r="D164" s="796"/>
      <c r="E164" s="796"/>
      <c r="F164" s="761">
        <v>3555</v>
      </c>
      <c r="G164" s="761" t="s">
        <v>1155</v>
      </c>
      <c r="H164" s="799">
        <v>32235</v>
      </c>
      <c r="I164" s="799">
        <v>13503</v>
      </c>
      <c r="J164" s="799">
        <v>72715</v>
      </c>
      <c r="K164" s="799">
        <v>133383</v>
      </c>
      <c r="L164" s="799">
        <v>0</v>
      </c>
      <c r="M164" s="799">
        <v>157192</v>
      </c>
      <c r="N164" s="799">
        <v>39525</v>
      </c>
      <c r="O164" s="799">
        <v>50771</v>
      </c>
      <c r="P164" s="799">
        <v>9737</v>
      </c>
      <c r="Q164" s="799">
        <v>0</v>
      </c>
      <c r="R164" s="799">
        <v>584</v>
      </c>
      <c r="S164" s="799">
        <v>19573</v>
      </c>
    </row>
    <row r="165" spans="1:19" x14ac:dyDescent="0.2">
      <c r="A165" s="761">
        <v>2014</v>
      </c>
      <c r="B165" s="761">
        <v>7</v>
      </c>
      <c r="C165" s="796" t="s">
        <v>238</v>
      </c>
      <c r="D165" s="796"/>
      <c r="E165" s="796"/>
      <c r="F165" s="761">
        <v>1968</v>
      </c>
      <c r="G165" s="761" t="s">
        <v>1157</v>
      </c>
      <c r="H165" s="799">
        <v>40468</v>
      </c>
      <c r="I165" s="799">
        <v>0</v>
      </c>
      <c r="J165" s="799">
        <v>41411</v>
      </c>
      <c r="K165" s="799">
        <v>0</v>
      </c>
      <c r="L165" s="799">
        <v>63601</v>
      </c>
      <c r="M165" s="799">
        <v>89303</v>
      </c>
      <c r="N165" s="799">
        <v>750</v>
      </c>
      <c r="O165" s="799">
        <v>0</v>
      </c>
      <c r="P165" s="799">
        <v>1779</v>
      </c>
      <c r="Q165" s="799">
        <v>0</v>
      </c>
      <c r="R165" s="799">
        <v>904</v>
      </c>
      <c r="S165" s="799">
        <v>17041</v>
      </c>
    </row>
    <row r="166" spans="1:19" x14ac:dyDescent="0.2">
      <c r="A166" s="761">
        <v>2014</v>
      </c>
      <c r="B166" s="761">
        <v>12</v>
      </c>
      <c r="C166" s="796" t="s">
        <v>239</v>
      </c>
      <c r="D166" s="796"/>
      <c r="E166" s="796"/>
      <c r="F166" s="761">
        <v>3600</v>
      </c>
      <c r="G166" s="761" t="s">
        <v>1158</v>
      </c>
      <c r="H166" s="799">
        <v>0</v>
      </c>
      <c r="I166" s="799">
        <v>0</v>
      </c>
      <c r="J166" s="799">
        <v>0</v>
      </c>
      <c r="K166" s="799">
        <v>0</v>
      </c>
      <c r="L166" s="799">
        <v>100328</v>
      </c>
      <c r="M166" s="799">
        <v>104</v>
      </c>
      <c r="N166" s="799">
        <v>0</v>
      </c>
      <c r="O166" s="799">
        <v>0</v>
      </c>
      <c r="P166" s="799">
        <v>39520</v>
      </c>
      <c r="Q166" s="799">
        <v>0</v>
      </c>
      <c r="R166" s="799">
        <v>0</v>
      </c>
      <c r="S166" s="799">
        <v>29140</v>
      </c>
    </row>
    <row r="167" spans="1:19" x14ac:dyDescent="0.2">
      <c r="A167" s="761">
        <v>2014</v>
      </c>
      <c r="B167" s="761">
        <v>13</v>
      </c>
      <c r="C167" s="796" t="s">
        <v>240</v>
      </c>
      <c r="D167" s="796"/>
      <c r="E167" s="796"/>
      <c r="F167" s="761">
        <v>3609</v>
      </c>
      <c r="G167" s="761" t="s">
        <v>1159</v>
      </c>
      <c r="H167" s="799">
        <v>6960</v>
      </c>
      <c r="I167" s="799">
        <v>0</v>
      </c>
      <c r="J167" s="799">
        <v>56670</v>
      </c>
      <c r="K167" s="799">
        <v>14365</v>
      </c>
      <c r="L167" s="799">
        <v>0</v>
      </c>
      <c r="M167" s="799">
        <v>34350</v>
      </c>
      <c r="N167" s="799">
        <v>14284</v>
      </c>
      <c r="O167" s="799">
        <v>1542</v>
      </c>
      <c r="P167" s="799">
        <v>30186</v>
      </c>
      <c r="Q167" s="799">
        <v>0</v>
      </c>
      <c r="R167" s="799">
        <v>707</v>
      </c>
      <c r="S167" s="799">
        <v>12719</v>
      </c>
    </row>
    <row r="168" spans="1:19" x14ac:dyDescent="0.2">
      <c r="A168" s="761">
        <v>2014</v>
      </c>
      <c r="B168" s="761">
        <v>13</v>
      </c>
      <c r="C168" s="796" t="s">
        <v>241</v>
      </c>
      <c r="D168" s="796"/>
      <c r="E168" s="796"/>
      <c r="F168" s="761">
        <v>3645</v>
      </c>
      <c r="G168" s="761" t="s">
        <v>1160</v>
      </c>
      <c r="H168" s="799">
        <v>0</v>
      </c>
      <c r="I168" s="799">
        <v>0</v>
      </c>
      <c r="J168" s="799">
        <v>358008</v>
      </c>
      <c r="K168" s="799">
        <v>194223</v>
      </c>
      <c r="L168" s="799">
        <v>0</v>
      </c>
      <c r="M168" s="799">
        <v>422612</v>
      </c>
      <c r="N168" s="799">
        <v>105584</v>
      </c>
      <c r="O168" s="799">
        <v>108728</v>
      </c>
      <c r="P168" s="799">
        <v>110259</v>
      </c>
      <c r="Q168" s="799">
        <v>51841</v>
      </c>
      <c r="R168" s="799">
        <v>10724</v>
      </c>
      <c r="S168" s="799">
        <v>19167</v>
      </c>
    </row>
    <row r="169" spans="1:19" x14ac:dyDescent="0.2">
      <c r="A169" s="761">
        <v>2014</v>
      </c>
      <c r="B169" s="761">
        <v>10</v>
      </c>
      <c r="C169" s="796" t="s">
        <v>242</v>
      </c>
      <c r="D169" s="796"/>
      <c r="E169" s="796"/>
      <c r="F169" s="761">
        <v>3691</v>
      </c>
      <c r="G169" s="761" t="s">
        <v>1161</v>
      </c>
      <c r="H169" s="799">
        <v>4</v>
      </c>
      <c r="I169" s="799">
        <v>3717</v>
      </c>
      <c r="J169" s="799">
        <v>0</v>
      </c>
      <c r="K169" s="799">
        <v>12715</v>
      </c>
      <c r="L169" s="799">
        <v>0</v>
      </c>
      <c r="M169" s="799">
        <v>0</v>
      </c>
      <c r="N169" s="799">
        <v>47136</v>
      </c>
      <c r="O169" s="799">
        <v>4630</v>
      </c>
      <c r="P169" s="799">
        <v>24258</v>
      </c>
      <c r="Q169" s="799">
        <v>0</v>
      </c>
      <c r="R169" s="799">
        <v>0</v>
      </c>
      <c r="S169" s="799">
        <v>74500</v>
      </c>
    </row>
    <row r="170" spans="1:19" x14ac:dyDescent="0.2">
      <c r="A170" s="761">
        <v>2014</v>
      </c>
      <c r="B170" s="761">
        <v>10</v>
      </c>
      <c r="C170" s="796" t="s">
        <v>243</v>
      </c>
      <c r="D170" s="796"/>
      <c r="E170" s="796"/>
      <c r="F170" s="761">
        <v>3715</v>
      </c>
      <c r="G170" s="761" t="s">
        <v>1162</v>
      </c>
      <c r="H170" s="799">
        <v>0</v>
      </c>
      <c r="I170" s="799">
        <v>0</v>
      </c>
      <c r="J170" s="799">
        <v>640961</v>
      </c>
      <c r="K170" s="799">
        <v>107930</v>
      </c>
      <c r="L170" s="799">
        <v>0</v>
      </c>
      <c r="M170" s="799">
        <v>146732</v>
      </c>
      <c r="N170" s="799">
        <v>205894</v>
      </c>
      <c r="O170" s="799">
        <v>258686</v>
      </c>
      <c r="P170" s="799">
        <v>306379</v>
      </c>
      <c r="Q170" s="799">
        <v>0</v>
      </c>
      <c r="R170" s="799">
        <v>0</v>
      </c>
      <c r="S170" s="799">
        <v>73109</v>
      </c>
    </row>
    <row r="171" spans="1:19" x14ac:dyDescent="0.2">
      <c r="A171" s="761">
        <v>2014</v>
      </c>
      <c r="B171" s="761">
        <v>10</v>
      </c>
      <c r="C171" s="796" t="s">
        <v>244</v>
      </c>
      <c r="D171" s="796"/>
      <c r="E171" s="796"/>
      <c r="F171" s="761">
        <v>3744</v>
      </c>
      <c r="G171" s="761" t="s">
        <v>1163</v>
      </c>
      <c r="H171" s="799">
        <v>0</v>
      </c>
      <c r="I171" s="799">
        <v>0</v>
      </c>
      <c r="J171" s="799">
        <v>0</v>
      </c>
      <c r="K171" s="799">
        <v>11884</v>
      </c>
      <c r="L171" s="799">
        <v>0</v>
      </c>
      <c r="M171" s="799">
        <v>49140</v>
      </c>
      <c r="N171" s="799">
        <v>53414</v>
      </c>
      <c r="O171" s="799">
        <v>5305</v>
      </c>
      <c r="P171" s="799">
        <v>6696</v>
      </c>
      <c r="Q171" s="799">
        <v>0</v>
      </c>
      <c r="R171" s="799">
        <v>7517</v>
      </c>
      <c r="S171" s="799">
        <v>11437</v>
      </c>
    </row>
    <row r="172" spans="1:19" x14ac:dyDescent="0.2">
      <c r="A172" s="761">
        <v>2014</v>
      </c>
      <c r="B172" s="761">
        <v>13</v>
      </c>
      <c r="C172" s="796" t="s">
        <v>245</v>
      </c>
      <c r="D172" s="796"/>
      <c r="E172" s="796"/>
      <c r="F172" s="761">
        <v>3798</v>
      </c>
      <c r="G172" s="761" t="s">
        <v>1164</v>
      </c>
      <c r="H172" s="799">
        <v>28316</v>
      </c>
      <c r="I172" s="799">
        <v>0</v>
      </c>
      <c r="J172" s="799">
        <v>0</v>
      </c>
      <c r="K172" s="799">
        <v>38329</v>
      </c>
      <c r="L172" s="799">
        <v>0</v>
      </c>
      <c r="M172" s="799">
        <v>2710</v>
      </c>
      <c r="N172" s="799">
        <v>890</v>
      </c>
      <c r="O172" s="799">
        <v>2428</v>
      </c>
      <c r="P172" s="799">
        <v>5951</v>
      </c>
      <c r="Q172" s="799">
        <v>0</v>
      </c>
      <c r="R172" s="799">
        <v>7111</v>
      </c>
      <c r="S172" s="799">
        <v>41948</v>
      </c>
    </row>
    <row r="173" spans="1:19" x14ac:dyDescent="0.2">
      <c r="A173" s="761">
        <v>2014</v>
      </c>
      <c r="B173" s="761">
        <v>10</v>
      </c>
      <c r="C173" s="796" t="s">
        <v>246</v>
      </c>
      <c r="D173" s="796"/>
      <c r="E173" s="796"/>
      <c r="F173" s="761">
        <v>3816</v>
      </c>
      <c r="G173" s="761" t="s">
        <v>1165</v>
      </c>
      <c r="H173" s="799">
        <v>0</v>
      </c>
      <c r="I173" s="799">
        <v>0</v>
      </c>
      <c r="J173" s="799">
        <v>0</v>
      </c>
      <c r="K173" s="799">
        <v>0</v>
      </c>
      <c r="L173" s="799">
        <v>31708</v>
      </c>
      <c r="M173" s="799">
        <v>88877</v>
      </c>
      <c r="N173" s="799">
        <v>1211</v>
      </c>
      <c r="O173" s="799">
        <v>9523</v>
      </c>
      <c r="P173" s="799">
        <v>1921</v>
      </c>
      <c r="Q173" s="799">
        <v>8972</v>
      </c>
      <c r="R173" s="799">
        <v>0</v>
      </c>
      <c r="S173" s="799">
        <v>15573</v>
      </c>
    </row>
    <row r="174" spans="1:19" x14ac:dyDescent="0.2">
      <c r="A174" s="761">
        <v>2014</v>
      </c>
      <c r="B174" s="761">
        <v>9</v>
      </c>
      <c r="C174" s="796" t="s">
        <v>247</v>
      </c>
      <c r="D174" s="796"/>
      <c r="E174" s="796"/>
      <c r="F174" s="761">
        <v>3841</v>
      </c>
      <c r="G174" s="761" t="s">
        <v>1166</v>
      </c>
      <c r="H174" s="799">
        <v>0</v>
      </c>
      <c r="I174" s="799">
        <v>0</v>
      </c>
      <c r="J174" s="799">
        <v>131392</v>
      </c>
      <c r="K174" s="799">
        <v>0</v>
      </c>
      <c r="L174" s="799">
        <v>54526</v>
      </c>
      <c r="M174" s="799">
        <v>60368</v>
      </c>
      <c r="N174" s="799">
        <v>1693</v>
      </c>
      <c r="O174" s="799">
        <v>19756</v>
      </c>
      <c r="P174" s="799">
        <v>0</v>
      </c>
      <c r="Q174" s="799">
        <v>19236</v>
      </c>
      <c r="R174" s="799">
        <v>4590</v>
      </c>
      <c r="S174" s="799">
        <v>10189</v>
      </c>
    </row>
    <row r="175" spans="1:19" x14ac:dyDescent="0.2">
      <c r="A175" s="761">
        <v>2014</v>
      </c>
      <c r="B175" s="761">
        <v>5</v>
      </c>
      <c r="C175" s="796" t="s">
        <v>248</v>
      </c>
      <c r="D175" s="796"/>
      <c r="E175" s="796"/>
      <c r="F175" s="761">
        <v>3897</v>
      </c>
      <c r="G175" s="761" t="s">
        <v>1167</v>
      </c>
      <c r="H175" s="799">
        <v>0</v>
      </c>
      <c r="I175" s="799">
        <v>2744</v>
      </c>
      <c r="J175" s="799">
        <v>55154</v>
      </c>
      <c r="K175" s="799">
        <v>0</v>
      </c>
      <c r="L175" s="799">
        <v>0</v>
      </c>
      <c r="M175" s="799">
        <v>26277</v>
      </c>
      <c r="N175" s="799">
        <v>3353</v>
      </c>
      <c r="O175" s="799">
        <v>5286</v>
      </c>
      <c r="P175" s="799">
        <v>6524</v>
      </c>
      <c r="Q175" s="799">
        <v>0</v>
      </c>
      <c r="R175" s="799">
        <v>5282</v>
      </c>
      <c r="S175" s="799">
        <v>13907</v>
      </c>
    </row>
    <row r="176" spans="1:19" x14ac:dyDescent="0.2">
      <c r="A176" s="761">
        <v>2014</v>
      </c>
      <c r="B176" s="761">
        <v>11</v>
      </c>
      <c r="C176" s="796" t="s">
        <v>249</v>
      </c>
      <c r="D176" s="796"/>
      <c r="E176" s="796"/>
      <c r="F176" s="761">
        <v>3906</v>
      </c>
      <c r="G176" s="761" t="s">
        <v>1168</v>
      </c>
      <c r="H176" s="799">
        <v>0</v>
      </c>
      <c r="I176" s="799">
        <v>0</v>
      </c>
      <c r="J176" s="799">
        <v>0</v>
      </c>
      <c r="K176" s="799">
        <v>0</v>
      </c>
      <c r="L176" s="799">
        <v>0</v>
      </c>
      <c r="M176" s="799">
        <v>104078</v>
      </c>
      <c r="N176" s="799">
        <v>11085</v>
      </c>
      <c r="O176" s="799">
        <v>0</v>
      </c>
      <c r="P176" s="799">
        <v>0</v>
      </c>
      <c r="Q176" s="799">
        <v>0</v>
      </c>
      <c r="R176" s="799">
        <v>6348</v>
      </c>
      <c r="S176" s="799">
        <v>15396</v>
      </c>
    </row>
    <row r="177" spans="1:19" x14ac:dyDescent="0.2">
      <c r="A177" s="761">
        <v>2014</v>
      </c>
      <c r="B177" s="761">
        <v>11</v>
      </c>
      <c r="C177" s="796" t="s">
        <v>250</v>
      </c>
      <c r="D177" s="796"/>
      <c r="E177" s="796"/>
      <c r="F177" s="761">
        <v>3942</v>
      </c>
      <c r="G177" s="761" t="s">
        <v>1169</v>
      </c>
      <c r="H177" s="799">
        <v>17793</v>
      </c>
      <c r="I177" s="799">
        <v>1294</v>
      </c>
      <c r="J177" s="799">
        <v>0</v>
      </c>
      <c r="K177" s="799">
        <v>0</v>
      </c>
      <c r="L177" s="799">
        <v>0</v>
      </c>
      <c r="M177" s="799">
        <v>23458</v>
      </c>
      <c r="N177" s="799">
        <v>2336</v>
      </c>
      <c r="O177" s="799">
        <v>27052</v>
      </c>
      <c r="P177" s="799">
        <v>37746</v>
      </c>
      <c r="Q177" s="799">
        <v>0</v>
      </c>
      <c r="R177" s="799">
        <v>6715</v>
      </c>
      <c r="S177" s="799">
        <v>25569</v>
      </c>
    </row>
    <row r="178" spans="1:19" x14ac:dyDescent="0.2">
      <c r="A178" s="761">
        <v>2014</v>
      </c>
      <c r="B178" s="761">
        <v>13</v>
      </c>
      <c r="C178" s="796" t="s">
        <v>251</v>
      </c>
      <c r="D178" s="796"/>
      <c r="E178" s="796"/>
      <c r="F178" s="761">
        <v>3978</v>
      </c>
      <c r="G178" s="761" t="s">
        <v>1480</v>
      </c>
      <c r="H178" s="799">
        <v>0</v>
      </c>
      <c r="I178" s="799">
        <v>1334</v>
      </c>
      <c r="J178" s="799">
        <v>4736</v>
      </c>
      <c r="K178" s="799">
        <v>0</v>
      </c>
      <c r="L178" s="799">
        <v>0</v>
      </c>
      <c r="M178" s="799">
        <v>147011</v>
      </c>
      <c r="N178" s="799">
        <v>0</v>
      </c>
      <c r="O178" s="799">
        <v>22429</v>
      </c>
      <c r="P178" s="799">
        <v>47278</v>
      </c>
      <c r="Q178" s="799">
        <v>0</v>
      </c>
      <c r="R178" s="799">
        <v>7063</v>
      </c>
      <c r="S178" s="799">
        <v>28240</v>
      </c>
    </row>
    <row r="179" spans="1:19" x14ac:dyDescent="0.2">
      <c r="A179" s="761">
        <v>2014</v>
      </c>
      <c r="B179" s="761">
        <v>5</v>
      </c>
      <c r="C179" s="796" t="s">
        <v>252</v>
      </c>
      <c r="D179" s="796"/>
      <c r="E179" s="796"/>
      <c r="F179" s="761">
        <v>4023</v>
      </c>
      <c r="G179" s="761" t="s">
        <v>1170</v>
      </c>
      <c r="H179" s="799">
        <v>0</v>
      </c>
      <c r="I179" s="799">
        <v>0</v>
      </c>
      <c r="J179" s="799">
        <v>0</v>
      </c>
      <c r="K179" s="799">
        <v>0</v>
      </c>
      <c r="L179" s="799">
        <v>0</v>
      </c>
      <c r="M179" s="799">
        <v>0</v>
      </c>
      <c r="N179" s="799">
        <v>32379</v>
      </c>
      <c r="O179" s="799">
        <v>26028</v>
      </c>
      <c r="P179" s="799">
        <v>22186</v>
      </c>
      <c r="Q179" s="799">
        <v>0</v>
      </c>
      <c r="R179" s="799">
        <v>7345</v>
      </c>
      <c r="S179" s="799">
        <v>27082</v>
      </c>
    </row>
    <row r="180" spans="1:19" x14ac:dyDescent="0.2">
      <c r="A180" s="761">
        <v>2014</v>
      </c>
      <c r="B180" s="761">
        <v>12</v>
      </c>
      <c r="C180" s="796" t="s">
        <v>253</v>
      </c>
      <c r="D180" s="796"/>
      <c r="E180" s="796"/>
      <c r="F180" s="761">
        <v>4033</v>
      </c>
      <c r="G180" s="761" t="s">
        <v>1494</v>
      </c>
      <c r="H180" s="799">
        <v>0</v>
      </c>
      <c r="I180" s="799">
        <v>0</v>
      </c>
      <c r="J180" s="799">
        <v>0</v>
      </c>
      <c r="K180" s="799">
        <v>0</v>
      </c>
      <c r="L180" s="799">
        <v>0</v>
      </c>
      <c r="M180" s="799">
        <v>309547</v>
      </c>
      <c r="N180" s="799">
        <v>0</v>
      </c>
      <c r="O180" s="799">
        <v>14229</v>
      </c>
      <c r="P180" s="799">
        <v>68328</v>
      </c>
      <c r="Q180" s="799">
        <v>0</v>
      </c>
      <c r="R180" s="799">
        <v>7579</v>
      </c>
      <c r="S180" s="799">
        <v>18258</v>
      </c>
    </row>
    <row r="181" spans="1:19" x14ac:dyDescent="0.2">
      <c r="A181" s="761">
        <v>2014</v>
      </c>
      <c r="B181" s="761">
        <v>9</v>
      </c>
      <c r="C181" s="796" t="s">
        <v>254</v>
      </c>
      <c r="D181" s="796"/>
      <c r="E181" s="796"/>
      <c r="F181" s="761">
        <v>4041</v>
      </c>
      <c r="G181" s="761" t="s">
        <v>1171</v>
      </c>
      <c r="H181" s="799">
        <v>15189</v>
      </c>
      <c r="I181" s="799">
        <v>0</v>
      </c>
      <c r="J181" s="799">
        <v>33271</v>
      </c>
      <c r="K181" s="799">
        <v>2226</v>
      </c>
      <c r="L181" s="799">
        <v>158528</v>
      </c>
      <c r="M181" s="799">
        <v>52831</v>
      </c>
      <c r="N181" s="799">
        <v>903</v>
      </c>
      <c r="O181" s="799">
        <v>45445</v>
      </c>
      <c r="P181" s="799">
        <v>48197</v>
      </c>
      <c r="Q181" s="799">
        <v>0</v>
      </c>
      <c r="R181" s="799">
        <v>7345</v>
      </c>
      <c r="S181" s="799">
        <v>25705</v>
      </c>
    </row>
    <row r="182" spans="1:19" x14ac:dyDescent="0.2">
      <c r="A182" s="761">
        <v>2014</v>
      </c>
      <c r="B182" s="761">
        <v>1</v>
      </c>
      <c r="C182" s="796" t="s">
        <v>255</v>
      </c>
      <c r="D182" s="796"/>
      <c r="E182" s="796"/>
      <c r="F182" s="761">
        <v>4043</v>
      </c>
      <c r="G182" s="761" t="s">
        <v>1172</v>
      </c>
      <c r="H182" s="799">
        <v>20322</v>
      </c>
      <c r="I182" s="799">
        <v>10997</v>
      </c>
      <c r="J182" s="799">
        <v>0</v>
      </c>
      <c r="K182" s="799">
        <v>1295</v>
      </c>
      <c r="L182" s="799">
        <v>49207</v>
      </c>
      <c r="M182" s="799">
        <v>110575</v>
      </c>
      <c r="N182" s="799">
        <v>102253</v>
      </c>
      <c r="O182" s="799">
        <v>11864</v>
      </c>
      <c r="P182" s="799">
        <v>15133</v>
      </c>
      <c r="Q182" s="799">
        <v>0</v>
      </c>
      <c r="R182" s="799">
        <v>4873</v>
      </c>
      <c r="S182" s="799">
        <v>7970</v>
      </c>
    </row>
    <row r="183" spans="1:19" x14ac:dyDescent="0.2">
      <c r="A183" s="761">
        <v>2014</v>
      </c>
      <c r="B183" s="761">
        <v>12</v>
      </c>
      <c r="C183" s="796" t="s">
        <v>256</v>
      </c>
      <c r="D183" s="796"/>
      <c r="E183" s="796"/>
      <c r="F183" s="761">
        <v>4068</v>
      </c>
      <c r="G183" s="761" t="s">
        <v>1173</v>
      </c>
      <c r="H183" s="799">
        <v>66528</v>
      </c>
      <c r="I183" s="799">
        <v>0</v>
      </c>
      <c r="J183" s="799">
        <v>20065</v>
      </c>
      <c r="K183" s="799">
        <v>21197</v>
      </c>
      <c r="L183" s="799">
        <v>0</v>
      </c>
      <c r="M183" s="799">
        <v>0</v>
      </c>
      <c r="N183" s="799">
        <v>24583</v>
      </c>
      <c r="O183" s="799">
        <v>45627</v>
      </c>
      <c r="P183" s="799">
        <v>22941</v>
      </c>
      <c r="Q183" s="799">
        <v>0</v>
      </c>
      <c r="R183" s="799">
        <v>6675</v>
      </c>
      <c r="S183" s="799">
        <v>15558</v>
      </c>
    </row>
    <row r="184" spans="1:19" x14ac:dyDescent="0.2">
      <c r="A184" s="761">
        <v>2014</v>
      </c>
      <c r="B184" s="761">
        <v>10</v>
      </c>
      <c r="C184" s="796" t="s">
        <v>257</v>
      </c>
      <c r="D184" s="796"/>
      <c r="E184" s="796"/>
      <c r="F184" s="761">
        <v>4086</v>
      </c>
      <c r="G184" s="761" t="s">
        <v>1174</v>
      </c>
      <c r="H184" s="799">
        <v>1091058</v>
      </c>
      <c r="I184" s="799">
        <v>0</v>
      </c>
      <c r="J184" s="799">
        <v>3402</v>
      </c>
      <c r="K184" s="799">
        <v>49220</v>
      </c>
      <c r="L184" s="799">
        <v>0</v>
      </c>
      <c r="M184" s="799">
        <v>88093</v>
      </c>
      <c r="N184" s="799">
        <v>108945</v>
      </c>
      <c r="O184" s="799">
        <v>64164</v>
      </c>
      <c r="P184" s="799">
        <v>81812</v>
      </c>
      <c r="Q184" s="799">
        <v>0</v>
      </c>
      <c r="R184" s="799">
        <v>3841</v>
      </c>
      <c r="S184" s="799">
        <v>30715</v>
      </c>
    </row>
    <row r="185" spans="1:19" x14ac:dyDescent="0.2">
      <c r="A185" s="761">
        <v>2014</v>
      </c>
      <c r="B185" s="761">
        <v>7</v>
      </c>
      <c r="C185" s="796" t="s">
        <v>258</v>
      </c>
      <c r="D185" s="796"/>
      <c r="E185" s="796"/>
      <c r="F185" s="761">
        <v>4104</v>
      </c>
      <c r="G185" s="761" t="s">
        <v>1175</v>
      </c>
      <c r="H185" s="799">
        <v>0</v>
      </c>
      <c r="I185" s="799">
        <v>0</v>
      </c>
      <c r="J185" s="799">
        <v>0</v>
      </c>
      <c r="K185" s="799">
        <v>0</v>
      </c>
      <c r="L185" s="799">
        <v>0</v>
      </c>
      <c r="M185" s="799">
        <v>424299</v>
      </c>
      <c r="N185" s="799">
        <v>77623</v>
      </c>
      <c r="O185" s="799">
        <v>65868</v>
      </c>
      <c r="P185" s="799">
        <v>510955</v>
      </c>
      <c r="Q185" s="799">
        <v>0</v>
      </c>
      <c r="R185" s="799">
        <v>21294</v>
      </c>
      <c r="S185" s="799">
        <v>168321</v>
      </c>
    </row>
    <row r="186" spans="1:19" x14ac:dyDescent="0.2">
      <c r="A186" s="761">
        <v>2014</v>
      </c>
      <c r="B186" s="761">
        <v>11</v>
      </c>
      <c r="C186" s="796" t="s">
        <v>259</v>
      </c>
      <c r="D186" s="796"/>
      <c r="E186" s="796"/>
      <c r="F186" s="761">
        <v>4122</v>
      </c>
      <c r="G186" s="761" t="s">
        <v>1176</v>
      </c>
      <c r="H186" s="799">
        <v>0</v>
      </c>
      <c r="I186" s="799">
        <v>0</v>
      </c>
      <c r="J186" s="799">
        <v>42297</v>
      </c>
      <c r="K186" s="799">
        <v>0</v>
      </c>
      <c r="L186" s="799">
        <v>754</v>
      </c>
      <c r="M186" s="799">
        <v>0</v>
      </c>
      <c r="N186" s="799">
        <v>26620</v>
      </c>
      <c r="O186" s="799">
        <v>44370</v>
      </c>
      <c r="P186" s="799">
        <v>4252</v>
      </c>
      <c r="Q186" s="799">
        <v>9736</v>
      </c>
      <c r="R186" s="799">
        <v>6195</v>
      </c>
      <c r="S186" s="799">
        <v>25126</v>
      </c>
    </row>
    <row r="187" spans="1:19" x14ac:dyDescent="0.2">
      <c r="A187" s="761">
        <v>2014</v>
      </c>
      <c r="B187" s="761">
        <v>7</v>
      </c>
      <c r="C187" s="796" t="s">
        <v>260</v>
      </c>
      <c r="D187" s="796"/>
      <c r="E187" s="796"/>
      <c r="F187" s="761">
        <v>4131</v>
      </c>
      <c r="G187" s="761" t="s">
        <v>1177</v>
      </c>
      <c r="H187" s="799">
        <v>0</v>
      </c>
      <c r="I187" s="799">
        <v>42076</v>
      </c>
      <c r="J187" s="799">
        <v>0</v>
      </c>
      <c r="K187" s="799">
        <v>0</v>
      </c>
      <c r="L187" s="799">
        <v>0</v>
      </c>
      <c r="M187" s="799">
        <v>212842</v>
      </c>
      <c r="N187" s="799">
        <v>0</v>
      </c>
      <c r="O187" s="799">
        <v>23334</v>
      </c>
      <c r="P187" s="799">
        <v>0</v>
      </c>
      <c r="Q187" s="799">
        <v>0</v>
      </c>
      <c r="R187" s="799">
        <v>14721</v>
      </c>
      <c r="S187" s="799">
        <v>94143</v>
      </c>
    </row>
    <row r="188" spans="1:19" x14ac:dyDescent="0.2">
      <c r="A188" s="761">
        <v>2014</v>
      </c>
      <c r="B188" s="761">
        <v>12</v>
      </c>
      <c r="C188" s="796" t="s">
        <v>261</v>
      </c>
      <c r="D188" s="796"/>
      <c r="E188" s="796"/>
      <c r="F188" s="761">
        <v>4149</v>
      </c>
      <c r="G188" s="761" t="s">
        <v>641</v>
      </c>
      <c r="H188" s="799">
        <v>0</v>
      </c>
      <c r="I188" s="799">
        <v>29596</v>
      </c>
      <c r="J188" s="799">
        <v>0</v>
      </c>
      <c r="K188" s="799">
        <v>0</v>
      </c>
      <c r="L188" s="799">
        <v>26146</v>
      </c>
      <c r="M188" s="799">
        <v>146941</v>
      </c>
      <c r="N188" s="799">
        <v>0</v>
      </c>
      <c r="O188" s="799">
        <v>0</v>
      </c>
      <c r="P188" s="799">
        <v>38281</v>
      </c>
      <c r="Q188" s="799">
        <v>0</v>
      </c>
      <c r="R188" s="799">
        <v>6298</v>
      </c>
      <c r="S188" s="799">
        <v>20439</v>
      </c>
    </row>
    <row r="189" spans="1:19" x14ac:dyDescent="0.2">
      <c r="A189" s="761">
        <v>2014</v>
      </c>
      <c r="B189" s="761">
        <v>15</v>
      </c>
      <c r="C189" s="796" t="s">
        <v>262</v>
      </c>
      <c r="D189" s="796"/>
      <c r="E189" s="796"/>
      <c r="F189" s="761">
        <v>4203</v>
      </c>
      <c r="G189" s="761" t="s">
        <v>1178</v>
      </c>
      <c r="H189" s="799">
        <v>42423</v>
      </c>
      <c r="I189" s="799">
        <v>0</v>
      </c>
      <c r="J189" s="799">
        <v>67672</v>
      </c>
      <c r="K189" s="799">
        <v>0</v>
      </c>
      <c r="L189" s="799">
        <v>0</v>
      </c>
      <c r="M189" s="799">
        <v>0</v>
      </c>
      <c r="N189" s="799">
        <v>26937</v>
      </c>
      <c r="O189" s="799">
        <v>48197</v>
      </c>
      <c r="P189" s="799">
        <v>43632</v>
      </c>
      <c r="Q189" s="799">
        <v>0</v>
      </c>
      <c r="R189" s="799">
        <v>7798</v>
      </c>
      <c r="S189" s="799">
        <v>18470</v>
      </c>
    </row>
    <row r="190" spans="1:19" x14ac:dyDescent="0.2">
      <c r="A190" s="761">
        <v>2014</v>
      </c>
      <c r="B190" s="761">
        <v>11</v>
      </c>
      <c r="C190" s="796" t="s">
        <v>263</v>
      </c>
      <c r="D190" s="796"/>
      <c r="E190" s="796"/>
      <c r="F190" s="761">
        <v>4212</v>
      </c>
      <c r="G190" s="761" t="s">
        <v>1179</v>
      </c>
      <c r="H190" s="799">
        <v>0</v>
      </c>
      <c r="I190" s="799">
        <v>0</v>
      </c>
      <c r="J190" s="799">
        <v>110683</v>
      </c>
      <c r="K190" s="799">
        <v>14358</v>
      </c>
      <c r="L190" s="799">
        <v>0</v>
      </c>
      <c r="M190" s="799">
        <v>13335</v>
      </c>
      <c r="N190" s="799">
        <v>0</v>
      </c>
      <c r="O190" s="799">
        <v>13881</v>
      </c>
      <c r="P190" s="799">
        <v>17606</v>
      </c>
      <c r="Q190" s="799">
        <v>32721</v>
      </c>
      <c r="R190" s="799">
        <v>6050</v>
      </c>
      <c r="S190" s="799">
        <v>13537</v>
      </c>
    </row>
    <row r="191" spans="1:19" x14ac:dyDescent="0.2">
      <c r="A191" s="761">
        <v>2014</v>
      </c>
      <c r="B191" s="761">
        <v>10</v>
      </c>
      <c r="C191" s="796" t="s">
        <v>264</v>
      </c>
      <c r="D191" s="796"/>
      <c r="E191" s="796"/>
      <c r="F191" s="761">
        <v>4269</v>
      </c>
      <c r="G191" s="761" t="s">
        <v>642</v>
      </c>
      <c r="H191" s="799">
        <v>9135</v>
      </c>
      <c r="I191" s="799">
        <v>0</v>
      </c>
      <c r="J191" s="799">
        <v>0</v>
      </c>
      <c r="K191" s="799">
        <v>0</v>
      </c>
      <c r="L191" s="799">
        <v>0</v>
      </c>
      <c r="M191" s="799">
        <v>0</v>
      </c>
      <c r="N191" s="799">
        <v>0</v>
      </c>
      <c r="O191" s="799">
        <v>0</v>
      </c>
      <c r="P191" s="799">
        <v>0</v>
      </c>
      <c r="Q191" s="799">
        <v>0</v>
      </c>
      <c r="R191" s="799">
        <v>2081</v>
      </c>
      <c r="S191" s="799">
        <v>8630</v>
      </c>
    </row>
    <row r="192" spans="1:19" x14ac:dyDescent="0.2">
      <c r="A192" s="761">
        <v>2014</v>
      </c>
      <c r="B192" s="761">
        <v>10</v>
      </c>
      <c r="C192" s="796" t="s">
        <v>265</v>
      </c>
      <c r="D192" s="796"/>
      <c r="E192" s="796"/>
      <c r="F192" s="761">
        <v>4271</v>
      </c>
      <c r="G192" s="761" t="s">
        <v>1180</v>
      </c>
      <c r="H192" s="799">
        <v>28575</v>
      </c>
      <c r="I192" s="799">
        <v>0</v>
      </c>
      <c r="J192" s="799">
        <v>0</v>
      </c>
      <c r="K192" s="799">
        <v>41411</v>
      </c>
      <c r="L192" s="799">
        <v>39597</v>
      </c>
      <c r="M192" s="799">
        <v>64392</v>
      </c>
      <c r="N192" s="799">
        <v>0</v>
      </c>
      <c r="O192" s="799">
        <v>0</v>
      </c>
      <c r="P192" s="799">
        <v>12594</v>
      </c>
      <c r="Q192" s="799">
        <v>12599</v>
      </c>
      <c r="R192" s="799">
        <v>0</v>
      </c>
      <c r="S192" s="799">
        <v>103493</v>
      </c>
    </row>
    <row r="193" spans="1:19" x14ac:dyDescent="0.2">
      <c r="A193" s="761">
        <v>2014</v>
      </c>
      <c r="B193" s="761">
        <v>13</v>
      </c>
      <c r="C193" s="796" t="s">
        <v>266</v>
      </c>
      <c r="D193" s="796"/>
      <c r="E193" s="796"/>
      <c r="F193" s="761">
        <v>4356</v>
      </c>
      <c r="G193" s="761" t="s">
        <v>1181</v>
      </c>
      <c r="H193" s="799">
        <v>0</v>
      </c>
      <c r="I193" s="799">
        <v>0</v>
      </c>
      <c r="J193" s="799">
        <v>75583</v>
      </c>
      <c r="K193" s="799">
        <v>0</v>
      </c>
      <c r="L193" s="799">
        <v>77314</v>
      </c>
      <c r="M193" s="799">
        <v>0</v>
      </c>
      <c r="N193" s="799">
        <v>64031</v>
      </c>
      <c r="O193" s="799">
        <v>1507</v>
      </c>
      <c r="P193" s="799">
        <v>4545</v>
      </c>
      <c r="Q193" s="799">
        <v>0</v>
      </c>
      <c r="R193" s="799">
        <v>8254</v>
      </c>
      <c r="S193" s="799">
        <v>36326</v>
      </c>
    </row>
    <row r="194" spans="1:19" x14ac:dyDescent="0.2">
      <c r="A194" s="761">
        <v>2014</v>
      </c>
      <c r="B194" s="761">
        <v>1</v>
      </c>
      <c r="C194" s="796" t="s">
        <v>267</v>
      </c>
      <c r="D194" s="796"/>
      <c r="E194" s="796"/>
      <c r="F194" s="761">
        <v>4419</v>
      </c>
      <c r="G194" s="761" t="s">
        <v>643</v>
      </c>
      <c r="H194" s="799">
        <v>0</v>
      </c>
      <c r="I194" s="799">
        <v>0</v>
      </c>
      <c r="J194" s="799">
        <v>0</v>
      </c>
      <c r="K194" s="799">
        <v>22370</v>
      </c>
      <c r="L194" s="799">
        <v>0</v>
      </c>
      <c r="M194" s="799">
        <v>23912</v>
      </c>
      <c r="N194" s="799">
        <v>86386</v>
      </c>
      <c r="O194" s="799">
        <v>104752</v>
      </c>
      <c r="P194" s="799">
        <v>9346</v>
      </c>
      <c r="Q194" s="799">
        <v>0</v>
      </c>
      <c r="R194" s="799">
        <v>962</v>
      </c>
      <c r="S194" s="799">
        <v>21725</v>
      </c>
    </row>
    <row r="195" spans="1:19" x14ac:dyDescent="0.2">
      <c r="A195" s="761">
        <v>2014</v>
      </c>
      <c r="B195" s="761">
        <v>7</v>
      </c>
      <c r="C195" s="796" t="s">
        <v>268</v>
      </c>
      <c r="D195" s="796"/>
      <c r="E195" s="796"/>
      <c r="F195" s="761">
        <v>4437</v>
      </c>
      <c r="G195" s="761" t="s">
        <v>1182</v>
      </c>
      <c r="H195" s="799">
        <v>0</v>
      </c>
      <c r="I195" s="799">
        <v>0</v>
      </c>
      <c r="J195" s="799">
        <v>22342</v>
      </c>
      <c r="K195" s="799">
        <v>102</v>
      </c>
      <c r="L195" s="799">
        <v>0</v>
      </c>
      <c r="M195" s="799">
        <v>27273</v>
      </c>
      <c r="N195" s="799">
        <v>0</v>
      </c>
      <c r="O195" s="799">
        <v>0</v>
      </c>
      <c r="P195" s="799">
        <v>0</v>
      </c>
      <c r="Q195" s="799">
        <v>0</v>
      </c>
      <c r="R195" s="799">
        <v>0</v>
      </c>
      <c r="S195" s="799">
        <v>19000</v>
      </c>
    </row>
    <row r="196" spans="1:19" x14ac:dyDescent="0.2">
      <c r="A196" s="761">
        <v>2014</v>
      </c>
      <c r="B196" s="761">
        <v>10</v>
      </c>
      <c r="C196" s="796" t="s">
        <v>269</v>
      </c>
      <c r="D196" s="796"/>
      <c r="E196" s="796"/>
      <c r="F196" s="761">
        <v>4446</v>
      </c>
      <c r="G196" s="761" t="s">
        <v>1183</v>
      </c>
      <c r="H196" s="799">
        <v>0</v>
      </c>
      <c r="I196" s="799">
        <v>19256</v>
      </c>
      <c r="J196" s="799">
        <v>0</v>
      </c>
      <c r="K196" s="799">
        <v>3086</v>
      </c>
      <c r="L196" s="799">
        <v>0</v>
      </c>
      <c r="M196" s="799">
        <v>57379</v>
      </c>
      <c r="N196" s="799">
        <v>56730</v>
      </c>
      <c r="O196" s="799">
        <v>24995</v>
      </c>
      <c r="P196" s="799">
        <v>0</v>
      </c>
      <c r="Q196" s="799">
        <v>0</v>
      </c>
      <c r="R196" s="799">
        <v>8768</v>
      </c>
      <c r="S196" s="799">
        <v>20241</v>
      </c>
    </row>
    <row r="197" spans="1:19" x14ac:dyDescent="0.2">
      <c r="A197" s="761">
        <v>2014</v>
      </c>
      <c r="B197" s="761">
        <v>15</v>
      </c>
      <c r="C197" s="796" t="s">
        <v>270</v>
      </c>
      <c r="D197" s="796"/>
      <c r="E197" s="796"/>
      <c r="F197" s="761">
        <v>4491</v>
      </c>
      <c r="G197" s="761" t="s">
        <v>1184</v>
      </c>
      <c r="H197" s="799">
        <v>0</v>
      </c>
      <c r="I197" s="799">
        <v>0</v>
      </c>
      <c r="J197" s="799">
        <v>0</v>
      </c>
      <c r="K197" s="799">
        <v>0</v>
      </c>
      <c r="L197" s="799">
        <v>0</v>
      </c>
      <c r="M197" s="799">
        <v>0</v>
      </c>
      <c r="N197" s="799">
        <v>8082</v>
      </c>
      <c r="O197" s="799">
        <v>20489</v>
      </c>
      <c r="P197" s="799">
        <v>5190</v>
      </c>
      <c r="Q197" s="799">
        <v>0</v>
      </c>
      <c r="R197" s="799">
        <v>4337</v>
      </c>
      <c r="S197" s="799">
        <v>17131</v>
      </c>
    </row>
    <row r="198" spans="1:19" x14ac:dyDescent="0.2">
      <c r="A198" s="761">
        <v>2014</v>
      </c>
      <c r="B198" s="761">
        <v>13</v>
      </c>
      <c r="C198" s="796" t="s">
        <v>271</v>
      </c>
      <c r="D198" s="796"/>
      <c r="E198" s="796"/>
      <c r="F198" s="761">
        <v>4505</v>
      </c>
      <c r="G198" s="761" t="s">
        <v>1185</v>
      </c>
      <c r="H198" s="799">
        <v>59</v>
      </c>
      <c r="I198" s="799">
        <v>0</v>
      </c>
      <c r="J198" s="799">
        <v>0</v>
      </c>
      <c r="K198" s="799">
        <v>1024</v>
      </c>
      <c r="L198" s="799">
        <v>0</v>
      </c>
      <c r="M198" s="799">
        <v>21148</v>
      </c>
      <c r="N198" s="799">
        <v>49001</v>
      </c>
      <c r="O198" s="799">
        <v>7555</v>
      </c>
      <c r="P198" s="799">
        <v>972</v>
      </c>
      <c r="Q198" s="799">
        <v>0</v>
      </c>
      <c r="R198" s="799">
        <v>5887</v>
      </c>
      <c r="S198" s="799">
        <v>12021</v>
      </c>
    </row>
    <row r="199" spans="1:19" x14ac:dyDescent="0.2">
      <c r="A199" s="761">
        <v>2014</v>
      </c>
      <c r="B199" s="761">
        <v>15</v>
      </c>
      <c r="C199" s="796" t="s">
        <v>272</v>
      </c>
      <c r="D199" s="796"/>
      <c r="E199" s="796"/>
      <c r="F199" s="761">
        <v>4509</v>
      </c>
      <c r="G199" s="761" t="s">
        <v>1186</v>
      </c>
      <c r="H199" s="799">
        <v>0</v>
      </c>
      <c r="I199" s="799">
        <v>0</v>
      </c>
      <c r="J199" s="799">
        <v>0</v>
      </c>
      <c r="K199" s="799">
        <v>0</v>
      </c>
      <c r="L199" s="799">
        <v>0</v>
      </c>
      <c r="M199" s="799">
        <v>0</v>
      </c>
      <c r="N199" s="799">
        <v>0</v>
      </c>
      <c r="O199" s="799">
        <v>0</v>
      </c>
      <c r="P199" s="799">
        <v>0</v>
      </c>
      <c r="Q199" s="799">
        <v>0</v>
      </c>
      <c r="R199" s="799">
        <v>5817</v>
      </c>
      <c r="S199" s="799">
        <v>0</v>
      </c>
    </row>
    <row r="200" spans="1:19" x14ac:dyDescent="0.2">
      <c r="A200" s="761">
        <v>2014</v>
      </c>
      <c r="B200" s="761">
        <v>15</v>
      </c>
      <c r="C200" s="796" t="s">
        <v>273</v>
      </c>
      <c r="D200" s="796"/>
      <c r="E200" s="796"/>
      <c r="F200" s="761">
        <v>4518</v>
      </c>
      <c r="G200" s="761" t="s">
        <v>1187</v>
      </c>
      <c r="H200" s="799">
        <v>108</v>
      </c>
      <c r="I200" s="799">
        <v>0</v>
      </c>
      <c r="J200" s="799">
        <v>87352</v>
      </c>
      <c r="K200" s="799">
        <v>7332</v>
      </c>
      <c r="L200" s="799">
        <v>11802</v>
      </c>
      <c r="M200" s="799">
        <v>75512</v>
      </c>
      <c r="N200" s="799">
        <v>40037</v>
      </c>
      <c r="O200" s="799">
        <v>11265</v>
      </c>
      <c r="P200" s="799">
        <v>20901</v>
      </c>
      <c r="Q200" s="799">
        <v>0</v>
      </c>
      <c r="R200" s="799">
        <v>5831</v>
      </c>
      <c r="S200" s="799">
        <v>17508</v>
      </c>
    </row>
    <row r="201" spans="1:19" x14ac:dyDescent="0.2">
      <c r="A201" s="761">
        <v>2014</v>
      </c>
      <c r="B201" s="761">
        <v>13</v>
      </c>
      <c r="C201" s="796" t="s">
        <v>274</v>
      </c>
      <c r="D201" s="796"/>
      <c r="E201" s="796"/>
      <c r="F201" s="761">
        <v>4527</v>
      </c>
      <c r="G201" s="761" t="s">
        <v>1189</v>
      </c>
      <c r="H201" s="799">
        <v>0</v>
      </c>
      <c r="I201" s="799">
        <v>0</v>
      </c>
      <c r="J201" s="799">
        <v>0</v>
      </c>
      <c r="K201" s="799">
        <v>0</v>
      </c>
      <c r="L201" s="799">
        <v>0</v>
      </c>
      <c r="M201" s="799">
        <v>134060</v>
      </c>
      <c r="N201" s="799">
        <v>0</v>
      </c>
      <c r="O201" s="799">
        <v>28308</v>
      </c>
      <c r="P201" s="799">
        <v>33697</v>
      </c>
      <c r="Q201" s="799">
        <v>0</v>
      </c>
      <c r="R201" s="799">
        <v>7289</v>
      </c>
      <c r="S201" s="799">
        <v>22562</v>
      </c>
    </row>
    <row r="202" spans="1:19" x14ac:dyDescent="0.2">
      <c r="A202" s="761">
        <v>2014</v>
      </c>
      <c r="B202" s="761">
        <v>15</v>
      </c>
      <c r="C202" s="796" t="s">
        <v>275</v>
      </c>
      <c r="D202" s="796"/>
      <c r="E202" s="796"/>
      <c r="F202" s="761">
        <v>4536</v>
      </c>
      <c r="G202" s="761" t="s">
        <v>1190</v>
      </c>
      <c r="H202" s="799">
        <v>73352</v>
      </c>
      <c r="I202" s="799">
        <v>0</v>
      </c>
      <c r="J202" s="799">
        <v>0</v>
      </c>
      <c r="K202" s="799">
        <v>3161</v>
      </c>
      <c r="L202" s="799">
        <v>0</v>
      </c>
      <c r="M202" s="799">
        <v>0</v>
      </c>
      <c r="N202" s="799">
        <v>115150</v>
      </c>
      <c r="O202" s="799">
        <v>30889</v>
      </c>
      <c r="P202" s="799">
        <v>29054</v>
      </c>
      <c r="Q202" s="799">
        <v>0</v>
      </c>
      <c r="R202" s="799">
        <v>2643</v>
      </c>
      <c r="S202" s="799">
        <v>41958</v>
      </c>
    </row>
    <row r="203" spans="1:19" x14ac:dyDescent="0.2">
      <c r="A203" s="761">
        <v>2014</v>
      </c>
      <c r="B203" s="761">
        <v>10</v>
      </c>
      <c r="C203" s="796" t="s">
        <v>276</v>
      </c>
      <c r="D203" s="796"/>
      <c r="E203" s="796"/>
      <c r="F203" s="761">
        <v>4554</v>
      </c>
      <c r="G203" s="761" t="s">
        <v>1191</v>
      </c>
      <c r="H203" s="799">
        <v>0</v>
      </c>
      <c r="I203" s="799">
        <v>0</v>
      </c>
      <c r="J203" s="799">
        <v>0</v>
      </c>
      <c r="K203" s="799">
        <v>0</v>
      </c>
      <c r="L203" s="799">
        <v>0</v>
      </c>
      <c r="M203" s="799">
        <v>0</v>
      </c>
      <c r="N203" s="799">
        <v>0</v>
      </c>
      <c r="O203" s="799">
        <v>14077</v>
      </c>
      <c r="P203" s="799">
        <v>0</v>
      </c>
      <c r="Q203" s="799">
        <v>0</v>
      </c>
      <c r="R203" s="799">
        <v>5552</v>
      </c>
      <c r="S203" s="799">
        <v>20124</v>
      </c>
    </row>
    <row r="204" spans="1:19" x14ac:dyDescent="0.2">
      <c r="A204" s="761">
        <v>2014</v>
      </c>
      <c r="B204" s="761">
        <v>13</v>
      </c>
      <c r="C204" s="796" t="s">
        <v>277</v>
      </c>
      <c r="D204" s="796"/>
      <c r="E204" s="796"/>
      <c r="F204" s="761">
        <v>4572</v>
      </c>
      <c r="G204" s="761" t="s">
        <v>1192</v>
      </c>
      <c r="H204" s="799">
        <v>0</v>
      </c>
      <c r="I204" s="799">
        <v>0</v>
      </c>
      <c r="J204" s="799">
        <v>28429</v>
      </c>
      <c r="K204" s="799">
        <v>391</v>
      </c>
      <c r="L204" s="799">
        <v>20034</v>
      </c>
      <c r="M204" s="799">
        <v>41719</v>
      </c>
      <c r="N204" s="799">
        <v>2304</v>
      </c>
      <c r="O204" s="799">
        <v>28834</v>
      </c>
      <c r="P204" s="799">
        <v>12999</v>
      </c>
      <c r="Q204" s="799">
        <v>0</v>
      </c>
      <c r="R204" s="799">
        <v>1045</v>
      </c>
      <c r="S204" s="799">
        <v>21840</v>
      </c>
    </row>
    <row r="205" spans="1:19" x14ac:dyDescent="0.2">
      <c r="A205" s="761">
        <v>2014</v>
      </c>
      <c r="B205" s="761">
        <v>9</v>
      </c>
      <c r="C205" s="796" t="s">
        <v>278</v>
      </c>
      <c r="D205" s="796"/>
      <c r="E205" s="796"/>
      <c r="F205" s="761">
        <v>4581</v>
      </c>
      <c r="G205" s="761" t="s">
        <v>1193</v>
      </c>
      <c r="H205" s="799">
        <v>50843</v>
      </c>
      <c r="I205" s="799">
        <v>0</v>
      </c>
      <c r="J205" s="799">
        <v>377725</v>
      </c>
      <c r="K205" s="799">
        <v>202033</v>
      </c>
      <c r="L205" s="799">
        <v>0</v>
      </c>
      <c r="M205" s="799">
        <v>191655</v>
      </c>
      <c r="N205" s="799">
        <v>222902</v>
      </c>
      <c r="O205" s="799">
        <v>35792</v>
      </c>
      <c r="P205" s="799">
        <v>6</v>
      </c>
      <c r="Q205" s="799">
        <v>5537</v>
      </c>
      <c r="R205" s="799">
        <v>0</v>
      </c>
      <c r="S205" s="799">
        <v>59354</v>
      </c>
    </row>
    <row r="206" spans="1:19" x14ac:dyDescent="0.2">
      <c r="A206" s="761">
        <v>2014</v>
      </c>
      <c r="B206" s="761">
        <v>7</v>
      </c>
      <c r="C206" s="796" t="s">
        <v>279</v>
      </c>
      <c r="D206" s="796"/>
      <c r="E206" s="796"/>
      <c r="F206" s="761">
        <v>4599</v>
      </c>
      <c r="G206" s="761" t="s">
        <v>644</v>
      </c>
      <c r="H206" s="799">
        <v>0</v>
      </c>
      <c r="I206" s="799">
        <v>932</v>
      </c>
      <c r="J206" s="799">
        <v>86282</v>
      </c>
      <c r="K206" s="799">
        <v>35175</v>
      </c>
      <c r="L206" s="799">
        <v>0</v>
      </c>
      <c r="M206" s="799">
        <v>128285</v>
      </c>
      <c r="N206" s="799">
        <v>0</v>
      </c>
      <c r="O206" s="799">
        <v>5484</v>
      </c>
      <c r="P206" s="799">
        <v>26030</v>
      </c>
      <c r="Q206" s="799">
        <v>0</v>
      </c>
      <c r="R206" s="799">
        <v>7420</v>
      </c>
      <c r="S206" s="799">
        <v>18466</v>
      </c>
    </row>
    <row r="207" spans="1:19" x14ac:dyDescent="0.2">
      <c r="A207" s="761">
        <v>2014</v>
      </c>
      <c r="B207" s="761">
        <v>11</v>
      </c>
      <c r="C207" s="796" t="s">
        <v>280</v>
      </c>
      <c r="D207" s="796"/>
      <c r="E207" s="796"/>
      <c r="F207" s="761">
        <v>4617</v>
      </c>
      <c r="G207" s="761" t="s">
        <v>1194</v>
      </c>
      <c r="H207" s="799">
        <v>72269</v>
      </c>
      <c r="I207" s="799">
        <v>203</v>
      </c>
      <c r="J207" s="799">
        <v>1589</v>
      </c>
      <c r="K207" s="799">
        <v>13554</v>
      </c>
      <c r="L207" s="799">
        <v>0</v>
      </c>
      <c r="M207" s="799">
        <v>232480</v>
      </c>
      <c r="N207" s="799">
        <v>0</v>
      </c>
      <c r="O207" s="799">
        <v>78602</v>
      </c>
      <c r="P207" s="799">
        <v>962</v>
      </c>
      <c r="Q207" s="799">
        <v>1884</v>
      </c>
      <c r="R207" s="799">
        <v>8419</v>
      </c>
      <c r="S207" s="799">
        <v>22856</v>
      </c>
    </row>
    <row r="208" spans="1:19" x14ac:dyDescent="0.2">
      <c r="A208" s="761">
        <v>2014</v>
      </c>
      <c r="B208" s="761">
        <v>5</v>
      </c>
      <c r="C208" s="796" t="s">
        <v>281</v>
      </c>
      <c r="D208" s="796"/>
      <c r="E208" s="796"/>
      <c r="F208" s="761">
        <v>4644</v>
      </c>
      <c r="G208" s="761" t="s">
        <v>645</v>
      </c>
      <c r="H208" s="799">
        <v>5401</v>
      </c>
      <c r="I208" s="799">
        <v>0</v>
      </c>
      <c r="J208" s="799">
        <v>0</v>
      </c>
      <c r="K208" s="799">
        <v>0</v>
      </c>
      <c r="L208" s="799">
        <v>30168</v>
      </c>
      <c r="M208" s="799">
        <v>227556</v>
      </c>
      <c r="N208" s="799">
        <v>21556</v>
      </c>
      <c r="O208" s="799">
        <v>25183</v>
      </c>
      <c r="P208" s="799">
        <v>40450</v>
      </c>
      <c r="Q208" s="799">
        <v>0</v>
      </c>
      <c r="R208" s="799">
        <v>6693</v>
      </c>
      <c r="S208" s="799">
        <v>14042</v>
      </c>
    </row>
    <row r="209" spans="1:19" x14ac:dyDescent="0.2">
      <c r="A209" s="761">
        <v>2014</v>
      </c>
      <c r="B209" s="761">
        <v>1</v>
      </c>
      <c r="C209" s="796" t="s">
        <v>282</v>
      </c>
      <c r="D209" s="796"/>
      <c r="E209" s="796"/>
      <c r="F209" s="761">
        <v>4662</v>
      </c>
      <c r="G209" s="761" t="s">
        <v>1195</v>
      </c>
      <c r="H209" s="799">
        <v>0</v>
      </c>
      <c r="I209" s="799">
        <v>0</v>
      </c>
      <c r="J209" s="799">
        <v>0</v>
      </c>
      <c r="K209" s="799">
        <v>68047</v>
      </c>
      <c r="L209" s="799">
        <v>0</v>
      </c>
      <c r="M209" s="799">
        <v>0</v>
      </c>
      <c r="N209" s="799">
        <v>0</v>
      </c>
      <c r="O209" s="799">
        <v>13407</v>
      </c>
      <c r="P209" s="799">
        <v>30728</v>
      </c>
      <c r="Q209" s="799">
        <v>0</v>
      </c>
      <c r="R209" s="799">
        <v>4759</v>
      </c>
      <c r="S209" s="799">
        <v>26499</v>
      </c>
    </row>
    <row r="210" spans="1:19" x14ac:dyDescent="0.2">
      <c r="A210" s="761">
        <v>2014</v>
      </c>
      <c r="B210" s="761">
        <v>15</v>
      </c>
      <c r="C210" s="796" t="s">
        <v>283</v>
      </c>
      <c r="D210" s="796"/>
      <c r="E210" s="796"/>
      <c r="F210" s="761">
        <v>4689</v>
      </c>
      <c r="G210" s="761" t="s">
        <v>1196</v>
      </c>
      <c r="H210" s="799">
        <v>4596</v>
      </c>
      <c r="I210" s="799">
        <v>0</v>
      </c>
      <c r="J210" s="799">
        <v>40951</v>
      </c>
      <c r="K210" s="799">
        <v>0</v>
      </c>
      <c r="L210" s="799">
        <v>0</v>
      </c>
      <c r="M210" s="799">
        <v>0</v>
      </c>
      <c r="N210" s="799">
        <v>8535</v>
      </c>
      <c r="O210" s="799">
        <v>0</v>
      </c>
      <c r="P210" s="799">
        <v>18051</v>
      </c>
      <c r="Q210" s="799">
        <v>0</v>
      </c>
      <c r="R210" s="799">
        <v>2008</v>
      </c>
      <c r="S210" s="799">
        <v>25776</v>
      </c>
    </row>
    <row r="211" spans="1:19" x14ac:dyDescent="0.2">
      <c r="A211" s="761">
        <v>2014</v>
      </c>
      <c r="B211" s="761">
        <v>11</v>
      </c>
      <c r="C211" s="796" t="s">
        <v>284</v>
      </c>
      <c r="D211" s="796"/>
      <c r="E211" s="796"/>
      <c r="F211" s="761">
        <v>4725</v>
      </c>
      <c r="G211" s="761" t="s">
        <v>1197</v>
      </c>
      <c r="H211" s="799">
        <v>54097</v>
      </c>
      <c r="I211" s="799">
        <v>0</v>
      </c>
      <c r="J211" s="799">
        <v>375582</v>
      </c>
      <c r="K211" s="799">
        <v>45875</v>
      </c>
      <c r="L211" s="799">
        <v>0</v>
      </c>
      <c r="M211" s="799">
        <v>124535</v>
      </c>
      <c r="N211" s="799">
        <v>121976</v>
      </c>
      <c r="O211" s="799">
        <v>56719</v>
      </c>
      <c r="P211" s="799">
        <v>47246</v>
      </c>
      <c r="Q211" s="799">
        <v>0</v>
      </c>
      <c r="R211" s="799">
        <v>16148</v>
      </c>
      <c r="S211" s="799">
        <v>183468</v>
      </c>
    </row>
    <row r="212" spans="1:19" x14ac:dyDescent="0.2">
      <c r="A212" s="761">
        <v>2014</v>
      </c>
      <c r="B212" s="761">
        <v>7</v>
      </c>
      <c r="C212" s="796" t="s">
        <v>285</v>
      </c>
      <c r="D212" s="796"/>
      <c r="E212" s="796"/>
      <c r="F212" s="761">
        <v>4772</v>
      </c>
      <c r="G212" s="761" t="s">
        <v>1479</v>
      </c>
      <c r="H212" s="799">
        <v>0</v>
      </c>
      <c r="I212" s="799">
        <v>0</v>
      </c>
      <c r="J212" s="799">
        <v>9441</v>
      </c>
      <c r="K212" s="799">
        <v>50845</v>
      </c>
      <c r="L212" s="799">
        <v>0</v>
      </c>
      <c r="M212" s="799">
        <v>0</v>
      </c>
      <c r="N212" s="799">
        <v>2188</v>
      </c>
      <c r="O212" s="799">
        <v>51559</v>
      </c>
      <c r="P212" s="799">
        <v>44945</v>
      </c>
      <c r="Q212" s="799">
        <v>0</v>
      </c>
      <c r="R212" s="799">
        <v>8210</v>
      </c>
      <c r="S212" s="799">
        <v>23468</v>
      </c>
    </row>
    <row r="213" spans="1:19" x14ac:dyDescent="0.2">
      <c r="A213" s="761">
        <v>2014</v>
      </c>
      <c r="B213" s="761">
        <v>9</v>
      </c>
      <c r="C213" s="796" t="s">
        <v>286</v>
      </c>
      <c r="D213" s="796"/>
      <c r="E213" s="796"/>
      <c r="F213" s="761">
        <v>4773</v>
      </c>
      <c r="G213" s="761" t="s">
        <v>1198</v>
      </c>
      <c r="H213" s="799">
        <v>0</v>
      </c>
      <c r="I213" s="799">
        <v>8592</v>
      </c>
      <c r="J213" s="799">
        <v>51884</v>
      </c>
      <c r="K213" s="799">
        <v>31712</v>
      </c>
      <c r="L213" s="799">
        <v>0</v>
      </c>
      <c r="M213" s="799">
        <v>0</v>
      </c>
      <c r="N213" s="799">
        <v>0</v>
      </c>
      <c r="O213" s="799">
        <v>0</v>
      </c>
      <c r="P213" s="799">
        <v>15168</v>
      </c>
      <c r="Q213" s="799">
        <v>0</v>
      </c>
      <c r="R213" s="799">
        <v>1380</v>
      </c>
      <c r="S213" s="799">
        <v>29533</v>
      </c>
    </row>
    <row r="214" spans="1:19" x14ac:dyDescent="0.2">
      <c r="A214" s="761">
        <v>2014</v>
      </c>
      <c r="B214" s="761">
        <v>1</v>
      </c>
      <c r="C214" s="796" t="s">
        <v>287</v>
      </c>
      <c r="D214" s="796"/>
      <c r="E214" s="796"/>
      <c r="F214" s="761">
        <v>4774</v>
      </c>
      <c r="G214" s="761" t="s">
        <v>1199</v>
      </c>
      <c r="H214" s="799">
        <v>3730</v>
      </c>
      <c r="I214" s="799">
        <v>0</v>
      </c>
      <c r="J214" s="799">
        <v>0</v>
      </c>
      <c r="K214" s="799">
        <v>133512</v>
      </c>
      <c r="L214" s="799">
        <v>0</v>
      </c>
      <c r="M214" s="799">
        <v>85800</v>
      </c>
      <c r="N214" s="799">
        <v>83868</v>
      </c>
      <c r="O214" s="799">
        <v>12197</v>
      </c>
      <c r="P214" s="799">
        <v>0</v>
      </c>
      <c r="Q214" s="799">
        <v>542</v>
      </c>
      <c r="R214" s="799">
        <v>7909</v>
      </c>
      <c r="S214" s="799">
        <v>16447</v>
      </c>
    </row>
    <row r="215" spans="1:19" x14ac:dyDescent="0.2">
      <c r="A215" s="761">
        <v>2014</v>
      </c>
      <c r="B215" s="761">
        <v>5</v>
      </c>
      <c r="C215" s="796" t="s">
        <v>288</v>
      </c>
      <c r="D215" s="796"/>
      <c r="E215" s="796"/>
      <c r="F215" s="761">
        <v>4775</v>
      </c>
      <c r="G215" s="761" t="s">
        <v>1200</v>
      </c>
      <c r="H215" s="799">
        <v>0</v>
      </c>
      <c r="I215" s="799">
        <v>0</v>
      </c>
      <c r="J215" s="799">
        <v>9234</v>
      </c>
      <c r="K215" s="799">
        <v>0</v>
      </c>
      <c r="L215" s="799">
        <v>0</v>
      </c>
      <c r="M215" s="799">
        <v>4799</v>
      </c>
      <c r="N215" s="799">
        <v>17429</v>
      </c>
      <c r="O215" s="799">
        <v>12032</v>
      </c>
      <c r="P215" s="799">
        <v>6680</v>
      </c>
      <c r="Q215" s="799">
        <v>0</v>
      </c>
      <c r="R215" s="799">
        <v>5853</v>
      </c>
      <c r="S215" s="799">
        <v>14975</v>
      </c>
    </row>
    <row r="216" spans="1:19" x14ac:dyDescent="0.2">
      <c r="A216" s="761">
        <v>2014</v>
      </c>
      <c r="B216" s="761">
        <v>15</v>
      </c>
      <c r="C216" s="796" t="s">
        <v>289</v>
      </c>
      <c r="D216" s="796"/>
      <c r="E216" s="796"/>
      <c r="F216" s="761">
        <v>4776</v>
      </c>
      <c r="G216" s="761" t="s">
        <v>1201</v>
      </c>
      <c r="H216" s="799">
        <v>14402</v>
      </c>
      <c r="I216" s="799">
        <v>0</v>
      </c>
      <c r="J216" s="799">
        <v>43190</v>
      </c>
      <c r="K216" s="799">
        <v>0</v>
      </c>
      <c r="L216" s="799">
        <v>0</v>
      </c>
      <c r="M216" s="799">
        <v>78865</v>
      </c>
      <c r="N216" s="799">
        <v>28358</v>
      </c>
      <c r="O216" s="799">
        <v>2115</v>
      </c>
      <c r="P216" s="799">
        <v>5565</v>
      </c>
      <c r="Q216" s="799">
        <v>0</v>
      </c>
      <c r="R216" s="799">
        <v>4369</v>
      </c>
      <c r="S216" s="799">
        <v>12093</v>
      </c>
    </row>
    <row r="217" spans="1:19" x14ac:dyDescent="0.2">
      <c r="A217" s="761">
        <v>2014</v>
      </c>
      <c r="B217" s="761">
        <v>10</v>
      </c>
      <c r="C217" s="796" t="s">
        <v>290</v>
      </c>
      <c r="D217" s="796"/>
      <c r="E217" s="796"/>
      <c r="F217" s="761">
        <v>4777</v>
      </c>
      <c r="G217" s="761" t="s">
        <v>1237</v>
      </c>
      <c r="H217" s="799">
        <v>2277</v>
      </c>
      <c r="I217" s="799">
        <v>2576</v>
      </c>
      <c r="J217" s="799">
        <v>88738</v>
      </c>
      <c r="K217" s="799">
        <v>0</v>
      </c>
      <c r="L217" s="799">
        <v>0</v>
      </c>
      <c r="M217" s="799">
        <v>83810</v>
      </c>
      <c r="N217" s="799">
        <v>56632</v>
      </c>
      <c r="O217" s="799">
        <v>0</v>
      </c>
      <c r="P217" s="799">
        <v>3934</v>
      </c>
      <c r="Q217" s="799">
        <v>0</v>
      </c>
      <c r="R217" s="799">
        <v>2870</v>
      </c>
      <c r="S217" s="799">
        <v>17005</v>
      </c>
    </row>
    <row r="218" spans="1:19" x14ac:dyDescent="0.2">
      <c r="A218" s="761">
        <v>2014</v>
      </c>
      <c r="B218" s="761">
        <v>5</v>
      </c>
      <c r="C218" s="796" t="s">
        <v>291</v>
      </c>
      <c r="D218" s="796"/>
      <c r="E218" s="796"/>
      <c r="F218" s="761">
        <v>4778</v>
      </c>
      <c r="G218" s="761" t="s">
        <v>1238</v>
      </c>
      <c r="H218" s="799">
        <v>0</v>
      </c>
      <c r="I218" s="799">
        <v>0</v>
      </c>
      <c r="J218" s="799">
        <v>94220</v>
      </c>
      <c r="K218" s="799">
        <v>21009</v>
      </c>
      <c r="L218" s="799">
        <v>0</v>
      </c>
      <c r="M218" s="799">
        <v>0</v>
      </c>
      <c r="N218" s="799">
        <v>26214</v>
      </c>
      <c r="O218" s="799">
        <v>5278</v>
      </c>
      <c r="P218" s="799">
        <v>11409</v>
      </c>
      <c r="Q218" s="799">
        <v>0</v>
      </c>
      <c r="R218" s="799">
        <v>6117</v>
      </c>
      <c r="S218" s="799">
        <v>11010</v>
      </c>
    </row>
    <row r="219" spans="1:19" x14ac:dyDescent="0.2">
      <c r="A219" s="761">
        <v>2014</v>
      </c>
      <c r="B219" s="761">
        <v>11</v>
      </c>
      <c r="C219" s="796" t="s">
        <v>292</v>
      </c>
      <c r="D219" s="796"/>
      <c r="E219" s="796"/>
      <c r="F219" s="761">
        <v>4779</v>
      </c>
      <c r="G219" s="761" t="s">
        <v>1239</v>
      </c>
      <c r="H219" s="799">
        <v>76316</v>
      </c>
      <c r="I219" s="799">
        <v>4760</v>
      </c>
      <c r="J219" s="799">
        <v>253973</v>
      </c>
      <c r="K219" s="799">
        <v>1716</v>
      </c>
      <c r="L219" s="799">
        <v>0</v>
      </c>
      <c r="M219" s="799">
        <v>183696</v>
      </c>
      <c r="N219" s="799">
        <v>212</v>
      </c>
      <c r="O219" s="799">
        <v>13119</v>
      </c>
      <c r="P219" s="799">
        <v>33814</v>
      </c>
      <c r="Q219" s="799">
        <v>13182</v>
      </c>
      <c r="R219" s="799">
        <v>4416</v>
      </c>
      <c r="S219" s="799">
        <v>26970</v>
      </c>
    </row>
    <row r="220" spans="1:19" x14ac:dyDescent="0.2">
      <c r="A220" s="761">
        <v>2014</v>
      </c>
      <c r="B220" s="761">
        <v>9</v>
      </c>
      <c r="C220" s="796" t="s">
        <v>293</v>
      </c>
      <c r="D220" s="796"/>
      <c r="E220" s="796"/>
      <c r="F220" s="761">
        <v>4784</v>
      </c>
      <c r="G220" s="761" t="s">
        <v>1243</v>
      </c>
      <c r="H220" s="799">
        <v>1800</v>
      </c>
      <c r="I220" s="799">
        <v>0</v>
      </c>
      <c r="J220" s="799">
        <v>37500</v>
      </c>
      <c r="K220" s="799">
        <v>105036</v>
      </c>
      <c r="L220" s="799">
        <v>0</v>
      </c>
      <c r="M220" s="799">
        <v>78957</v>
      </c>
      <c r="N220" s="799">
        <v>46388</v>
      </c>
      <c r="O220" s="799">
        <v>23605</v>
      </c>
      <c r="P220" s="799">
        <v>5690</v>
      </c>
      <c r="Q220" s="799">
        <v>0</v>
      </c>
      <c r="R220" s="799">
        <v>0</v>
      </c>
      <c r="S220" s="799">
        <v>37078</v>
      </c>
    </row>
    <row r="221" spans="1:19" x14ac:dyDescent="0.2">
      <c r="A221" s="761">
        <v>2014</v>
      </c>
      <c r="B221" s="761">
        <v>7</v>
      </c>
      <c r="C221" s="796" t="s">
        <v>294</v>
      </c>
      <c r="D221" s="796"/>
      <c r="E221" s="796"/>
      <c r="F221" s="761">
        <v>4785</v>
      </c>
      <c r="G221" s="761" t="s">
        <v>1244</v>
      </c>
      <c r="H221" s="799">
        <v>0</v>
      </c>
      <c r="I221" s="799">
        <v>0</v>
      </c>
      <c r="J221" s="799">
        <v>37913</v>
      </c>
      <c r="K221" s="799">
        <v>70768</v>
      </c>
      <c r="L221" s="799">
        <v>0</v>
      </c>
      <c r="M221" s="799">
        <v>0</v>
      </c>
      <c r="N221" s="799">
        <v>15654</v>
      </c>
      <c r="O221" s="799">
        <v>28029</v>
      </c>
      <c r="P221" s="799">
        <v>33353</v>
      </c>
      <c r="Q221" s="799">
        <v>0</v>
      </c>
      <c r="R221" s="799">
        <v>6941</v>
      </c>
      <c r="S221" s="799">
        <v>15825</v>
      </c>
    </row>
    <row r="222" spans="1:19" x14ac:dyDescent="0.2">
      <c r="A222" s="761">
        <v>2014</v>
      </c>
      <c r="B222" s="761">
        <v>1</v>
      </c>
      <c r="C222" s="796" t="s">
        <v>295</v>
      </c>
      <c r="D222" s="796"/>
      <c r="E222" s="796"/>
      <c r="F222" s="761">
        <v>4787</v>
      </c>
      <c r="G222" s="761" t="s">
        <v>1245</v>
      </c>
      <c r="H222" s="799">
        <v>0</v>
      </c>
      <c r="I222" s="799">
        <v>0</v>
      </c>
      <c r="J222" s="799">
        <v>0</v>
      </c>
      <c r="K222" s="799">
        <v>0</v>
      </c>
      <c r="L222" s="799">
        <v>0</v>
      </c>
      <c r="M222" s="799">
        <v>0</v>
      </c>
      <c r="N222" s="799">
        <v>0</v>
      </c>
      <c r="O222" s="799">
        <v>0</v>
      </c>
      <c r="P222" s="799">
        <v>0</v>
      </c>
      <c r="Q222" s="799">
        <v>0</v>
      </c>
      <c r="R222" s="799">
        <v>0</v>
      </c>
      <c r="S222" s="799">
        <v>12224</v>
      </c>
    </row>
    <row r="223" spans="1:19" x14ac:dyDescent="0.2">
      <c r="A223" s="761">
        <v>2014</v>
      </c>
      <c r="B223" s="761">
        <v>7</v>
      </c>
      <c r="C223" s="796" t="s">
        <v>296</v>
      </c>
      <c r="D223" s="796"/>
      <c r="E223" s="796"/>
      <c r="F223" s="761">
        <v>4788</v>
      </c>
      <c r="G223" s="761" t="s">
        <v>1246</v>
      </c>
      <c r="H223" s="799">
        <v>0</v>
      </c>
      <c r="I223" s="799">
        <v>0</v>
      </c>
      <c r="J223" s="799">
        <v>0</v>
      </c>
      <c r="K223" s="799">
        <v>0</v>
      </c>
      <c r="L223" s="799">
        <v>0</v>
      </c>
      <c r="M223" s="799">
        <v>0</v>
      </c>
      <c r="N223" s="799">
        <v>108916</v>
      </c>
      <c r="O223" s="799">
        <v>27163</v>
      </c>
      <c r="P223" s="799">
        <v>41775</v>
      </c>
      <c r="Q223" s="799">
        <v>0</v>
      </c>
      <c r="R223" s="799">
        <v>6204</v>
      </c>
      <c r="S223" s="799">
        <v>19140</v>
      </c>
    </row>
    <row r="224" spans="1:19" x14ac:dyDescent="0.2">
      <c r="A224" s="761">
        <v>2014</v>
      </c>
      <c r="B224" s="761">
        <v>11</v>
      </c>
      <c r="C224" s="796" t="s">
        <v>297</v>
      </c>
      <c r="D224" s="796"/>
      <c r="E224" s="796"/>
      <c r="F224" s="761">
        <v>4797</v>
      </c>
      <c r="G224" s="761" t="s">
        <v>1247</v>
      </c>
      <c r="H224" s="799">
        <v>3495</v>
      </c>
      <c r="I224" s="799">
        <v>0</v>
      </c>
      <c r="J224" s="799">
        <v>83200</v>
      </c>
      <c r="K224" s="799">
        <v>9619</v>
      </c>
      <c r="L224" s="799">
        <v>0</v>
      </c>
      <c r="M224" s="799">
        <v>218685</v>
      </c>
      <c r="N224" s="799">
        <v>0</v>
      </c>
      <c r="O224" s="799">
        <v>0</v>
      </c>
      <c r="P224" s="799">
        <v>20512</v>
      </c>
      <c r="Q224" s="799">
        <v>0</v>
      </c>
      <c r="R224" s="799">
        <v>0</v>
      </c>
      <c r="S224" s="799">
        <v>53539</v>
      </c>
    </row>
    <row r="225" spans="1:19" x14ac:dyDescent="0.2">
      <c r="A225" s="761">
        <v>2014</v>
      </c>
      <c r="B225" s="761">
        <v>13</v>
      </c>
      <c r="C225" s="796" t="s">
        <v>298</v>
      </c>
      <c r="D225" s="796"/>
      <c r="E225" s="796"/>
      <c r="F225" s="761">
        <v>5510</v>
      </c>
      <c r="G225" s="761" t="s">
        <v>1248</v>
      </c>
      <c r="H225" s="799">
        <v>0</v>
      </c>
      <c r="I225" s="799">
        <v>9916</v>
      </c>
      <c r="J225" s="799">
        <v>25241</v>
      </c>
      <c r="K225" s="799">
        <v>48787</v>
      </c>
      <c r="L225" s="799">
        <v>0</v>
      </c>
      <c r="M225" s="799">
        <v>0</v>
      </c>
      <c r="N225" s="799">
        <v>0</v>
      </c>
      <c r="O225" s="799">
        <v>1637</v>
      </c>
      <c r="P225" s="799">
        <v>21133</v>
      </c>
      <c r="Q225" s="799">
        <v>0</v>
      </c>
      <c r="R225" s="799">
        <v>7412</v>
      </c>
      <c r="S225" s="799">
        <v>15531</v>
      </c>
    </row>
    <row r="226" spans="1:19" x14ac:dyDescent="0.2">
      <c r="A226" s="761">
        <v>2014</v>
      </c>
      <c r="B226" s="761">
        <v>5</v>
      </c>
      <c r="C226" s="796" t="s">
        <v>299</v>
      </c>
      <c r="D226" s="796"/>
      <c r="E226" s="796"/>
      <c r="F226" s="761">
        <v>4860</v>
      </c>
      <c r="G226" s="761" t="s">
        <v>1249</v>
      </c>
      <c r="H226" s="799">
        <v>0</v>
      </c>
      <c r="I226" s="799">
        <v>0</v>
      </c>
      <c r="J226" s="799">
        <v>37952</v>
      </c>
      <c r="K226" s="799">
        <v>0</v>
      </c>
      <c r="L226" s="799">
        <v>12995</v>
      </c>
      <c r="M226" s="799">
        <v>0</v>
      </c>
      <c r="N226" s="799">
        <v>29734</v>
      </c>
      <c r="O226" s="799">
        <v>5004</v>
      </c>
      <c r="P226" s="799">
        <v>8686</v>
      </c>
      <c r="Q226" s="799">
        <v>0</v>
      </c>
      <c r="R226" s="799">
        <v>2723</v>
      </c>
      <c r="S226" s="799">
        <v>10756</v>
      </c>
    </row>
    <row r="227" spans="1:19" x14ac:dyDescent="0.2">
      <c r="A227" s="761">
        <v>2014</v>
      </c>
      <c r="B227" s="761">
        <v>1</v>
      </c>
      <c r="C227" s="796" t="s">
        <v>300</v>
      </c>
      <c r="D227" s="796"/>
      <c r="E227" s="796"/>
      <c r="F227" s="761">
        <v>4869</v>
      </c>
      <c r="G227" s="761" t="s">
        <v>1250</v>
      </c>
      <c r="H227" s="799">
        <v>0</v>
      </c>
      <c r="I227" s="799">
        <v>0</v>
      </c>
      <c r="J227" s="799">
        <v>208706</v>
      </c>
      <c r="K227" s="799">
        <v>34888</v>
      </c>
      <c r="L227" s="799">
        <v>0</v>
      </c>
      <c r="M227" s="799">
        <v>189303</v>
      </c>
      <c r="N227" s="799">
        <v>82253</v>
      </c>
      <c r="O227" s="799">
        <v>16</v>
      </c>
      <c r="P227" s="799">
        <v>21853</v>
      </c>
      <c r="Q227" s="799">
        <v>0</v>
      </c>
      <c r="R227" s="799">
        <v>0</v>
      </c>
      <c r="S227" s="799">
        <v>236729</v>
      </c>
    </row>
    <row r="228" spans="1:19" x14ac:dyDescent="0.2">
      <c r="A228" s="761">
        <v>2014</v>
      </c>
      <c r="B228" s="761">
        <v>11</v>
      </c>
      <c r="C228" s="796" t="s">
        <v>301</v>
      </c>
      <c r="D228" s="796"/>
      <c r="E228" s="796"/>
      <c r="F228" s="761">
        <v>4878</v>
      </c>
      <c r="G228" s="761" t="s">
        <v>1251</v>
      </c>
      <c r="H228" s="799">
        <v>63214</v>
      </c>
      <c r="I228" s="799">
        <v>33102</v>
      </c>
      <c r="J228" s="799">
        <v>139964</v>
      </c>
      <c r="K228" s="799">
        <v>122850</v>
      </c>
      <c r="L228" s="799">
        <v>0</v>
      </c>
      <c r="M228" s="799">
        <v>0</v>
      </c>
      <c r="N228" s="799">
        <v>15770</v>
      </c>
      <c r="O228" s="799">
        <v>53203</v>
      </c>
      <c r="P228" s="799">
        <v>51973</v>
      </c>
      <c r="Q228" s="799">
        <v>0</v>
      </c>
      <c r="R228" s="799">
        <v>4759</v>
      </c>
      <c r="S228" s="799">
        <v>16696</v>
      </c>
    </row>
    <row r="229" spans="1:19" x14ac:dyDescent="0.2">
      <c r="A229" s="761">
        <v>2014</v>
      </c>
      <c r="B229" s="761">
        <v>5</v>
      </c>
      <c r="C229" s="796" t="s">
        <v>302</v>
      </c>
      <c r="D229" s="796"/>
      <c r="E229" s="796"/>
      <c r="F229" s="761">
        <v>4890</v>
      </c>
      <c r="G229" s="761" t="s">
        <v>1252</v>
      </c>
      <c r="H229" s="799">
        <v>0</v>
      </c>
      <c r="I229" s="799">
        <v>0</v>
      </c>
      <c r="J229" s="799">
        <v>0</v>
      </c>
      <c r="K229" s="799">
        <v>11471</v>
      </c>
      <c r="L229" s="799">
        <v>0</v>
      </c>
      <c r="M229" s="799">
        <v>342261</v>
      </c>
      <c r="N229" s="799">
        <v>92656</v>
      </c>
      <c r="O229" s="799">
        <v>40999</v>
      </c>
      <c r="P229" s="799">
        <v>1563</v>
      </c>
      <c r="Q229" s="799">
        <v>0</v>
      </c>
      <c r="R229" s="799">
        <v>0</v>
      </c>
      <c r="S229" s="799">
        <v>27647</v>
      </c>
    </row>
    <row r="230" spans="1:19" x14ac:dyDescent="0.2">
      <c r="A230" s="761">
        <v>2014</v>
      </c>
      <c r="B230" s="761">
        <v>10</v>
      </c>
      <c r="C230" s="796" t="s">
        <v>303</v>
      </c>
      <c r="D230" s="796"/>
      <c r="E230" s="796"/>
      <c r="F230" s="761">
        <v>4905</v>
      </c>
      <c r="G230" s="761" t="s">
        <v>1253</v>
      </c>
      <c r="H230" s="799">
        <v>1824</v>
      </c>
      <c r="I230" s="799">
        <v>0</v>
      </c>
      <c r="J230" s="799">
        <v>66297</v>
      </c>
      <c r="K230" s="799">
        <v>19466</v>
      </c>
      <c r="L230" s="799">
        <v>0</v>
      </c>
      <c r="M230" s="799">
        <v>2069</v>
      </c>
      <c r="N230" s="799">
        <v>133205</v>
      </c>
      <c r="O230" s="799">
        <v>234</v>
      </c>
      <c r="P230" s="799">
        <v>0</v>
      </c>
      <c r="Q230" s="799">
        <v>0</v>
      </c>
      <c r="R230" s="799">
        <v>5853</v>
      </c>
      <c r="S230" s="799">
        <v>5336</v>
      </c>
    </row>
    <row r="231" spans="1:19" x14ac:dyDescent="0.2">
      <c r="A231" s="761">
        <v>2014</v>
      </c>
      <c r="B231" s="761">
        <v>13</v>
      </c>
      <c r="C231" s="796" t="s">
        <v>304</v>
      </c>
      <c r="D231" s="796"/>
      <c r="E231" s="796"/>
      <c r="F231" s="761">
        <v>4978</v>
      </c>
      <c r="G231" s="761" t="s">
        <v>1254</v>
      </c>
      <c r="H231" s="799">
        <v>0</v>
      </c>
      <c r="I231" s="799">
        <v>0</v>
      </c>
      <c r="J231" s="799">
        <v>0</v>
      </c>
      <c r="K231" s="799">
        <v>476</v>
      </c>
      <c r="L231" s="799">
        <v>0</v>
      </c>
      <c r="M231" s="799">
        <v>0</v>
      </c>
      <c r="N231" s="799">
        <v>0</v>
      </c>
      <c r="O231" s="799">
        <v>21209</v>
      </c>
      <c r="P231" s="799">
        <v>10675</v>
      </c>
      <c r="Q231" s="799">
        <v>0</v>
      </c>
      <c r="R231" s="799">
        <v>5709</v>
      </c>
      <c r="S231" s="799">
        <v>14858</v>
      </c>
    </row>
    <row r="232" spans="1:19" x14ac:dyDescent="0.2">
      <c r="A232" s="761">
        <v>2014</v>
      </c>
      <c r="B232" s="761">
        <v>7</v>
      </c>
      <c r="C232" s="796" t="s">
        <v>305</v>
      </c>
      <c r="D232" s="796"/>
      <c r="E232" s="796"/>
      <c r="F232" s="761">
        <v>4995</v>
      </c>
      <c r="G232" s="761" t="s">
        <v>1255</v>
      </c>
      <c r="H232" s="799">
        <v>0</v>
      </c>
      <c r="I232" s="799">
        <v>0</v>
      </c>
      <c r="J232" s="799">
        <v>0</v>
      </c>
      <c r="K232" s="799">
        <v>113762</v>
      </c>
      <c r="L232" s="799">
        <v>0</v>
      </c>
      <c r="M232" s="799">
        <v>6466</v>
      </c>
      <c r="N232" s="799">
        <v>31243</v>
      </c>
      <c r="O232" s="799">
        <v>132558</v>
      </c>
      <c r="P232" s="799">
        <v>80814</v>
      </c>
      <c r="Q232" s="799">
        <v>0</v>
      </c>
      <c r="R232" s="799">
        <v>8471</v>
      </c>
      <c r="S232" s="799">
        <v>21758</v>
      </c>
    </row>
    <row r="233" spans="1:19" x14ac:dyDescent="0.2">
      <c r="A233" s="761">
        <v>2014</v>
      </c>
      <c r="B233" s="761">
        <v>15</v>
      </c>
      <c r="C233" s="796" t="s">
        <v>306</v>
      </c>
      <c r="D233" s="796"/>
      <c r="E233" s="796"/>
      <c r="F233" s="761">
        <v>5013</v>
      </c>
      <c r="G233" s="761" t="s">
        <v>1256</v>
      </c>
      <c r="H233" s="799">
        <v>0</v>
      </c>
      <c r="I233" s="799">
        <v>0</v>
      </c>
      <c r="J233" s="799">
        <v>0</v>
      </c>
      <c r="K233" s="799">
        <v>111590</v>
      </c>
      <c r="L233" s="799">
        <v>0</v>
      </c>
      <c r="M233" s="799">
        <v>33164</v>
      </c>
      <c r="N233" s="799">
        <v>54315</v>
      </c>
      <c r="O233" s="799">
        <v>56798</v>
      </c>
      <c r="P233" s="799">
        <v>50624</v>
      </c>
      <c r="Q233" s="799">
        <v>0</v>
      </c>
      <c r="R233" s="799">
        <v>9560</v>
      </c>
      <c r="S233" s="799">
        <v>55468</v>
      </c>
    </row>
    <row r="234" spans="1:19" x14ac:dyDescent="0.2">
      <c r="A234" s="761">
        <v>2014</v>
      </c>
      <c r="B234" s="761">
        <v>15</v>
      </c>
      <c r="C234" s="796" t="s">
        <v>307</v>
      </c>
      <c r="D234" s="796"/>
      <c r="E234" s="796"/>
      <c r="F234" s="761">
        <v>5049</v>
      </c>
      <c r="G234" s="761" t="s">
        <v>1257</v>
      </c>
      <c r="H234" s="799">
        <v>69287</v>
      </c>
      <c r="I234" s="799">
        <v>0</v>
      </c>
      <c r="J234" s="799">
        <v>0</v>
      </c>
      <c r="K234" s="799">
        <v>207121</v>
      </c>
      <c r="L234" s="799">
        <v>0</v>
      </c>
      <c r="M234" s="799">
        <v>81499</v>
      </c>
      <c r="N234" s="799">
        <v>167490</v>
      </c>
      <c r="O234" s="799">
        <v>3429</v>
      </c>
      <c r="P234" s="799">
        <v>208656</v>
      </c>
      <c r="Q234" s="799">
        <v>75566</v>
      </c>
      <c r="R234" s="799">
        <v>15173</v>
      </c>
      <c r="S234" s="799">
        <v>297408</v>
      </c>
    </row>
    <row r="235" spans="1:19" x14ac:dyDescent="0.2">
      <c r="A235" s="761">
        <v>2014</v>
      </c>
      <c r="B235" s="761">
        <v>11</v>
      </c>
      <c r="C235" s="796" t="s">
        <v>308</v>
      </c>
      <c r="D235" s="796"/>
      <c r="E235" s="796"/>
      <c r="F235" s="761">
        <v>5121</v>
      </c>
      <c r="G235" s="761" t="s">
        <v>1258</v>
      </c>
      <c r="H235" s="799">
        <v>0</v>
      </c>
      <c r="I235" s="799">
        <v>0</v>
      </c>
      <c r="J235" s="799">
        <v>0</v>
      </c>
      <c r="K235" s="799">
        <v>57574</v>
      </c>
      <c r="L235" s="799">
        <v>0</v>
      </c>
      <c r="M235" s="799">
        <v>57916</v>
      </c>
      <c r="N235" s="799">
        <v>0</v>
      </c>
      <c r="O235" s="799">
        <v>1230</v>
      </c>
      <c r="P235" s="799">
        <v>5017</v>
      </c>
      <c r="Q235" s="799">
        <v>0</v>
      </c>
      <c r="R235" s="799">
        <v>0</v>
      </c>
      <c r="S235" s="799">
        <v>0</v>
      </c>
    </row>
    <row r="236" spans="1:19" x14ac:dyDescent="0.2">
      <c r="A236" s="761">
        <v>2014</v>
      </c>
      <c r="B236" s="761">
        <v>5</v>
      </c>
      <c r="C236" s="796" t="s">
        <v>309</v>
      </c>
      <c r="D236" s="796"/>
      <c r="E236" s="796"/>
      <c r="F236" s="761">
        <v>5139</v>
      </c>
      <c r="G236" s="761" t="s">
        <v>1259</v>
      </c>
      <c r="H236" s="799">
        <v>1544</v>
      </c>
      <c r="I236" s="799">
        <v>0</v>
      </c>
      <c r="J236" s="799">
        <v>0</v>
      </c>
      <c r="K236" s="799">
        <v>0</v>
      </c>
      <c r="L236" s="799">
        <v>0</v>
      </c>
      <c r="M236" s="799">
        <v>0</v>
      </c>
      <c r="N236" s="799">
        <v>0</v>
      </c>
      <c r="O236" s="799">
        <v>0</v>
      </c>
      <c r="P236" s="799">
        <v>0</v>
      </c>
      <c r="Q236" s="799">
        <v>0</v>
      </c>
      <c r="R236" s="799">
        <v>0</v>
      </c>
      <c r="S236" s="799">
        <v>0</v>
      </c>
    </row>
    <row r="237" spans="1:19" x14ac:dyDescent="0.2">
      <c r="A237" s="761">
        <v>2014</v>
      </c>
      <c r="B237" s="761">
        <v>12</v>
      </c>
      <c r="C237" s="796" t="s">
        <v>310</v>
      </c>
      <c r="D237" s="796"/>
      <c r="E237" s="796"/>
      <c r="F237" s="761">
        <v>6099</v>
      </c>
      <c r="G237" s="761" t="s">
        <v>646</v>
      </c>
      <c r="H237" s="799">
        <v>0</v>
      </c>
      <c r="I237" s="799">
        <v>0</v>
      </c>
      <c r="J237" s="799">
        <v>0</v>
      </c>
      <c r="K237" s="799">
        <v>50845</v>
      </c>
      <c r="L237" s="799">
        <v>0</v>
      </c>
      <c r="M237" s="799">
        <v>0</v>
      </c>
      <c r="N237" s="799">
        <v>794</v>
      </c>
      <c r="O237" s="799">
        <v>360</v>
      </c>
      <c r="P237" s="799">
        <v>8281</v>
      </c>
      <c r="Q237" s="799">
        <v>0</v>
      </c>
      <c r="R237" s="799">
        <v>3690</v>
      </c>
      <c r="S237" s="799">
        <v>26721</v>
      </c>
    </row>
    <row r="238" spans="1:19" x14ac:dyDescent="0.2">
      <c r="A238" s="761">
        <v>2014</v>
      </c>
      <c r="B238" s="761">
        <v>15</v>
      </c>
      <c r="C238" s="796" t="s">
        <v>311</v>
      </c>
      <c r="D238" s="796"/>
      <c r="E238" s="796"/>
      <c r="F238" s="761">
        <v>5163</v>
      </c>
      <c r="G238" s="761" t="s">
        <v>1260</v>
      </c>
      <c r="H238" s="799">
        <v>9361</v>
      </c>
      <c r="I238" s="799">
        <v>0</v>
      </c>
      <c r="J238" s="799">
        <v>73871</v>
      </c>
      <c r="K238" s="799">
        <v>130089</v>
      </c>
      <c r="L238" s="799">
        <v>0</v>
      </c>
      <c r="M238" s="799">
        <v>54869</v>
      </c>
      <c r="N238" s="799">
        <v>46824</v>
      </c>
      <c r="O238" s="799">
        <v>35975</v>
      </c>
      <c r="P238" s="799">
        <v>43628</v>
      </c>
      <c r="Q238" s="799">
        <v>0</v>
      </c>
      <c r="R238" s="799">
        <v>7087</v>
      </c>
      <c r="S238" s="799">
        <v>4479</v>
      </c>
    </row>
    <row r="239" spans="1:19" x14ac:dyDescent="0.2">
      <c r="A239" s="761">
        <v>2014</v>
      </c>
      <c r="B239" s="761">
        <v>11</v>
      </c>
      <c r="C239" s="796" t="s">
        <v>312</v>
      </c>
      <c r="D239" s="796"/>
      <c r="E239" s="796"/>
      <c r="F239" s="761">
        <v>5166</v>
      </c>
      <c r="G239" s="761" t="s">
        <v>1261</v>
      </c>
      <c r="H239" s="799">
        <v>0</v>
      </c>
      <c r="I239" s="799">
        <v>0</v>
      </c>
      <c r="J239" s="799">
        <v>0</v>
      </c>
      <c r="K239" s="799">
        <v>183577</v>
      </c>
      <c r="L239" s="799">
        <v>0</v>
      </c>
      <c r="M239" s="799">
        <v>0</v>
      </c>
      <c r="N239" s="799">
        <v>103041</v>
      </c>
      <c r="O239" s="799">
        <v>183253</v>
      </c>
      <c r="P239" s="799">
        <v>98481</v>
      </c>
      <c r="Q239" s="799">
        <v>0</v>
      </c>
      <c r="R239" s="799">
        <v>0</v>
      </c>
      <c r="S239" s="799">
        <v>27708</v>
      </c>
    </row>
    <row r="240" spans="1:19" x14ac:dyDescent="0.2">
      <c r="A240" s="761">
        <v>2014</v>
      </c>
      <c r="B240" s="761">
        <v>11</v>
      </c>
      <c r="C240" s="796" t="s">
        <v>313</v>
      </c>
      <c r="D240" s="796"/>
      <c r="E240" s="796"/>
      <c r="F240" s="761">
        <v>5184</v>
      </c>
      <c r="G240" s="761" t="s">
        <v>1262</v>
      </c>
      <c r="H240" s="799">
        <v>326</v>
      </c>
      <c r="I240" s="799">
        <v>245219</v>
      </c>
      <c r="J240" s="799">
        <v>221941</v>
      </c>
      <c r="K240" s="799">
        <v>105958</v>
      </c>
      <c r="L240" s="799">
        <v>0</v>
      </c>
      <c r="M240" s="799">
        <v>77291</v>
      </c>
      <c r="N240" s="799">
        <v>24657</v>
      </c>
      <c r="O240" s="799">
        <v>38248</v>
      </c>
      <c r="P240" s="799">
        <v>83967</v>
      </c>
      <c r="Q240" s="799">
        <v>0</v>
      </c>
      <c r="R240" s="799">
        <v>11804</v>
      </c>
      <c r="S240" s="799">
        <v>28988</v>
      </c>
    </row>
    <row r="241" spans="1:19" x14ac:dyDescent="0.2">
      <c r="A241" s="761">
        <v>2014</v>
      </c>
      <c r="B241" s="761">
        <v>9</v>
      </c>
      <c r="C241" s="796" t="s">
        <v>314</v>
      </c>
      <c r="D241" s="796"/>
      <c r="E241" s="796"/>
      <c r="F241" s="761">
        <v>5250</v>
      </c>
      <c r="G241" s="761" t="s">
        <v>1263</v>
      </c>
      <c r="H241" s="799">
        <v>0</v>
      </c>
      <c r="I241" s="799">
        <v>8112</v>
      </c>
      <c r="J241" s="799">
        <v>0</v>
      </c>
      <c r="K241" s="799">
        <v>0</v>
      </c>
      <c r="L241" s="799">
        <v>0</v>
      </c>
      <c r="M241" s="799">
        <v>148334</v>
      </c>
      <c r="N241" s="799">
        <v>3</v>
      </c>
      <c r="O241" s="799">
        <v>2</v>
      </c>
      <c r="P241" s="799">
        <v>156908</v>
      </c>
      <c r="Q241" s="799">
        <v>0</v>
      </c>
      <c r="R241" s="799">
        <v>502</v>
      </c>
      <c r="S241" s="799">
        <v>37305</v>
      </c>
    </row>
    <row r="242" spans="1:19" x14ac:dyDescent="0.2">
      <c r="A242" s="761">
        <v>2014</v>
      </c>
      <c r="B242" s="761">
        <v>11</v>
      </c>
      <c r="C242" s="796" t="s">
        <v>315</v>
      </c>
      <c r="D242" s="796"/>
      <c r="E242" s="796"/>
      <c r="F242" s="761">
        <v>5256</v>
      </c>
      <c r="G242" s="761" t="s">
        <v>1264</v>
      </c>
      <c r="H242" s="799">
        <v>0</v>
      </c>
      <c r="I242" s="799">
        <v>0</v>
      </c>
      <c r="J242" s="799">
        <v>0</v>
      </c>
      <c r="K242" s="799">
        <v>0</v>
      </c>
      <c r="L242" s="799">
        <v>0</v>
      </c>
      <c r="M242" s="799">
        <v>0</v>
      </c>
      <c r="N242" s="799">
        <v>0</v>
      </c>
      <c r="O242" s="799">
        <v>0</v>
      </c>
      <c r="P242" s="799">
        <v>0</v>
      </c>
      <c r="Q242" s="799">
        <v>0</v>
      </c>
      <c r="R242" s="799">
        <v>7360</v>
      </c>
      <c r="S242" s="799">
        <v>777</v>
      </c>
    </row>
    <row r="243" spans="1:19" x14ac:dyDescent="0.2">
      <c r="A243" s="761">
        <v>2014</v>
      </c>
      <c r="B243" s="761">
        <v>5</v>
      </c>
      <c r="C243" s="796" t="s">
        <v>316</v>
      </c>
      <c r="D243" s="796"/>
      <c r="E243" s="796"/>
      <c r="F243" s="761">
        <v>5283</v>
      </c>
      <c r="G243" s="761" t="s">
        <v>647</v>
      </c>
      <c r="H243" s="799">
        <v>0</v>
      </c>
      <c r="I243" s="799">
        <v>0</v>
      </c>
      <c r="J243" s="799">
        <v>0</v>
      </c>
      <c r="K243" s="799">
        <v>0</v>
      </c>
      <c r="L243" s="799">
        <v>0</v>
      </c>
      <c r="M243" s="799">
        <v>13687</v>
      </c>
      <c r="N243" s="799">
        <v>22195</v>
      </c>
      <c r="O243" s="799">
        <v>4674</v>
      </c>
      <c r="P243" s="799">
        <v>5984</v>
      </c>
      <c r="Q243" s="799">
        <v>0</v>
      </c>
      <c r="R243" s="799">
        <v>0</v>
      </c>
      <c r="S243" s="799">
        <v>7153</v>
      </c>
    </row>
    <row r="244" spans="1:19" x14ac:dyDescent="0.2">
      <c r="A244" s="761">
        <v>2014</v>
      </c>
      <c r="B244" s="761">
        <v>1</v>
      </c>
      <c r="C244" s="796" t="s">
        <v>317</v>
      </c>
      <c r="D244" s="796"/>
      <c r="E244" s="796"/>
      <c r="F244" s="761">
        <v>5310</v>
      </c>
      <c r="G244" s="761" t="s">
        <v>1265</v>
      </c>
      <c r="H244" s="799">
        <v>315704</v>
      </c>
      <c r="I244" s="799">
        <v>156539</v>
      </c>
      <c r="J244" s="799">
        <v>287672</v>
      </c>
      <c r="K244" s="799">
        <v>29283</v>
      </c>
      <c r="L244" s="799">
        <v>0</v>
      </c>
      <c r="M244" s="799">
        <v>5353</v>
      </c>
      <c r="N244" s="799">
        <v>44520</v>
      </c>
      <c r="O244" s="799">
        <v>15766</v>
      </c>
      <c r="P244" s="799">
        <v>16690</v>
      </c>
      <c r="Q244" s="799">
        <v>5188</v>
      </c>
      <c r="R244" s="799">
        <v>6303</v>
      </c>
      <c r="S244" s="799">
        <v>37613</v>
      </c>
    </row>
    <row r="245" spans="1:19" x14ac:dyDescent="0.2">
      <c r="A245" s="761">
        <v>2014</v>
      </c>
      <c r="B245" s="761">
        <v>11</v>
      </c>
      <c r="C245" s="796" t="s">
        <v>318</v>
      </c>
      <c r="D245" s="796"/>
      <c r="E245" s="796"/>
      <c r="F245" s="761">
        <v>5160</v>
      </c>
      <c r="G245" s="761" t="s">
        <v>648</v>
      </c>
      <c r="H245" s="799">
        <v>4202</v>
      </c>
      <c r="I245" s="799">
        <v>0</v>
      </c>
      <c r="J245" s="799">
        <v>0</v>
      </c>
      <c r="K245" s="799">
        <v>31031</v>
      </c>
      <c r="L245" s="799">
        <v>0</v>
      </c>
      <c r="M245" s="799">
        <v>61716</v>
      </c>
      <c r="N245" s="799">
        <v>0</v>
      </c>
      <c r="O245" s="799">
        <v>35967</v>
      </c>
      <c r="P245" s="799">
        <v>16282</v>
      </c>
      <c r="Q245" s="799">
        <v>0</v>
      </c>
      <c r="R245" s="799">
        <v>8805</v>
      </c>
      <c r="S245" s="799">
        <v>13597</v>
      </c>
    </row>
    <row r="246" spans="1:19" x14ac:dyDescent="0.2">
      <c r="A246" s="761">
        <v>2014</v>
      </c>
      <c r="B246" s="761">
        <v>5</v>
      </c>
      <c r="C246" s="796" t="s">
        <v>319</v>
      </c>
      <c r="D246" s="796"/>
      <c r="E246" s="796"/>
      <c r="F246" s="761">
        <v>5325</v>
      </c>
      <c r="G246" s="761" t="s">
        <v>649</v>
      </c>
      <c r="H246" s="799">
        <v>5434</v>
      </c>
      <c r="I246" s="799">
        <v>2591</v>
      </c>
      <c r="J246" s="799">
        <v>0</v>
      </c>
      <c r="K246" s="799">
        <v>0</v>
      </c>
      <c r="L246" s="799">
        <v>0</v>
      </c>
      <c r="M246" s="799">
        <v>13177</v>
      </c>
      <c r="N246" s="799">
        <v>0</v>
      </c>
      <c r="O246" s="799">
        <v>35112</v>
      </c>
      <c r="P246" s="799">
        <v>23175</v>
      </c>
      <c r="Q246" s="799">
        <v>0</v>
      </c>
      <c r="R246" s="799">
        <v>7248</v>
      </c>
      <c r="S246" s="799">
        <v>16650</v>
      </c>
    </row>
    <row r="247" spans="1:19" x14ac:dyDescent="0.2">
      <c r="A247" s="761">
        <v>2014</v>
      </c>
      <c r="B247" s="761">
        <v>13</v>
      </c>
      <c r="C247" s="796" t="s">
        <v>320</v>
      </c>
      <c r="D247" s="796"/>
      <c r="E247" s="796"/>
      <c r="F247" s="761">
        <v>5463</v>
      </c>
      <c r="G247" s="761" t="s">
        <v>1266</v>
      </c>
      <c r="H247" s="799">
        <v>2907</v>
      </c>
      <c r="I247" s="799">
        <v>0</v>
      </c>
      <c r="J247" s="799">
        <v>0</v>
      </c>
      <c r="K247" s="799">
        <v>27749</v>
      </c>
      <c r="L247" s="799">
        <v>0</v>
      </c>
      <c r="M247" s="799">
        <v>72812</v>
      </c>
      <c r="N247" s="799">
        <v>52688</v>
      </c>
      <c r="O247" s="799">
        <v>4778</v>
      </c>
      <c r="P247" s="799">
        <v>15898</v>
      </c>
      <c r="Q247" s="799">
        <v>0</v>
      </c>
      <c r="R247" s="799">
        <v>4556</v>
      </c>
      <c r="S247" s="799">
        <v>58377</v>
      </c>
    </row>
    <row r="248" spans="1:19" x14ac:dyDescent="0.2">
      <c r="A248" s="761">
        <v>2014</v>
      </c>
      <c r="B248" s="761">
        <v>12</v>
      </c>
      <c r="C248" s="796" t="s">
        <v>321</v>
      </c>
      <c r="D248" s="796"/>
      <c r="E248" s="796"/>
      <c r="F248" s="761">
        <v>5486</v>
      </c>
      <c r="G248" s="761" t="s">
        <v>1267</v>
      </c>
      <c r="H248" s="799">
        <v>0</v>
      </c>
      <c r="I248" s="799">
        <v>0</v>
      </c>
      <c r="J248" s="799">
        <v>0</v>
      </c>
      <c r="K248" s="799">
        <v>0</v>
      </c>
      <c r="L248" s="799">
        <v>48079</v>
      </c>
      <c r="M248" s="799">
        <v>0</v>
      </c>
      <c r="N248" s="799">
        <v>4985</v>
      </c>
      <c r="O248" s="799">
        <v>0</v>
      </c>
      <c r="P248" s="799">
        <v>0</v>
      </c>
      <c r="Q248" s="799">
        <v>0</v>
      </c>
      <c r="R248" s="799">
        <v>0</v>
      </c>
      <c r="S248" s="799">
        <v>0</v>
      </c>
    </row>
    <row r="249" spans="1:19" x14ac:dyDescent="0.2">
      <c r="A249" s="761">
        <v>2014</v>
      </c>
      <c r="B249" s="761">
        <v>1</v>
      </c>
      <c r="C249" s="796" t="s">
        <v>322</v>
      </c>
      <c r="D249" s="796"/>
      <c r="E249" s="796"/>
      <c r="F249" s="761">
        <v>5508</v>
      </c>
      <c r="G249" s="761" t="s">
        <v>1268</v>
      </c>
      <c r="H249" s="799">
        <v>0</v>
      </c>
      <c r="I249" s="799">
        <v>0</v>
      </c>
      <c r="J249" s="799">
        <v>11979</v>
      </c>
      <c r="K249" s="799">
        <v>0</v>
      </c>
      <c r="L249" s="799">
        <v>0</v>
      </c>
      <c r="M249" s="799">
        <v>0</v>
      </c>
      <c r="N249" s="799">
        <v>12138</v>
      </c>
      <c r="O249" s="799">
        <v>34142</v>
      </c>
      <c r="P249" s="799">
        <v>19458</v>
      </c>
      <c r="Q249" s="799">
        <v>23060</v>
      </c>
      <c r="R249" s="799">
        <v>6082</v>
      </c>
      <c r="S249" s="799">
        <v>17274</v>
      </c>
    </row>
    <row r="250" spans="1:19" x14ac:dyDescent="0.2">
      <c r="A250" s="761">
        <v>2014</v>
      </c>
      <c r="B250" s="761">
        <v>12</v>
      </c>
      <c r="C250" s="796" t="s">
        <v>323</v>
      </c>
      <c r="D250" s="796"/>
      <c r="E250" s="796"/>
      <c r="F250" s="761">
        <v>5607</v>
      </c>
      <c r="G250" s="761" t="s">
        <v>1269</v>
      </c>
      <c r="H250" s="799">
        <v>0</v>
      </c>
      <c r="I250" s="799">
        <v>62059</v>
      </c>
      <c r="J250" s="799">
        <v>101189</v>
      </c>
      <c r="K250" s="799">
        <v>73836</v>
      </c>
      <c r="L250" s="799">
        <v>0</v>
      </c>
      <c r="M250" s="799">
        <v>62304</v>
      </c>
      <c r="N250" s="799">
        <v>30836</v>
      </c>
      <c r="O250" s="799">
        <v>3054</v>
      </c>
      <c r="P250" s="799">
        <v>3979</v>
      </c>
      <c r="Q250" s="799">
        <v>0</v>
      </c>
      <c r="R250" s="799">
        <v>0</v>
      </c>
      <c r="S250" s="799">
        <v>14102</v>
      </c>
    </row>
    <row r="251" spans="1:19" x14ac:dyDescent="0.2">
      <c r="A251" s="761">
        <v>2014</v>
      </c>
      <c r="B251" s="761">
        <v>11</v>
      </c>
      <c r="C251" s="796" t="s">
        <v>324</v>
      </c>
      <c r="D251" s="796"/>
      <c r="E251" s="796"/>
      <c r="F251" s="761">
        <v>5643</v>
      </c>
      <c r="G251" s="761" t="s">
        <v>1270</v>
      </c>
      <c r="H251" s="799">
        <v>10158</v>
      </c>
      <c r="I251" s="799">
        <v>0</v>
      </c>
      <c r="J251" s="799">
        <v>0</v>
      </c>
      <c r="K251" s="799">
        <v>0</v>
      </c>
      <c r="L251" s="799">
        <v>0</v>
      </c>
      <c r="M251" s="799">
        <v>41347</v>
      </c>
      <c r="N251" s="799">
        <v>36576</v>
      </c>
      <c r="O251" s="799">
        <v>8184</v>
      </c>
      <c r="P251" s="799">
        <v>11047</v>
      </c>
      <c r="Q251" s="799">
        <v>0</v>
      </c>
      <c r="R251" s="799">
        <v>0</v>
      </c>
      <c r="S251" s="799">
        <v>29950</v>
      </c>
    </row>
    <row r="252" spans="1:19" x14ac:dyDescent="0.2">
      <c r="A252" s="761">
        <v>2014</v>
      </c>
      <c r="B252" s="761">
        <v>7</v>
      </c>
      <c r="C252" s="796" t="s">
        <v>325</v>
      </c>
      <c r="D252" s="796"/>
      <c r="E252" s="796"/>
      <c r="F252" s="761">
        <v>5697</v>
      </c>
      <c r="G252" s="761" t="s">
        <v>1271</v>
      </c>
      <c r="H252" s="799">
        <v>0</v>
      </c>
      <c r="I252" s="799">
        <v>0</v>
      </c>
      <c r="J252" s="799">
        <v>16140</v>
      </c>
      <c r="K252" s="799">
        <v>21009</v>
      </c>
      <c r="L252" s="799">
        <v>0</v>
      </c>
      <c r="M252" s="799">
        <v>0</v>
      </c>
      <c r="N252" s="799">
        <v>0</v>
      </c>
      <c r="O252" s="799">
        <v>3621</v>
      </c>
      <c r="P252" s="799">
        <v>5886</v>
      </c>
      <c r="Q252" s="799">
        <v>0</v>
      </c>
      <c r="R252" s="799">
        <v>1560</v>
      </c>
      <c r="S252" s="799">
        <v>18735</v>
      </c>
    </row>
    <row r="253" spans="1:19" x14ac:dyDescent="0.2">
      <c r="A253" s="761">
        <v>2014</v>
      </c>
      <c r="B253" s="761">
        <v>5</v>
      </c>
      <c r="C253" s="796" t="s">
        <v>326</v>
      </c>
      <c r="D253" s="796"/>
      <c r="E253" s="796"/>
      <c r="F253" s="761">
        <v>5724</v>
      </c>
      <c r="G253" s="761" t="s">
        <v>1272</v>
      </c>
      <c r="H253" s="799">
        <v>0</v>
      </c>
      <c r="I253" s="799">
        <v>0</v>
      </c>
      <c r="J253" s="799">
        <v>95988</v>
      </c>
      <c r="K253" s="799">
        <v>26130</v>
      </c>
      <c r="L253" s="799">
        <v>0</v>
      </c>
      <c r="M253" s="799">
        <v>0</v>
      </c>
      <c r="N253" s="799">
        <v>21708</v>
      </c>
      <c r="O253" s="799">
        <v>5257</v>
      </c>
      <c r="P253" s="799">
        <v>8899</v>
      </c>
      <c r="Q253" s="799">
        <v>0</v>
      </c>
      <c r="R253" s="799">
        <v>5905</v>
      </c>
      <c r="S253" s="799">
        <v>10985</v>
      </c>
    </row>
    <row r="254" spans="1:19" x14ac:dyDescent="0.2">
      <c r="A254" s="761">
        <v>2014</v>
      </c>
      <c r="B254" s="761">
        <v>7</v>
      </c>
      <c r="C254" s="796" t="s">
        <v>327</v>
      </c>
      <c r="D254" s="796"/>
      <c r="E254" s="796"/>
      <c r="F254" s="761">
        <v>5751</v>
      </c>
      <c r="G254" s="761" t="s">
        <v>1273</v>
      </c>
      <c r="H254" s="799">
        <v>0</v>
      </c>
      <c r="I254" s="799">
        <v>1066</v>
      </c>
      <c r="J254" s="799">
        <v>75362</v>
      </c>
      <c r="K254" s="799">
        <v>4945</v>
      </c>
      <c r="L254" s="799">
        <v>0</v>
      </c>
      <c r="M254" s="799">
        <v>12577</v>
      </c>
      <c r="N254" s="799">
        <v>22399</v>
      </c>
      <c r="O254" s="799">
        <v>87526</v>
      </c>
      <c r="P254" s="799">
        <v>8618</v>
      </c>
      <c r="Q254" s="799">
        <v>0</v>
      </c>
      <c r="R254" s="799">
        <v>7381</v>
      </c>
      <c r="S254" s="799">
        <v>16123</v>
      </c>
    </row>
    <row r="255" spans="1:19" x14ac:dyDescent="0.2">
      <c r="A255" s="761">
        <v>2014</v>
      </c>
      <c r="B255" s="761">
        <v>11</v>
      </c>
      <c r="C255" s="796" t="s">
        <v>328</v>
      </c>
      <c r="D255" s="796"/>
      <c r="E255" s="796"/>
      <c r="F255" s="761">
        <v>5805</v>
      </c>
      <c r="G255" s="761" t="s">
        <v>1274</v>
      </c>
      <c r="H255" s="799">
        <v>0</v>
      </c>
      <c r="I255" s="799">
        <v>0</v>
      </c>
      <c r="J255" s="799">
        <v>8451</v>
      </c>
      <c r="K255" s="799">
        <v>9379</v>
      </c>
      <c r="L255" s="799">
        <v>0</v>
      </c>
      <c r="M255" s="799">
        <v>67351</v>
      </c>
      <c r="N255" s="799">
        <v>52853</v>
      </c>
      <c r="O255" s="799">
        <v>31245</v>
      </c>
      <c r="P255" s="799">
        <v>22150</v>
      </c>
      <c r="Q255" s="799">
        <v>0</v>
      </c>
      <c r="R255" s="799">
        <v>9456</v>
      </c>
      <c r="S255" s="799">
        <v>12107</v>
      </c>
    </row>
    <row r="256" spans="1:19" x14ac:dyDescent="0.2">
      <c r="A256" s="761">
        <v>2014</v>
      </c>
      <c r="B256" s="761">
        <v>5</v>
      </c>
      <c r="C256" s="796" t="s">
        <v>329</v>
      </c>
      <c r="D256" s="796"/>
      <c r="E256" s="796"/>
      <c r="F256" s="761">
        <v>5823</v>
      </c>
      <c r="G256" s="761" t="s">
        <v>650</v>
      </c>
      <c r="H256" s="799">
        <v>2697</v>
      </c>
      <c r="I256" s="799">
        <v>0</v>
      </c>
      <c r="J256" s="799">
        <v>0</v>
      </c>
      <c r="K256" s="799">
        <v>33048</v>
      </c>
      <c r="L256" s="799">
        <v>0</v>
      </c>
      <c r="M256" s="799">
        <v>0</v>
      </c>
      <c r="N256" s="799">
        <v>68653</v>
      </c>
      <c r="O256" s="799">
        <v>19159</v>
      </c>
      <c r="P256" s="799">
        <v>19176</v>
      </c>
      <c r="Q256" s="799">
        <v>0</v>
      </c>
      <c r="R256" s="799">
        <v>6411</v>
      </c>
      <c r="S256" s="799">
        <v>16724</v>
      </c>
    </row>
    <row r="257" spans="1:19" x14ac:dyDescent="0.2">
      <c r="A257" s="761">
        <v>2014</v>
      </c>
      <c r="B257" s="761">
        <v>12</v>
      </c>
      <c r="C257" s="796" t="s">
        <v>330</v>
      </c>
      <c r="D257" s="796"/>
      <c r="E257" s="796"/>
      <c r="F257" s="761">
        <v>5832</v>
      </c>
      <c r="G257" s="761" t="s">
        <v>1275</v>
      </c>
      <c r="H257" s="799">
        <v>2460</v>
      </c>
      <c r="I257" s="799">
        <v>53278</v>
      </c>
      <c r="J257" s="799">
        <v>0</v>
      </c>
      <c r="K257" s="799">
        <v>52520</v>
      </c>
      <c r="L257" s="799">
        <v>0</v>
      </c>
      <c r="M257" s="799">
        <v>0</v>
      </c>
      <c r="N257" s="799">
        <v>13702</v>
      </c>
      <c r="O257" s="799">
        <v>16805</v>
      </c>
      <c r="P257" s="799">
        <v>0</v>
      </c>
      <c r="Q257" s="799">
        <v>0</v>
      </c>
      <c r="R257" s="799">
        <v>2366</v>
      </c>
      <c r="S257" s="799">
        <v>365046</v>
      </c>
    </row>
    <row r="258" spans="1:19" x14ac:dyDescent="0.2">
      <c r="A258" s="761">
        <v>2014</v>
      </c>
      <c r="B258" s="761">
        <v>12</v>
      </c>
      <c r="C258" s="796" t="s">
        <v>331</v>
      </c>
      <c r="D258" s="796"/>
      <c r="E258" s="796"/>
      <c r="F258" s="761">
        <v>5877</v>
      </c>
      <c r="G258" s="761" t="s">
        <v>1276</v>
      </c>
      <c r="H258" s="799">
        <v>0</v>
      </c>
      <c r="I258" s="799">
        <v>0</v>
      </c>
      <c r="J258" s="799">
        <v>0</v>
      </c>
      <c r="K258" s="799">
        <v>0</v>
      </c>
      <c r="L258" s="799">
        <v>0</v>
      </c>
      <c r="M258" s="799">
        <v>528618</v>
      </c>
      <c r="N258" s="799">
        <v>0</v>
      </c>
      <c r="O258" s="799">
        <v>57820</v>
      </c>
      <c r="P258" s="799">
        <v>56867</v>
      </c>
      <c r="Q258" s="799">
        <v>0</v>
      </c>
      <c r="R258" s="799">
        <v>9982</v>
      </c>
      <c r="S258" s="799">
        <v>23813</v>
      </c>
    </row>
    <row r="259" spans="1:19" x14ac:dyDescent="0.2">
      <c r="A259" s="761">
        <v>2014</v>
      </c>
      <c r="B259" s="761">
        <v>15</v>
      </c>
      <c r="C259" s="796" t="s">
        <v>332</v>
      </c>
      <c r="D259" s="796"/>
      <c r="E259" s="796"/>
      <c r="F259" s="761">
        <v>5895</v>
      </c>
      <c r="G259" s="761" t="s">
        <v>1277</v>
      </c>
      <c r="H259" s="799">
        <v>0</v>
      </c>
      <c r="I259" s="799">
        <v>0</v>
      </c>
      <c r="J259" s="799">
        <v>0</v>
      </c>
      <c r="K259" s="799">
        <v>19633</v>
      </c>
      <c r="L259" s="799">
        <v>0</v>
      </c>
      <c r="M259" s="799">
        <v>0</v>
      </c>
      <c r="N259" s="799">
        <v>15505</v>
      </c>
      <c r="O259" s="799">
        <v>0</v>
      </c>
      <c r="P259" s="799">
        <v>1123</v>
      </c>
      <c r="Q259" s="799">
        <v>0</v>
      </c>
      <c r="R259" s="799">
        <v>3932</v>
      </c>
      <c r="S259" s="799">
        <v>7544</v>
      </c>
    </row>
    <row r="260" spans="1:19" x14ac:dyDescent="0.2">
      <c r="A260" s="761">
        <v>2014</v>
      </c>
      <c r="B260" s="761">
        <v>7</v>
      </c>
      <c r="C260" s="796" t="s">
        <v>333</v>
      </c>
      <c r="D260" s="796"/>
      <c r="E260" s="796"/>
      <c r="F260" s="761">
        <v>5922</v>
      </c>
      <c r="G260" s="761" t="s">
        <v>1483</v>
      </c>
      <c r="H260" s="799">
        <v>0</v>
      </c>
      <c r="I260" s="799">
        <v>0</v>
      </c>
      <c r="J260" s="799">
        <v>12151</v>
      </c>
      <c r="K260" s="799">
        <v>13951</v>
      </c>
      <c r="L260" s="799">
        <v>0</v>
      </c>
      <c r="M260" s="799">
        <v>0</v>
      </c>
      <c r="N260" s="799">
        <v>5712</v>
      </c>
      <c r="O260" s="799">
        <v>0</v>
      </c>
      <c r="P260" s="799">
        <v>2434</v>
      </c>
      <c r="Q260" s="799">
        <v>0</v>
      </c>
      <c r="R260" s="799">
        <v>7630</v>
      </c>
      <c r="S260" s="799">
        <v>0</v>
      </c>
    </row>
    <row r="261" spans="1:19" x14ac:dyDescent="0.2">
      <c r="A261" s="761">
        <v>2014</v>
      </c>
      <c r="B261" s="761">
        <v>12</v>
      </c>
      <c r="C261" s="796" t="s">
        <v>334</v>
      </c>
      <c r="D261" s="796"/>
      <c r="E261" s="796"/>
      <c r="F261" s="761">
        <v>5949</v>
      </c>
      <c r="G261" s="761" t="s">
        <v>1278</v>
      </c>
      <c r="H261" s="799">
        <v>0</v>
      </c>
      <c r="I261" s="799">
        <v>0</v>
      </c>
      <c r="J261" s="799">
        <v>9249</v>
      </c>
      <c r="K261" s="799">
        <v>9260</v>
      </c>
      <c r="L261" s="799">
        <v>0</v>
      </c>
      <c r="M261" s="799">
        <v>155741</v>
      </c>
      <c r="N261" s="799">
        <v>1507</v>
      </c>
      <c r="O261" s="799">
        <v>0</v>
      </c>
      <c r="P261" s="799">
        <v>0</v>
      </c>
      <c r="Q261" s="799">
        <v>0</v>
      </c>
      <c r="R261" s="799">
        <v>4532</v>
      </c>
      <c r="S261" s="799">
        <v>22146</v>
      </c>
    </row>
    <row r="262" spans="1:19" x14ac:dyDescent="0.2">
      <c r="A262" s="761">
        <v>2014</v>
      </c>
      <c r="B262" s="761">
        <v>13</v>
      </c>
      <c r="C262" s="796" t="s">
        <v>335</v>
      </c>
      <c r="D262" s="796"/>
      <c r="E262" s="796"/>
      <c r="F262" s="761">
        <v>5976</v>
      </c>
      <c r="G262" s="761" t="s">
        <v>1279</v>
      </c>
      <c r="H262" s="799">
        <v>0</v>
      </c>
      <c r="I262" s="799">
        <v>0</v>
      </c>
      <c r="J262" s="799">
        <v>48123</v>
      </c>
      <c r="K262" s="799">
        <v>45032</v>
      </c>
      <c r="L262" s="799">
        <v>0</v>
      </c>
      <c r="M262" s="799">
        <v>0</v>
      </c>
      <c r="N262" s="799">
        <v>0</v>
      </c>
      <c r="O262" s="799">
        <v>99097</v>
      </c>
      <c r="P262" s="799">
        <v>31896</v>
      </c>
      <c r="Q262" s="799">
        <v>0</v>
      </c>
      <c r="R262" s="799">
        <v>7095</v>
      </c>
      <c r="S262" s="799">
        <v>28004</v>
      </c>
    </row>
    <row r="263" spans="1:19" x14ac:dyDescent="0.2">
      <c r="A263" s="761">
        <v>2014</v>
      </c>
      <c r="B263" s="761">
        <v>12</v>
      </c>
      <c r="C263" s="796" t="s">
        <v>336</v>
      </c>
      <c r="D263" s="796"/>
      <c r="E263" s="796"/>
      <c r="F263" s="761">
        <v>5994</v>
      </c>
      <c r="G263" s="761" t="s">
        <v>1280</v>
      </c>
      <c r="H263" s="799">
        <v>0</v>
      </c>
      <c r="I263" s="799">
        <v>64066</v>
      </c>
      <c r="J263" s="799">
        <v>102456</v>
      </c>
      <c r="K263" s="799">
        <v>109932</v>
      </c>
      <c r="L263" s="799">
        <v>0</v>
      </c>
      <c r="M263" s="799">
        <v>71285</v>
      </c>
      <c r="N263" s="799">
        <v>848</v>
      </c>
      <c r="O263" s="799">
        <v>31383</v>
      </c>
      <c r="P263" s="799">
        <v>47829</v>
      </c>
      <c r="Q263" s="799">
        <v>0</v>
      </c>
      <c r="R263" s="799">
        <v>7801</v>
      </c>
      <c r="S263" s="799">
        <v>16641</v>
      </c>
    </row>
    <row r="264" spans="1:19" x14ac:dyDescent="0.2">
      <c r="A264" s="761">
        <v>2014</v>
      </c>
      <c r="B264" s="761">
        <v>13</v>
      </c>
      <c r="C264" s="796" t="s">
        <v>337</v>
      </c>
      <c r="D264" s="796"/>
      <c r="E264" s="796"/>
      <c r="F264" s="761">
        <v>6003</v>
      </c>
      <c r="G264" s="761" t="s">
        <v>1281</v>
      </c>
      <c r="H264" s="799">
        <v>18013</v>
      </c>
      <c r="I264" s="799">
        <v>7037</v>
      </c>
      <c r="J264" s="799">
        <v>52651</v>
      </c>
      <c r="K264" s="799">
        <v>0</v>
      </c>
      <c r="L264" s="799">
        <v>0</v>
      </c>
      <c r="M264" s="799">
        <v>14055</v>
      </c>
      <c r="N264" s="799">
        <v>0</v>
      </c>
      <c r="O264" s="799">
        <v>9747</v>
      </c>
      <c r="P264" s="799">
        <v>0</v>
      </c>
      <c r="Q264" s="799">
        <v>0</v>
      </c>
      <c r="R264" s="799">
        <v>6214</v>
      </c>
      <c r="S264" s="799">
        <v>17037</v>
      </c>
    </row>
    <row r="265" spans="1:19" x14ac:dyDescent="0.2">
      <c r="A265" s="761">
        <v>2014</v>
      </c>
      <c r="B265" s="761">
        <v>15</v>
      </c>
      <c r="C265" s="796" t="s">
        <v>338</v>
      </c>
      <c r="D265" s="796"/>
      <c r="E265" s="796"/>
      <c r="F265" s="761">
        <v>6012</v>
      </c>
      <c r="G265" s="761" t="s">
        <v>1282</v>
      </c>
      <c r="H265" s="799">
        <v>0</v>
      </c>
      <c r="I265" s="799">
        <v>0</v>
      </c>
      <c r="J265" s="799">
        <v>0</v>
      </c>
      <c r="K265" s="799">
        <v>5284</v>
      </c>
      <c r="L265" s="799">
        <v>0</v>
      </c>
      <c r="M265" s="799">
        <v>0</v>
      </c>
      <c r="N265" s="799">
        <v>16348</v>
      </c>
      <c r="O265" s="799">
        <v>34475</v>
      </c>
      <c r="P265" s="799">
        <v>21182</v>
      </c>
      <c r="Q265" s="799">
        <v>0</v>
      </c>
      <c r="R265" s="799">
        <v>6956</v>
      </c>
      <c r="S265" s="799">
        <v>23815</v>
      </c>
    </row>
    <row r="266" spans="1:19" x14ac:dyDescent="0.2">
      <c r="A266" s="761">
        <v>2014</v>
      </c>
      <c r="B266" s="761">
        <v>12</v>
      </c>
      <c r="C266" s="796" t="s">
        <v>339</v>
      </c>
      <c r="D266" s="796"/>
      <c r="E266" s="796"/>
      <c r="F266" s="761">
        <v>6030</v>
      </c>
      <c r="G266" s="761" t="s">
        <v>1283</v>
      </c>
      <c r="H266" s="799">
        <v>0</v>
      </c>
      <c r="I266" s="799">
        <v>78353</v>
      </c>
      <c r="J266" s="799">
        <v>48315</v>
      </c>
      <c r="K266" s="799">
        <v>8550</v>
      </c>
      <c r="L266" s="799">
        <v>0</v>
      </c>
      <c r="M266" s="799">
        <v>0</v>
      </c>
      <c r="N266" s="799">
        <v>0</v>
      </c>
      <c r="O266" s="799">
        <v>0</v>
      </c>
      <c r="P266" s="799">
        <v>0</v>
      </c>
      <c r="Q266" s="799">
        <v>0</v>
      </c>
      <c r="R266" s="799">
        <v>8938</v>
      </c>
      <c r="S266" s="799">
        <v>34905</v>
      </c>
    </row>
    <row r="267" spans="1:19" x14ac:dyDescent="0.2">
      <c r="A267" s="761">
        <v>2014</v>
      </c>
      <c r="B267" s="761">
        <v>12</v>
      </c>
      <c r="C267" s="796" t="s">
        <v>340</v>
      </c>
      <c r="D267" s="796"/>
      <c r="E267" s="796"/>
      <c r="F267" s="761">
        <v>6039</v>
      </c>
      <c r="G267" s="761" t="s">
        <v>1284</v>
      </c>
      <c r="H267" s="799">
        <v>40689</v>
      </c>
      <c r="I267" s="799">
        <v>0</v>
      </c>
      <c r="J267" s="799">
        <v>0</v>
      </c>
      <c r="K267" s="799">
        <v>527077</v>
      </c>
      <c r="L267" s="799">
        <v>0</v>
      </c>
      <c r="M267" s="799">
        <v>1032676</v>
      </c>
      <c r="N267" s="799">
        <v>84142</v>
      </c>
      <c r="O267" s="799">
        <v>396635</v>
      </c>
      <c r="P267" s="799">
        <v>891718</v>
      </c>
      <c r="Q267" s="799">
        <v>56699</v>
      </c>
      <c r="R267" s="799">
        <v>47949</v>
      </c>
      <c r="S267" s="799">
        <v>145269</v>
      </c>
    </row>
    <row r="268" spans="1:19" x14ac:dyDescent="0.2">
      <c r="A268" s="761">
        <v>2014</v>
      </c>
      <c r="B268" s="761">
        <v>5</v>
      </c>
      <c r="C268" s="796" t="s">
        <v>341</v>
      </c>
      <c r="D268" s="796"/>
      <c r="E268" s="796"/>
      <c r="F268" s="761">
        <v>6035</v>
      </c>
      <c r="G268" s="761" t="s">
        <v>651</v>
      </c>
      <c r="H268" s="799">
        <v>0</v>
      </c>
      <c r="I268" s="799">
        <v>0</v>
      </c>
      <c r="J268" s="799">
        <v>90673</v>
      </c>
      <c r="K268" s="799">
        <v>31197</v>
      </c>
      <c r="L268" s="799">
        <v>0</v>
      </c>
      <c r="M268" s="799">
        <v>9467</v>
      </c>
      <c r="N268" s="799">
        <v>382</v>
      </c>
      <c r="O268" s="799">
        <v>51566</v>
      </c>
      <c r="P268" s="799">
        <v>42747</v>
      </c>
      <c r="Q268" s="799">
        <v>2254</v>
      </c>
      <c r="R268" s="799">
        <v>6792</v>
      </c>
      <c r="S268" s="799">
        <v>15489</v>
      </c>
    </row>
    <row r="269" spans="1:19" x14ac:dyDescent="0.2">
      <c r="A269" s="761">
        <v>2014</v>
      </c>
      <c r="B269" s="761">
        <v>5</v>
      </c>
      <c r="C269" s="796" t="s">
        <v>1871</v>
      </c>
      <c r="D269" s="761">
        <v>5625</v>
      </c>
      <c r="E269" s="796"/>
      <c r="F269" s="761">
        <v>6091</v>
      </c>
      <c r="G269" s="761" t="s">
        <v>1639</v>
      </c>
      <c r="H269" s="799">
        <v>1779</v>
      </c>
      <c r="I269" s="799">
        <v>0</v>
      </c>
      <c r="J269" s="799">
        <v>60356</v>
      </c>
      <c r="K269" s="799">
        <v>0</v>
      </c>
      <c r="L269" s="799">
        <v>0</v>
      </c>
      <c r="M269" s="799">
        <v>16724</v>
      </c>
      <c r="N269" s="799">
        <v>27474</v>
      </c>
      <c r="O269" s="799">
        <v>0</v>
      </c>
      <c r="P269" s="799">
        <v>0</v>
      </c>
      <c r="Q269" s="799">
        <v>0</v>
      </c>
      <c r="R269" s="799">
        <v>13492</v>
      </c>
      <c r="S269" s="799">
        <v>84723</v>
      </c>
    </row>
    <row r="270" spans="1:19" x14ac:dyDescent="0.2">
      <c r="A270" s="761">
        <v>2014</v>
      </c>
      <c r="B270" s="761">
        <v>10</v>
      </c>
      <c r="C270" s="796" t="s">
        <v>342</v>
      </c>
      <c r="D270" s="796"/>
      <c r="E270" s="796"/>
      <c r="F270" s="761">
        <v>6093</v>
      </c>
      <c r="G270" s="761" t="s">
        <v>1285</v>
      </c>
      <c r="H270" s="799">
        <v>0</v>
      </c>
      <c r="I270" s="799">
        <v>0</v>
      </c>
      <c r="J270" s="799">
        <v>0</v>
      </c>
      <c r="K270" s="799">
        <v>70092</v>
      </c>
      <c r="L270" s="799">
        <v>0</v>
      </c>
      <c r="M270" s="799">
        <v>97508</v>
      </c>
      <c r="N270" s="799">
        <v>47658</v>
      </c>
      <c r="O270" s="799">
        <v>12185</v>
      </c>
      <c r="P270" s="799">
        <v>766</v>
      </c>
      <c r="Q270" s="799">
        <v>0</v>
      </c>
      <c r="R270" s="799">
        <v>0</v>
      </c>
      <c r="S270" s="799">
        <v>24634</v>
      </c>
    </row>
    <row r="271" spans="1:19" x14ac:dyDescent="0.2">
      <c r="A271" s="761">
        <v>2014</v>
      </c>
      <c r="B271" s="761">
        <v>11</v>
      </c>
      <c r="C271" s="796" t="s">
        <v>343</v>
      </c>
      <c r="D271" s="796"/>
      <c r="E271" s="796"/>
      <c r="F271" s="761">
        <v>6094</v>
      </c>
      <c r="G271" s="761" t="s">
        <v>1286</v>
      </c>
      <c r="H271" s="799">
        <v>1800</v>
      </c>
      <c r="I271" s="799">
        <v>0</v>
      </c>
      <c r="J271" s="799">
        <v>116153</v>
      </c>
      <c r="K271" s="799">
        <v>50834</v>
      </c>
      <c r="L271" s="799">
        <v>0</v>
      </c>
      <c r="M271" s="799">
        <v>136199</v>
      </c>
      <c r="N271" s="799">
        <v>13327</v>
      </c>
      <c r="O271" s="799">
        <v>4101</v>
      </c>
      <c r="P271" s="799">
        <v>29052</v>
      </c>
      <c r="Q271" s="799">
        <v>46499</v>
      </c>
      <c r="R271" s="799">
        <v>7043</v>
      </c>
      <c r="S271" s="799">
        <v>13485</v>
      </c>
    </row>
    <row r="272" spans="1:19" x14ac:dyDescent="0.2">
      <c r="A272" s="761">
        <v>2014</v>
      </c>
      <c r="B272" s="761">
        <v>5</v>
      </c>
      <c r="C272" s="796" t="s">
        <v>344</v>
      </c>
      <c r="D272" s="796"/>
      <c r="E272" s="796"/>
      <c r="F272" s="761">
        <v>6095</v>
      </c>
      <c r="G272" s="761" t="s">
        <v>1287</v>
      </c>
      <c r="H272" s="799">
        <v>103304</v>
      </c>
      <c r="I272" s="799">
        <v>4721</v>
      </c>
      <c r="J272" s="799">
        <v>31805</v>
      </c>
      <c r="K272" s="799">
        <v>0</v>
      </c>
      <c r="L272" s="799">
        <v>0</v>
      </c>
      <c r="M272" s="799">
        <v>125539</v>
      </c>
      <c r="N272" s="799">
        <v>5031</v>
      </c>
      <c r="O272" s="799">
        <v>79386</v>
      </c>
      <c r="P272" s="799">
        <v>57585</v>
      </c>
      <c r="Q272" s="799">
        <v>0</v>
      </c>
      <c r="R272" s="799">
        <v>7457</v>
      </c>
      <c r="S272" s="799">
        <v>25975</v>
      </c>
    </row>
    <row r="273" spans="1:19" x14ac:dyDescent="0.2">
      <c r="A273" s="761">
        <v>2014</v>
      </c>
      <c r="B273" s="761">
        <v>5</v>
      </c>
      <c r="C273" s="796" t="s">
        <v>1469</v>
      </c>
      <c r="D273" s="796"/>
      <c r="E273" s="796"/>
      <c r="F273" s="761">
        <v>6096</v>
      </c>
      <c r="G273" s="761" t="s">
        <v>980</v>
      </c>
      <c r="H273" s="799">
        <v>0</v>
      </c>
      <c r="I273" s="799">
        <v>0</v>
      </c>
      <c r="J273" s="799">
        <v>0</v>
      </c>
      <c r="K273" s="799">
        <v>0</v>
      </c>
      <c r="L273" s="799">
        <v>0</v>
      </c>
      <c r="M273" s="799">
        <v>36380</v>
      </c>
      <c r="N273" s="799">
        <v>0</v>
      </c>
      <c r="O273" s="799">
        <v>17635</v>
      </c>
      <c r="P273" s="799">
        <v>0</v>
      </c>
      <c r="Q273" s="799">
        <v>0</v>
      </c>
      <c r="R273" s="799">
        <v>2170</v>
      </c>
      <c r="S273" s="799">
        <v>54456</v>
      </c>
    </row>
    <row r="274" spans="1:19" x14ac:dyDescent="0.2">
      <c r="A274" s="761">
        <v>2014</v>
      </c>
      <c r="B274" s="761">
        <v>13</v>
      </c>
      <c r="C274" s="796" t="s">
        <v>345</v>
      </c>
      <c r="D274" s="796"/>
      <c r="E274" s="796"/>
      <c r="F274" s="761">
        <v>6097</v>
      </c>
      <c r="G274" s="761" t="s">
        <v>1288</v>
      </c>
      <c r="H274" s="799">
        <v>0</v>
      </c>
      <c r="I274" s="799">
        <v>0</v>
      </c>
      <c r="J274" s="799">
        <v>28512</v>
      </c>
      <c r="K274" s="799">
        <v>0</v>
      </c>
      <c r="L274" s="799">
        <v>0</v>
      </c>
      <c r="M274" s="799">
        <v>0</v>
      </c>
      <c r="N274" s="799">
        <v>27472</v>
      </c>
      <c r="O274" s="799">
        <v>21230</v>
      </c>
      <c r="P274" s="799">
        <v>0</v>
      </c>
      <c r="Q274" s="799">
        <v>0</v>
      </c>
      <c r="R274" s="799">
        <v>5811</v>
      </c>
      <c r="S274" s="799">
        <v>10606</v>
      </c>
    </row>
    <row r="275" spans="1:19" x14ac:dyDescent="0.2">
      <c r="A275" s="761">
        <v>2014</v>
      </c>
      <c r="B275" s="761">
        <v>7</v>
      </c>
      <c r="C275" s="796" t="s">
        <v>346</v>
      </c>
      <c r="D275" s="796"/>
      <c r="E275" s="796"/>
      <c r="F275" s="761">
        <v>6098</v>
      </c>
      <c r="G275" s="761" t="s">
        <v>1289</v>
      </c>
      <c r="H275" s="799">
        <v>0</v>
      </c>
      <c r="I275" s="799">
        <v>0</v>
      </c>
      <c r="J275" s="799">
        <v>56433</v>
      </c>
      <c r="K275" s="799">
        <v>78841</v>
      </c>
      <c r="L275" s="799">
        <v>46151</v>
      </c>
      <c r="M275" s="799">
        <v>56398</v>
      </c>
      <c r="N275" s="799">
        <v>52656</v>
      </c>
      <c r="O275" s="799">
        <v>91832</v>
      </c>
      <c r="P275" s="799">
        <v>0</v>
      </c>
      <c r="Q275" s="799">
        <v>0</v>
      </c>
      <c r="R275" s="799">
        <v>9089</v>
      </c>
      <c r="S275" s="799">
        <v>65018</v>
      </c>
    </row>
    <row r="276" spans="1:19" x14ac:dyDescent="0.2">
      <c r="A276" s="761">
        <v>2014</v>
      </c>
      <c r="B276" s="761">
        <v>1</v>
      </c>
      <c r="C276" s="796" t="s">
        <v>347</v>
      </c>
      <c r="D276" s="796"/>
      <c r="E276" s="796"/>
      <c r="F276" s="761">
        <v>6100</v>
      </c>
      <c r="G276" s="761" t="s">
        <v>1290</v>
      </c>
      <c r="H276" s="799">
        <v>0</v>
      </c>
      <c r="I276" s="799">
        <v>0</v>
      </c>
      <c r="J276" s="799">
        <v>0</v>
      </c>
      <c r="K276" s="799">
        <v>0</v>
      </c>
      <c r="L276" s="799">
        <v>0</v>
      </c>
      <c r="M276" s="799">
        <v>60106</v>
      </c>
      <c r="N276" s="799">
        <v>0</v>
      </c>
      <c r="O276" s="799">
        <v>8770</v>
      </c>
      <c r="P276" s="799">
        <v>947</v>
      </c>
      <c r="Q276" s="799">
        <v>0</v>
      </c>
      <c r="R276" s="799">
        <v>7127</v>
      </c>
      <c r="S276" s="799">
        <v>7535</v>
      </c>
    </row>
    <row r="277" spans="1:19" x14ac:dyDescent="0.2">
      <c r="A277" s="761">
        <v>2014</v>
      </c>
      <c r="B277" s="761">
        <v>11</v>
      </c>
      <c r="C277" s="796" t="s">
        <v>348</v>
      </c>
      <c r="D277" s="796"/>
      <c r="E277" s="796"/>
      <c r="F277" s="761">
        <v>6101</v>
      </c>
      <c r="G277" s="761" t="s">
        <v>1291</v>
      </c>
      <c r="H277" s="799">
        <v>91348</v>
      </c>
      <c r="I277" s="799">
        <v>0</v>
      </c>
      <c r="J277" s="799">
        <v>108882</v>
      </c>
      <c r="K277" s="799">
        <v>129286</v>
      </c>
      <c r="L277" s="799">
        <v>0</v>
      </c>
      <c r="M277" s="799">
        <v>191040</v>
      </c>
      <c r="N277" s="799">
        <v>282270</v>
      </c>
      <c r="O277" s="799">
        <v>358736</v>
      </c>
      <c r="P277" s="799">
        <v>88795</v>
      </c>
      <c r="Q277" s="799">
        <v>35501</v>
      </c>
      <c r="R277" s="799">
        <v>28747</v>
      </c>
      <c r="S277" s="799">
        <v>108055</v>
      </c>
    </row>
    <row r="278" spans="1:19" x14ac:dyDescent="0.2">
      <c r="A278" s="761">
        <v>2014</v>
      </c>
      <c r="B278" s="761">
        <v>5</v>
      </c>
      <c r="C278" s="796" t="s">
        <v>349</v>
      </c>
      <c r="D278" s="796"/>
      <c r="E278" s="796"/>
      <c r="F278" s="761">
        <v>6102</v>
      </c>
      <c r="G278" s="761" t="s">
        <v>1292</v>
      </c>
      <c r="H278" s="799">
        <v>0</v>
      </c>
      <c r="I278" s="799">
        <v>0</v>
      </c>
      <c r="J278" s="799">
        <v>13468</v>
      </c>
      <c r="K278" s="799">
        <v>117500</v>
      </c>
      <c r="L278" s="799">
        <v>0</v>
      </c>
      <c r="M278" s="799">
        <v>0</v>
      </c>
      <c r="N278" s="799">
        <v>87010</v>
      </c>
      <c r="O278" s="799">
        <v>188</v>
      </c>
      <c r="P278" s="799">
        <v>136207</v>
      </c>
      <c r="Q278" s="799">
        <v>48955</v>
      </c>
      <c r="R278" s="799">
        <v>2256</v>
      </c>
      <c r="S278" s="799">
        <v>39734</v>
      </c>
    </row>
    <row r="279" spans="1:19" x14ac:dyDescent="0.2">
      <c r="A279" s="761">
        <v>2014</v>
      </c>
      <c r="B279" s="761">
        <v>5</v>
      </c>
      <c r="C279" s="796" t="s">
        <v>350</v>
      </c>
      <c r="D279" s="796"/>
      <c r="E279" s="796"/>
      <c r="F279" s="761">
        <v>6120</v>
      </c>
      <c r="G279" s="761" t="s">
        <v>1293</v>
      </c>
      <c r="H279" s="799">
        <v>0</v>
      </c>
      <c r="I279" s="799">
        <v>0</v>
      </c>
      <c r="J279" s="799">
        <v>0</v>
      </c>
      <c r="K279" s="799">
        <v>38472</v>
      </c>
      <c r="L279" s="799">
        <v>0</v>
      </c>
      <c r="M279" s="799">
        <v>35531</v>
      </c>
      <c r="N279" s="799">
        <v>0</v>
      </c>
      <c r="O279" s="799">
        <v>42</v>
      </c>
      <c r="P279" s="799">
        <v>16399</v>
      </c>
      <c r="Q279" s="799">
        <v>0</v>
      </c>
      <c r="R279" s="799">
        <v>9330</v>
      </c>
      <c r="S279" s="799">
        <v>22168</v>
      </c>
    </row>
    <row r="280" spans="1:19" x14ac:dyDescent="0.2">
      <c r="A280" s="761">
        <v>2014</v>
      </c>
      <c r="B280" s="761">
        <v>10</v>
      </c>
      <c r="C280" s="796" t="s">
        <v>351</v>
      </c>
      <c r="D280" s="796"/>
      <c r="E280" s="796"/>
      <c r="F280" s="761">
        <v>6138</v>
      </c>
      <c r="G280" s="761" t="s">
        <v>1294</v>
      </c>
      <c r="H280" s="799">
        <v>0</v>
      </c>
      <c r="I280" s="799">
        <v>0</v>
      </c>
      <c r="J280" s="799">
        <v>12897</v>
      </c>
      <c r="K280" s="799">
        <v>44390</v>
      </c>
      <c r="L280" s="799">
        <v>0</v>
      </c>
      <c r="M280" s="799">
        <v>9206</v>
      </c>
      <c r="N280" s="799">
        <v>37696</v>
      </c>
      <c r="O280" s="799">
        <v>22</v>
      </c>
      <c r="P280" s="799">
        <v>16966</v>
      </c>
      <c r="Q280" s="799">
        <v>0</v>
      </c>
      <c r="R280" s="799">
        <v>4501</v>
      </c>
      <c r="S280" s="799">
        <v>14780</v>
      </c>
    </row>
    <row r="281" spans="1:19" x14ac:dyDescent="0.2">
      <c r="A281" s="761">
        <v>2014</v>
      </c>
      <c r="B281" s="761">
        <v>13</v>
      </c>
      <c r="C281" s="796" t="s">
        <v>352</v>
      </c>
      <c r="D281" s="796"/>
      <c r="E281" s="796"/>
      <c r="F281" s="761">
        <v>6165</v>
      </c>
      <c r="G281" s="761" t="s">
        <v>1295</v>
      </c>
      <c r="H281" s="799">
        <v>0</v>
      </c>
      <c r="I281" s="799">
        <v>0</v>
      </c>
      <c r="J281" s="799">
        <v>0</v>
      </c>
      <c r="K281" s="799">
        <v>54265</v>
      </c>
      <c r="L281" s="799">
        <v>0</v>
      </c>
      <c r="M281" s="799">
        <v>23107</v>
      </c>
      <c r="N281" s="799">
        <v>10549</v>
      </c>
      <c r="O281" s="799">
        <v>2727</v>
      </c>
      <c r="P281" s="799">
        <v>7485</v>
      </c>
      <c r="Q281" s="799">
        <v>0</v>
      </c>
      <c r="R281" s="799">
        <v>4800</v>
      </c>
      <c r="S281" s="799">
        <v>13089</v>
      </c>
    </row>
    <row r="282" spans="1:19" x14ac:dyDescent="0.2">
      <c r="A282" s="761">
        <v>2014</v>
      </c>
      <c r="B282" s="761">
        <v>1</v>
      </c>
      <c r="C282" s="796" t="s">
        <v>353</v>
      </c>
      <c r="D282" s="796"/>
      <c r="E282" s="796"/>
      <c r="F282" s="761">
        <v>6175</v>
      </c>
      <c r="G282" s="761" t="s">
        <v>1296</v>
      </c>
      <c r="H282" s="799">
        <v>0</v>
      </c>
      <c r="I282" s="799">
        <v>0</v>
      </c>
      <c r="J282" s="799">
        <v>0</v>
      </c>
      <c r="K282" s="799">
        <v>45893</v>
      </c>
      <c r="L282" s="799">
        <v>0</v>
      </c>
      <c r="M282" s="799">
        <v>0</v>
      </c>
      <c r="N282" s="799">
        <v>0</v>
      </c>
      <c r="O282" s="799">
        <v>23776</v>
      </c>
      <c r="P282" s="799">
        <v>11831</v>
      </c>
      <c r="Q282" s="799">
        <v>0</v>
      </c>
      <c r="R282" s="799">
        <v>5163</v>
      </c>
      <c r="S282" s="799">
        <v>0</v>
      </c>
    </row>
    <row r="283" spans="1:19" x14ac:dyDescent="0.2">
      <c r="A283" s="761">
        <v>2014</v>
      </c>
      <c r="B283" s="761">
        <v>5</v>
      </c>
      <c r="C283" s="796" t="s">
        <v>354</v>
      </c>
      <c r="D283" s="796"/>
      <c r="E283" s="796"/>
      <c r="F283" s="761">
        <v>6219</v>
      </c>
      <c r="G283" s="761" t="s">
        <v>1297</v>
      </c>
      <c r="H283" s="799">
        <v>61919</v>
      </c>
      <c r="I283" s="799">
        <v>0</v>
      </c>
      <c r="J283" s="799">
        <v>721979</v>
      </c>
      <c r="K283" s="799">
        <v>161632</v>
      </c>
      <c r="L283" s="799">
        <v>0</v>
      </c>
      <c r="M283" s="799">
        <v>0</v>
      </c>
      <c r="N283" s="799">
        <v>9212</v>
      </c>
      <c r="O283" s="799">
        <v>41525</v>
      </c>
      <c r="P283" s="799">
        <v>6666</v>
      </c>
      <c r="Q283" s="799">
        <v>0</v>
      </c>
      <c r="R283" s="799">
        <v>12186</v>
      </c>
      <c r="S283" s="799">
        <v>44485</v>
      </c>
    </row>
    <row r="284" spans="1:19" x14ac:dyDescent="0.2">
      <c r="A284" s="761">
        <v>2014</v>
      </c>
      <c r="B284" s="761">
        <v>5</v>
      </c>
      <c r="C284" s="796" t="s">
        <v>355</v>
      </c>
      <c r="D284" s="796"/>
      <c r="E284" s="796"/>
      <c r="F284" s="761">
        <v>6246</v>
      </c>
      <c r="G284" s="761" t="s">
        <v>1298</v>
      </c>
      <c r="H284" s="799">
        <v>0</v>
      </c>
      <c r="I284" s="799">
        <v>0</v>
      </c>
      <c r="J284" s="799">
        <v>0</v>
      </c>
      <c r="K284" s="799">
        <v>8531</v>
      </c>
      <c r="L284" s="799">
        <v>0</v>
      </c>
      <c r="M284" s="799">
        <v>0</v>
      </c>
      <c r="N284" s="799">
        <v>0</v>
      </c>
      <c r="O284" s="799">
        <v>0</v>
      </c>
      <c r="P284" s="799">
        <v>0</v>
      </c>
      <c r="Q284" s="799">
        <v>0</v>
      </c>
      <c r="R284" s="799">
        <v>3902</v>
      </c>
      <c r="S284" s="799">
        <v>0</v>
      </c>
    </row>
    <row r="285" spans="1:19" x14ac:dyDescent="0.2">
      <c r="A285" s="761">
        <v>2014</v>
      </c>
      <c r="B285" s="761">
        <v>11</v>
      </c>
      <c r="C285" s="796" t="s">
        <v>356</v>
      </c>
      <c r="D285" s="796"/>
      <c r="E285" s="796"/>
      <c r="F285" s="761">
        <v>6264</v>
      </c>
      <c r="G285" s="761" t="s">
        <v>1299</v>
      </c>
      <c r="H285" s="799">
        <v>2369</v>
      </c>
      <c r="I285" s="799">
        <v>9793</v>
      </c>
      <c r="J285" s="799">
        <v>26828</v>
      </c>
      <c r="K285" s="799">
        <v>39695</v>
      </c>
      <c r="L285" s="799">
        <v>0</v>
      </c>
      <c r="M285" s="799">
        <v>90826</v>
      </c>
      <c r="N285" s="799">
        <v>0</v>
      </c>
      <c r="O285" s="799">
        <v>0</v>
      </c>
      <c r="P285" s="799">
        <v>0</v>
      </c>
      <c r="Q285" s="799">
        <v>0</v>
      </c>
      <c r="R285" s="799">
        <v>7015</v>
      </c>
      <c r="S285" s="799">
        <v>17443</v>
      </c>
    </row>
    <row r="286" spans="1:19" x14ac:dyDescent="0.2">
      <c r="A286" s="761">
        <v>2014</v>
      </c>
      <c r="B286" s="761">
        <v>7</v>
      </c>
      <c r="C286" s="796" t="s">
        <v>357</v>
      </c>
      <c r="D286" s="761">
        <v>2349</v>
      </c>
      <c r="E286" s="796"/>
      <c r="F286" s="761">
        <v>6273</v>
      </c>
      <c r="G286" s="761" t="s">
        <v>1640</v>
      </c>
      <c r="H286" s="799">
        <v>0</v>
      </c>
      <c r="I286" s="799">
        <v>0</v>
      </c>
      <c r="J286" s="799">
        <v>20859</v>
      </c>
      <c r="K286" s="799">
        <v>26987</v>
      </c>
      <c r="L286" s="799">
        <v>7096</v>
      </c>
      <c r="M286" s="799">
        <v>246747</v>
      </c>
      <c r="N286" s="799">
        <v>26222</v>
      </c>
      <c r="O286" s="799">
        <v>21191</v>
      </c>
      <c r="P286" s="799">
        <v>30590</v>
      </c>
      <c r="Q286" s="799">
        <v>0</v>
      </c>
      <c r="R286" s="799">
        <v>13072</v>
      </c>
      <c r="S286" s="799">
        <v>26786</v>
      </c>
    </row>
    <row r="287" spans="1:19" x14ac:dyDescent="0.2">
      <c r="A287" s="761">
        <v>2014</v>
      </c>
      <c r="B287" s="761">
        <v>10</v>
      </c>
      <c r="C287" s="796" t="s">
        <v>358</v>
      </c>
      <c r="D287" s="796"/>
      <c r="E287" s="796"/>
      <c r="F287" s="761">
        <v>6408</v>
      </c>
      <c r="G287" s="761" t="s">
        <v>1300</v>
      </c>
      <c r="H287" s="799">
        <v>0</v>
      </c>
      <c r="I287" s="799">
        <v>0</v>
      </c>
      <c r="J287" s="799">
        <v>0</v>
      </c>
      <c r="K287" s="799">
        <v>0</v>
      </c>
      <c r="L287" s="799">
        <v>0</v>
      </c>
      <c r="M287" s="799">
        <v>51829</v>
      </c>
      <c r="N287" s="799">
        <v>40404</v>
      </c>
      <c r="O287" s="799">
        <v>34576</v>
      </c>
      <c r="P287" s="799">
        <v>33956</v>
      </c>
      <c r="Q287" s="799">
        <v>0</v>
      </c>
      <c r="R287" s="799">
        <v>4643</v>
      </c>
      <c r="S287" s="799">
        <v>17874</v>
      </c>
    </row>
    <row r="288" spans="1:19" x14ac:dyDescent="0.2">
      <c r="A288" s="761">
        <v>2014</v>
      </c>
      <c r="B288" s="761">
        <v>13</v>
      </c>
      <c r="C288" s="796" t="s">
        <v>359</v>
      </c>
      <c r="D288" s="796"/>
      <c r="E288" s="796"/>
      <c r="F288" s="761">
        <v>6453</v>
      </c>
      <c r="G288" s="761" t="s">
        <v>1301</v>
      </c>
      <c r="H288" s="799">
        <v>0</v>
      </c>
      <c r="I288" s="799">
        <v>0</v>
      </c>
      <c r="J288" s="799">
        <v>64819</v>
      </c>
      <c r="K288" s="799">
        <v>39281</v>
      </c>
      <c r="L288" s="799">
        <v>0</v>
      </c>
      <c r="M288" s="799">
        <v>0</v>
      </c>
      <c r="N288" s="799">
        <v>6259</v>
      </c>
      <c r="O288" s="799">
        <v>14142</v>
      </c>
      <c r="P288" s="799">
        <v>3278</v>
      </c>
      <c r="Q288" s="799">
        <v>0</v>
      </c>
      <c r="R288" s="799">
        <v>7211</v>
      </c>
      <c r="S288" s="799">
        <v>15666</v>
      </c>
    </row>
    <row r="289" spans="1:19" x14ac:dyDescent="0.2">
      <c r="A289" s="761">
        <v>2014</v>
      </c>
      <c r="B289" s="761">
        <v>13</v>
      </c>
      <c r="C289" s="796" t="s">
        <v>360</v>
      </c>
      <c r="D289" s="796"/>
      <c r="E289" s="796"/>
      <c r="F289" s="761">
        <v>6460</v>
      </c>
      <c r="G289" s="761" t="s">
        <v>1302</v>
      </c>
      <c r="H289" s="799">
        <v>0</v>
      </c>
      <c r="I289" s="799">
        <v>0</v>
      </c>
      <c r="J289" s="799">
        <v>0</v>
      </c>
      <c r="K289" s="799">
        <v>10204</v>
      </c>
      <c r="L289" s="799">
        <v>13281</v>
      </c>
      <c r="M289" s="799">
        <v>0</v>
      </c>
      <c r="N289" s="799">
        <v>56132</v>
      </c>
      <c r="O289" s="799">
        <v>2292</v>
      </c>
      <c r="P289" s="799">
        <v>13570</v>
      </c>
      <c r="Q289" s="799">
        <v>0</v>
      </c>
      <c r="R289" s="799">
        <v>7516</v>
      </c>
      <c r="S289" s="799">
        <v>17257</v>
      </c>
    </row>
    <row r="290" spans="1:19" x14ac:dyDescent="0.2">
      <c r="A290" s="761">
        <v>2014</v>
      </c>
      <c r="B290" s="761">
        <v>15</v>
      </c>
      <c r="C290" s="796" t="s">
        <v>361</v>
      </c>
      <c r="D290" s="796"/>
      <c r="E290" s="796"/>
      <c r="F290" s="761">
        <v>6462</v>
      </c>
      <c r="G290" s="761" t="s">
        <v>1303</v>
      </c>
      <c r="H290" s="799">
        <v>0</v>
      </c>
      <c r="I290" s="799">
        <v>0</v>
      </c>
      <c r="J290" s="799">
        <v>0</v>
      </c>
      <c r="K290" s="799">
        <v>0</v>
      </c>
      <c r="L290" s="799">
        <v>0</v>
      </c>
      <c r="M290" s="799">
        <v>2507</v>
      </c>
      <c r="N290" s="799">
        <v>2828</v>
      </c>
      <c r="O290" s="799">
        <v>11002</v>
      </c>
      <c r="P290" s="799">
        <v>7689</v>
      </c>
      <c r="Q290" s="799">
        <v>0</v>
      </c>
      <c r="R290" s="799">
        <v>3768</v>
      </c>
      <c r="S290" s="799">
        <v>289</v>
      </c>
    </row>
    <row r="291" spans="1:19" x14ac:dyDescent="0.2">
      <c r="A291" s="761">
        <v>2014</v>
      </c>
      <c r="B291" s="761">
        <v>7</v>
      </c>
      <c r="C291" s="796" t="s">
        <v>362</v>
      </c>
      <c r="D291" s="796"/>
      <c r="E291" s="796"/>
      <c r="F291" s="761">
        <v>6471</v>
      </c>
      <c r="G291" s="761" t="s">
        <v>1304</v>
      </c>
      <c r="H291" s="799">
        <v>0</v>
      </c>
      <c r="I291" s="799">
        <v>0</v>
      </c>
      <c r="J291" s="799">
        <v>0</v>
      </c>
      <c r="K291" s="799">
        <v>58412</v>
      </c>
      <c r="L291" s="799">
        <v>0</v>
      </c>
      <c r="M291" s="799">
        <v>46323</v>
      </c>
      <c r="N291" s="799">
        <v>21945</v>
      </c>
      <c r="O291" s="799">
        <v>597</v>
      </c>
      <c r="P291" s="799">
        <v>11575</v>
      </c>
      <c r="Q291" s="799">
        <v>0</v>
      </c>
      <c r="R291" s="799">
        <v>3942</v>
      </c>
      <c r="S291" s="799">
        <v>11625</v>
      </c>
    </row>
    <row r="292" spans="1:19" x14ac:dyDescent="0.2">
      <c r="A292" s="761">
        <v>2014</v>
      </c>
      <c r="B292" s="761">
        <v>1</v>
      </c>
      <c r="C292" s="796" t="s">
        <v>363</v>
      </c>
      <c r="D292" s="796"/>
      <c r="E292" s="796"/>
      <c r="F292" s="761">
        <v>6509</v>
      </c>
      <c r="G292" s="761" t="s">
        <v>1305</v>
      </c>
      <c r="H292" s="799">
        <v>1714</v>
      </c>
      <c r="I292" s="799">
        <v>0</v>
      </c>
      <c r="J292" s="799">
        <v>0</v>
      </c>
      <c r="K292" s="799">
        <v>17813</v>
      </c>
      <c r="L292" s="799">
        <v>0</v>
      </c>
      <c r="M292" s="799">
        <v>25527</v>
      </c>
      <c r="N292" s="799">
        <v>55000</v>
      </c>
      <c r="O292" s="799">
        <v>0</v>
      </c>
      <c r="P292" s="799">
        <v>582</v>
      </c>
      <c r="Q292" s="799">
        <v>0</v>
      </c>
      <c r="R292" s="799">
        <v>6414</v>
      </c>
      <c r="S292" s="799">
        <v>214843</v>
      </c>
    </row>
    <row r="293" spans="1:19" x14ac:dyDescent="0.2">
      <c r="A293" s="761">
        <v>2014</v>
      </c>
      <c r="B293" s="761">
        <v>11</v>
      </c>
      <c r="C293" s="796" t="s">
        <v>364</v>
      </c>
      <c r="D293" s="796"/>
      <c r="E293" s="796"/>
      <c r="F293" s="761">
        <v>6512</v>
      </c>
      <c r="G293" s="761" t="s">
        <v>1306</v>
      </c>
      <c r="H293" s="799">
        <v>0</v>
      </c>
      <c r="I293" s="799">
        <v>0</v>
      </c>
      <c r="J293" s="799">
        <v>0</v>
      </c>
      <c r="K293" s="799">
        <v>0</v>
      </c>
      <c r="L293" s="799">
        <v>0</v>
      </c>
      <c r="M293" s="799">
        <v>23252</v>
      </c>
      <c r="N293" s="799">
        <v>1601</v>
      </c>
      <c r="O293" s="799">
        <v>23004</v>
      </c>
      <c r="P293" s="799">
        <v>3493</v>
      </c>
      <c r="Q293" s="799">
        <v>0</v>
      </c>
      <c r="R293" s="799">
        <v>6394</v>
      </c>
      <c r="S293" s="799">
        <v>10074</v>
      </c>
    </row>
    <row r="294" spans="1:19" x14ac:dyDescent="0.2">
      <c r="A294" s="761">
        <v>2014</v>
      </c>
      <c r="B294" s="761">
        <v>5</v>
      </c>
      <c r="C294" s="796" t="s">
        <v>365</v>
      </c>
      <c r="D294" s="796"/>
      <c r="E294" s="796"/>
      <c r="F294" s="761">
        <v>6516</v>
      </c>
      <c r="G294" s="761" t="s">
        <v>1307</v>
      </c>
      <c r="H294" s="799">
        <v>0</v>
      </c>
      <c r="I294" s="799">
        <v>0</v>
      </c>
      <c r="J294" s="799">
        <v>0</v>
      </c>
      <c r="K294" s="799">
        <v>0</v>
      </c>
      <c r="L294" s="799">
        <v>0</v>
      </c>
      <c r="M294" s="799">
        <v>0</v>
      </c>
      <c r="N294" s="799">
        <v>4304</v>
      </c>
      <c r="O294" s="799">
        <v>8606</v>
      </c>
      <c r="P294" s="799">
        <v>0</v>
      </c>
      <c r="Q294" s="799">
        <v>0</v>
      </c>
      <c r="R294" s="799">
        <v>131</v>
      </c>
      <c r="S294" s="799">
        <v>10484</v>
      </c>
    </row>
    <row r="295" spans="1:19" x14ac:dyDescent="0.2">
      <c r="A295" s="761">
        <v>2014</v>
      </c>
      <c r="B295" s="761">
        <v>13</v>
      </c>
      <c r="C295" s="796" t="s">
        <v>366</v>
      </c>
      <c r="D295" s="796"/>
      <c r="E295" s="796"/>
      <c r="F295" s="761">
        <v>6534</v>
      </c>
      <c r="G295" s="761" t="s">
        <v>1312</v>
      </c>
      <c r="H295" s="799">
        <v>0</v>
      </c>
      <c r="I295" s="799">
        <v>0</v>
      </c>
      <c r="J295" s="799">
        <v>30976</v>
      </c>
      <c r="K295" s="799">
        <v>0</v>
      </c>
      <c r="L295" s="799">
        <v>0</v>
      </c>
      <c r="M295" s="799">
        <v>60998</v>
      </c>
      <c r="N295" s="799">
        <v>0</v>
      </c>
      <c r="O295" s="799">
        <v>940</v>
      </c>
      <c r="P295" s="799">
        <v>9663</v>
      </c>
      <c r="Q295" s="799">
        <v>0</v>
      </c>
      <c r="R295" s="799">
        <v>5745</v>
      </c>
      <c r="S295" s="799">
        <v>17619</v>
      </c>
    </row>
    <row r="296" spans="1:19" x14ac:dyDescent="0.2">
      <c r="A296" s="761">
        <v>2014</v>
      </c>
      <c r="B296" s="761">
        <v>11</v>
      </c>
      <c r="C296" s="796" t="s">
        <v>367</v>
      </c>
      <c r="D296" s="796"/>
      <c r="E296" s="796"/>
      <c r="F296" s="761">
        <v>6561</v>
      </c>
      <c r="G296" s="761" t="s">
        <v>1313</v>
      </c>
      <c r="H296" s="799">
        <v>4981</v>
      </c>
      <c r="I296" s="799">
        <v>0</v>
      </c>
      <c r="J296" s="799">
        <v>0</v>
      </c>
      <c r="K296" s="799">
        <v>0</v>
      </c>
      <c r="L296" s="799">
        <v>0</v>
      </c>
      <c r="M296" s="799">
        <v>663</v>
      </c>
      <c r="N296" s="799">
        <v>9826</v>
      </c>
      <c r="O296" s="799">
        <v>15962</v>
      </c>
      <c r="P296" s="799">
        <v>11553</v>
      </c>
      <c r="Q296" s="799">
        <v>20146</v>
      </c>
      <c r="R296" s="799">
        <v>6214</v>
      </c>
      <c r="S296" s="799">
        <v>24069</v>
      </c>
    </row>
    <row r="297" spans="1:19" x14ac:dyDescent="0.2">
      <c r="A297" s="761">
        <v>2014</v>
      </c>
      <c r="B297" s="761">
        <v>11</v>
      </c>
      <c r="C297" s="796" t="s">
        <v>368</v>
      </c>
      <c r="D297" s="796"/>
      <c r="E297" s="796"/>
      <c r="F297" s="761">
        <v>6579</v>
      </c>
      <c r="G297" s="761" t="s">
        <v>1314</v>
      </c>
      <c r="H297" s="799">
        <v>0</v>
      </c>
      <c r="I297" s="799">
        <v>0</v>
      </c>
      <c r="J297" s="799">
        <v>0</v>
      </c>
      <c r="K297" s="799">
        <v>0</v>
      </c>
      <c r="L297" s="799">
        <v>0</v>
      </c>
      <c r="M297" s="799">
        <v>0</v>
      </c>
      <c r="N297" s="799">
        <v>0</v>
      </c>
      <c r="O297" s="799">
        <v>90484</v>
      </c>
      <c r="P297" s="799">
        <v>131052</v>
      </c>
      <c r="Q297" s="799">
        <v>0</v>
      </c>
      <c r="R297" s="799">
        <v>14898</v>
      </c>
      <c r="S297" s="799">
        <v>52174</v>
      </c>
    </row>
    <row r="298" spans="1:19" x14ac:dyDescent="0.2">
      <c r="A298" s="761">
        <v>2014</v>
      </c>
      <c r="B298" s="761">
        <v>1</v>
      </c>
      <c r="C298" s="796" t="s">
        <v>369</v>
      </c>
      <c r="D298" s="796"/>
      <c r="E298" s="796"/>
      <c r="F298" s="761">
        <v>6591</v>
      </c>
      <c r="G298" s="761" t="s">
        <v>1333</v>
      </c>
      <c r="H298" s="799">
        <v>0</v>
      </c>
      <c r="I298" s="799">
        <v>0</v>
      </c>
      <c r="J298" s="799">
        <v>1490</v>
      </c>
      <c r="K298" s="799">
        <v>9135</v>
      </c>
      <c r="L298" s="799">
        <v>0</v>
      </c>
      <c r="M298" s="799">
        <v>60396</v>
      </c>
      <c r="N298" s="799">
        <v>2793</v>
      </c>
      <c r="O298" s="799">
        <v>13004</v>
      </c>
      <c r="P298" s="799">
        <v>25497</v>
      </c>
      <c r="Q298" s="799">
        <v>29832</v>
      </c>
      <c r="R298" s="799">
        <v>6529</v>
      </c>
      <c r="S298" s="799">
        <v>20750</v>
      </c>
    </row>
    <row r="299" spans="1:19" x14ac:dyDescent="0.2">
      <c r="A299" s="761">
        <v>2014</v>
      </c>
      <c r="B299" s="761">
        <v>15</v>
      </c>
      <c r="C299" s="796" t="s">
        <v>370</v>
      </c>
      <c r="D299" s="796"/>
      <c r="E299" s="796"/>
      <c r="F299" s="761">
        <v>6592</v>
      </c>
      <c r="G299" s="761" t="s">
        <v>2013</v>
      </c>
      <c r="H299" s="799">
        <v>159757</v>
      </c>
      <c r="I299" s="799">
        <v>0</v>
      </c>
      <c r="J299" s="799">
        <v>127680</v>
      </c>
      <c r="K299" s="799">
        <v>54366</v>
      </c>
      <c r="L299" s="799">
        <v>0</v>
      </c>
      <c r="M299" s="799">
        <v>172574</v>
      </c>
      <c r="N299" s="799">
        <v>386</v>
      </c>
      <c r="O299" s="799">
        <v>5191</v>
      </c>
      <c r="P299" s="799">
        <v>23248</v>
      </c>
      <c r="Q299" s="799">
        <v>0</v>
      </c>
      <c r="R299" s="799">
        <v>5498</v>
      </c>
      <c r="S299" s="799">
        <v>8762</v>
      </c>
    </row>
    <row r="300" spans="1:19" x14ac:dyDescent="0.2">
      <c r="A300" s="761">
        <v>2014</v>
      </c>
      <c r="B300" s="761">
        <v>11</v>
      </c>
      <c r="C300" s="796" t="s">
        <v>371</v>
      </c>
      <c r="D300" s="796"/>
      <c r="E300" s="796"/>
      <c r="F300" s="761">
        <v>6615</v>
      </c>
      <c r="G300" s="761" t="s">
        <v>1334</v>
      </c>
      <c r="H300" s="799">
        <v>0</v>
      </c>
      <c r="I300" s="799">
        <v>1269</v>
      </c>
      <c r="J300" s="799">
        <v>4099</v>
      </c>
      <c r="K300" s="799">
        <v>0</v>
      </c>
      <c r="L300" s="799">
        <v>0</v>
      </c>
      <c r="M300" s="799">
        <v>0</v>
      </c>
      <c r="N300" s="799">
        <v>25577</v>
      </c>
      <c r="O300" s="799">
        <v>1845</v>
      </c>
      <c r="P300" s="799">
        <v>0</v>
      </c>
      <c r="Q300" s="799">
        <v>0</v>
      </c>
      <c r="R300" s="799">
        <v>0</v>
      </c>
      <c r="S300" s="799">
        <v>21529</v>
      </c>
    </row>
    <row r="301" spans="1:19" x14ac:dyDescent="0.2">
      <c r="A301" s="761">
        <v>2014</v>
      </c>
      <c r="B301" s="761">
        <v>13</v>
      </c>
      <c r="C301" s="796" t="s">
        <v>372</v>
      </c>
      <c r="D301" s="796"/>
      <c r="E301" s="796"/>
      <c r="F301" s="761">
        <v>6651</v>
      </c>
      <c r="G301" s="761" t="s">
        <v>1335</v>
      </c>
      <c r="H301" s="799">
        <v>0</v>
      </c>
      <c r="I301" s="799">
        <v>0</v>
      </c>
      <c r="J301" s="799">
        <v>46379</v>
      </c>
      <c r="K301" s="799">
        <v>11940</v>
      </c>
      <c r="L301" s="799">
        <v>0</v>
      </c>
      <c r="M301" s="799">
        <v>0</v>
      </c>
      <c r="N301" s="799">
        <v>17990</v>
      </c>
      <c r="O301" s="799">
        <v>0</v>
      </c>
      <c r="P301" s="799">
        <v>0</v>
      </c>
      <c r="Q301" s="799">
        <v>0</v>
      </c>
      <c r="R301" s="799">
        <v>6239</v>
      </c>
      <c r="S301" s="799">
        <v>8072</v>
      </c>
    </row>
    <row r="302" spans="1:19" x14ac:dyDescent="0.2">
      <c r="A302" s="761">
        <v>2014</v>
      </c>
      <c r="B302" s="761">
        <v>10</v>
      </c>
      <c r="C302" s="796" t="s">
        <v>373</v>
      </c>
      <c r="D302" s="796"/>
      <c r="E302" s="796"/>
      <c r="F302" s="761">
        <v>6660</v>
      </c>
      <c r="G302" s="761" t="s">
        <v>652</v>
      </c>
      <c r="H302" s="799">
        <v>0</v>
      </c>
      <c r="I302" s="799">
        <v>2639</v>
      </c>
      <c r="J302" s="799">
        <v>171851</v>
      </c>
      <c r="K302" s="799">
        <v>92962</v>
      </c>
      <c r="L302" s="799">
        <v>0</v>
      </c>
      <c r="M302" s="799">
        <v>0</v>
      </c>
      <c r="N302" s="799">
        <v>142995</v>
      </c>
      <c r="O302" s="799">
        <v>78000</v>
      </c>
      <c r="P302" s="799">
        <v>69435</v>
      </c>
      <c r="Q302" s="799">
        <v>0</v>
      </c>
      <c r="R302" s="799">
        <v>959</v>
      </c>
      <c r="S302" s="799">
        <v>46675</v>
      </c>
    </row>
    <row r="303" spans="1:19" x14ac:dyDescent="0.2">
      <c r="A303" s="761">
        <v>2014</v>
      </c>
      <c r="B303" s="761">
        <v>15</v>
      </c>
      <c r="C303" s="796" t="s">
        <v>374</v>
      </c>
      <c r="D303" s="796"/>
      <c r="E303" s="796"/>
      <c r="F303" s="761">
        <v>6700</v>
      </c>
      <c r="G303" s="761" t="s">
        <v>1336</v>
      </c>
      <c r="H303" s="799">
        <v>37806</v>
      </c>
      <c r="I303" s="799">
        <v>24548</v>
      </c>
      <c r="J303" s="799">
        <v>136547</v>
      </c>
      <c r="K303" s="799">
        <v>43462</v>
      </c>
      <c r="L303" s="799">
        <v>0</v>
      </c>
      <c r="M303" s="799">
        <v>0</v>
      </c>
      <c r="N303" s="799">
        <v>0</v>
      </c>
      <c r="O303" s="799">
        <v>241</v>
      </c>
      <c r="P303" s="799">
        <v>37144</v>
      </c>
      <c r="Q303" s="799">
        <v>19651</v>
      </c>
      <c r="R303" s="799">
        <v>6847</v>
      </c>
      <c r="S303" s="799">
        <v>19755</v>
      </c>
    </row>
    <row r="304" spans="1:19" x14ac:dyDescent="0.2">
      <c r="A304" s="761">
        <v>2014</v>
      </c>
      <c r="B304" s="761">
        <v>5</v>
      </c>
      <c r="C304" s="796" t="s">
        <v>375</v>
      </c>
      <c r="D304" s="796"/>
      <c r="E304" s="796"/>
      <c r="F304" s="761">
        <v>6741</v>
      </c>
      <c r="G304" s="761" t="s">
        <v>1485</v>
      </c>
      <c r="H304" s="799">
        <v>0</v>
      </c>
      <c r="I304" s="799">
        <v>0</v>
      </c>
      <c r="J304" s="799">
        <v>0</v>
      </c>
      <c r="K304" s="799">
        <v>0</v>
      </c>
      <c r="L304" s="799">
        <v>0</v>
      </c>
      <c r="M304" s="799">
        <v>42778</v>
      </c>
      <c r="N304" s="799">
        <v>22163</v>
      </c>
      <c r="O304" s="799">
        <v>0</v>
      </c>
      <c r="P304" s="799">
        <v>0</v>
      </c>
      <c r="Q304" s="799">
        <v>0</v>
      </c>
      <c r="R304" s="799">
        <v>0</v>
      </c>
      <c r="S304" s="799">
        <v>0</v>
      </c>
    </row>
    <row r="305" spans="1:19" x14ac:dyDescent="0.2">
      <c r="A305" s="761">
        <v>2014</v>
      </c>
      <c r="B305" s="761">
        <v>15</v>
      </c>
      <c r="C305" s="796" t="s">
        <v>376</v>
      </c>
      <c r="D305" s="796"/>
      <c r="E305" s="796"/>
      <c r="F305" s="761">
        <v>6759</v>
      </c>
      <c r="G305" s="761" t="s">
        <v>1337</v>
      </c>
      <c r="H305" s="799">
        <v>41196</v>
      </c>
      <c r="I305" s="799">
        <v>0</v>
      </c>
      <c r="J305" s="799">
        <v>199899</v>
      </c>
      <c r="K305" s="799">
        <v>0</v>
      </c>
      <c r="L305" s="799">
        <v>81679</v>
      </c>
      <c r="M305" s="799">
        <v>31947</v>
      </c>
      <c r="N305" s="799">
        <v>121128</v>
      </c>
      <c r="O305" s="799">
        <v>13920</v>
      </c>
      <c r="P305" s="799">
        <v>53606</v>
      </c>
      <c r="Q305" s="799">
        <v>0</v>
      </c>
      <c r="R305" s="799">
        <v>4674</v>
      </c>
      <c r="S305" s="799">
        <v>18411</v>
      </c>
    </row>
    <row r="306" spans="1:19" x14ac:dyDescent="0.2">
      <c r="A306" s="761">
        <v>2014</v>
      </c>
      <c r="B306" s="761">
        <v>7</v>
      </c>
      <c r="C306" s="796" t="s">
        <v>377</v>
      </c>
      <c r="D306" s="796"/>
      <c r="E306" s="796"/>
      <c r="F306" s="761">
        <v>6762</v>
      </c>
      <c r="G306" s="761" t="s">
        <v>1338</v>
      </c>
      <c r="H306" s="799">
        <v>0</v>
      </c>
      <c r="I306" s="799">
        <v>21747</v>
      </c>
      <c r="J306" s="799">
        <v>0</v>
      </c>
      <c r="K306" s="799">
        <v>15918</v>
      </c>
      <c r="L306" s="799">
        <v>46107</v>
      </c>
      <c r="M306" s="799">
        <v>76392</v>
      </c>
      <c r="N306" s="799">
        <v>2768</v>
      </c>
      <c r="O306" s="799">
        <v>26218</v>
      </c>
      <c r="P306" s="799">
        <v>8737</v>
      </c>
      <c r="Q306" s="799">
        <v>9076</v>
      </c>
      <c r="R306" s="799">
        <v>0</v>
      </c>
      <c r="S306" s="799">
        <v>19499</v>
      </c>
    </row>
    <row r="307" spans="1:19" x14ac:dyDescent="0.2">
      <c r="A307" s="761">
        <v>2014</v>
      </c>
      <c r="B307" s="761">
        <v>10</v>
      </c>
      <c r="C307" s="796" t="s">
        <v>378</v>
      </c>
      <c r="D307" s="796"/>
      <c r="E307" s="796"/>
      <c r="F307" s="761">
        <v>6768</v>
      </c>
      <c r="G307" s="761" t="s">
        <v>1339</v>
      </c>
      <c r="H307" s="799">
        <v>43460</v>
      </c>
      <c r="I307" s="799">
        <v>0</v>
      </c>
      <c r="J307" s="799">
        <v>0</v>
      </c>
      <c r="K307" s="799">
        <v>142397</v>
      </c>
      <c r="L307" s="799">
        <v>0</v>
      </c>
      <c r="M307" s="799">
        <v>0</v>
      </c>
      <c r="N307" s="799">
        <v>94987</v>
      </c>
      <c r="O307" s="799">
        <v>46010</v>
      </c>
      <c r="P307" s="799">
        <v>40471</v>
      </c>
      <c r="Q307" s="799">
        <v>23746</v>
      </c>
      <c r="R307" s="799">
        <v>544</v>
      </c>
      <c r="S307" s="799">
        <v>775692</v>
      </c>
    </row>
    <row r="308" spans="1:19" x14ac:dyDescent="0.2">
      <c r="A308" s="761">
        <v>2014</v>
      </c>
      <c r="B308" s="761">
        <v>7</v>
      </c>
      <c r="C308" s="796" t="s">
        <v>379</v>
      </c>
      <c r="D308" s="796"/>
      <c r="E308" s="796"/>
      <c r="F308" s="761">
        <v>6795</v>
      </c>
      <c r="G308" s="761" t="s">
        <v>1340</v>
      </c>
      <c r="H308" s="799">
        <v>4299</v>
      </c>
      <c r="I308" s="799">
        <v>0</v>
      </c>
      <c r="J308" s="799">
        <v>336789</v>
      </c>
      <c r="K308" s="799">
        <v>141459</v>
      </c>
      <c r="L308" s="799">
        <v>0</v>
      </c>
      <c r="M308" s="799">
        <v>253832</v>
      </c>
      <c r="N308" s="799">
        <v>181520</v>
      </c>
      <c r="O308" s="799">
        <v>91927</v>
      </c>
      <c r="P308" s="799">
        <v>148746</v>
      </c>
      <c r="Q308" s="799">
        <v>0</v>
      </c>
      <c r="R308" s="799">
        <v>0</v>
      </c>
      <c r="S308" s="799">
        <v>158068</v>
      </c>
    </row>
    <row r="309" spans="1:19" x14ac:dyDescent="0.2">
      <c r="A309" s="761">
        <v>2014</v>
      </c>
      <c r="B309" s="761">
        <v>11</v>
      </c>
      <c r="C309" s="796" t="s">
        <v>380</v>
      </c>
      <c r="D309" s="796"/>
      <c r="E309" s="796"/>
      <c r="F309" s="761">
        <v>6822</v>
      </c>
      <c r="G309" s="761" t="s">
        <v>1341</v>
      </c>
      <c r="H309" s="799">
        <v>0</v>
      </c>
      <c r="I309" s="799">
        <v>0</v>
      </c>
      <c r="J309" s="799">
        <v>0</v>
      </c>
      <c r="K309" s="799">
        <v>0</v>
      </c>
      <c r="L309" s="799">
        <v>0</v>
      </c>
      <c r="M309" s="799">
        <v>0</v>
      </c>
      <c r="N309" s="799">
        <v>78251</v>
      </c>
      <c r="O309" s="799">
        <v>170818</v>
      </c>
      <c r="P309" s="799">
        <v>213440</v>
      </c>
      <c r="Q309" s="799">
        <v>0</v>
      </c>
      <c r="R309" s="799">
        <v>19970</v>
      </c>
      <c r="S309" s="799">
        <v>53189</v>
      </c>
    </row>
    <row r="310" spans="1:19" x14ac:dyDescent="0.2">
      <c r="A310" s="761">
        <v>2014</v>
      </c>
      <c r="B310" s="761">
        <v>7</v>
      </c>
      <c r="C310" s="796" t="s">
        <v>381</v>
      </c>
      <c r="D310" s="796"/>
      <c r="E310" s="796"/>
      <c r="F310" s="761">
        <v>6840</v>
      </c>
      <c r="G310" s="761" t="s">
        <v>1342</v>
      </c>
      <c r="H310" s="799">
        <v>0</v>
      </c>
      <c r="I310" s="799">
        <v>0</v>
      </c>
      <c r="J310" s="799">
        <v>138808</v>
      </c>
      <c r="K310" s="799">
        <v>13947</v>
      </c>
      <c r="L310" s="799">
        <v>0</v>
      </c>
      <c r="M310" s="799">
        <v>126777</v>
      </c>
      <c r="N310" s="799">
        <v>41690</v>
      </c>
      <c r="O310" s="799">
        <v>252569</v>
      </c>
      <c r="P310" s="799">
        <v>164058</v>
      </c>
      <c r="Q310" s="799">
        <v>0</v>
      </c>
      <c r="R310" s="799">
        <v>11798</v>
      </c>
      <c r="S310" s="799">
        <v>28592</v>
      </c>
    </row>
    <row r="311" spans="1:19" x14ac:dyDescent="0.2">
      <c r="A311" s="761">
        <v>2014</v>
      </c>
      <c r="B311" s="761">
        <v>15</v>
      </c>
      <c r="C311" s="796" t="s">
        <v>382</v>
      </c>
      <c r="D311" s="796"/>
      <c r="E311" s="796"/>
      <c r="F311" s="761">
        <v>6854</v>
      </c>
      <c r="G311" s="761" t="s">
        <v>1343</v>
      </c>
      <c r="H311" s="799">
        <v>152130</v>
      </c>
      <c r="I311" s="799">
        <v>0</v>
      </c>
      <c r="J311" s="799">
        <v>38992</v>
      </c>
      <c r="K311" s="799">
        <v>0</v>
      </c>
      <c r="L311" s="799">
        <v>45828</v>
      </c>
      <c r="M311" s="799">
        <v>66666</v>
      </c>
      <c r="N311" s="799">
        <v>8045</v>
      </c>
      <c r="O311" s="799">
        <v>81769</v>
      </c>
      <c r="P311" s="799">
        <v>29204</v>
      </c>
      <c r="Q311" s="799">
        <v>0</v>
      </c>
      <c r="R311" s="799">
        <v>2729</v>
      </c>
      <c r="S311" s="799">
        <v>12350</v>
      </c>
    </row>
    <row r="312" spans="1:19" x14ac:dyDescent="0.2">
      <c r="A312" s="761">
        <v>2014</v>
      </c>
      <c r="B312" s="761">
        <v>5</v>
      </c>
      <c r="C312" s="796" t="s">
        <v>383</v>
      </c>
      <c r="D312" s="796"/>
      <c r="E312" s="796"/>
      <c r="F312" s="761">
        <v>6867</v>
      </c>
      <c r="G312" s="761" t="s">
        <v>1344</v>
      </c>
      <c r="H312" s="799">
        <v>0</v>
      </c>
      <c r="I312" s="799">
        <v>0</v>
      </c>
      <c r="J312" s="799">
        <v>0</v>
      </c>
      <c r="K312" s="799">
        <v>0</v>
      </c>
      <c r="L312" s="799">
        <v>0</v>
      </c>
      <c r="M312" s="799">
        <v>30973</v>
      </c>
      <c r="N312" s="799">
        <v>0</v>
      </c>
      <c r="O312" s="799">
        <v>72157</v>
      </c>
      <c r="P312" s="799">
        <v>0</v>
      </c>
      <c r="Q312" s="799">
        <v>0</v>
      </c>
      <c r="R312" s="799">
        <v>9741</v>
      </c>
      <c r="S312" s="799">
        <v>168407</v>
      </c>
    </row>
    <row r="313" spans="1:19" x14ac:dyDescent="0.2">
      <c r="A313" s="761">
        <v>2014</v>
      </c>
      <c r="B313" s="761">
        <v>5</v>
      </c>
      <c r="C313" s="796" t="s">
        <v>384</v>
      </c>
      <c r="D313" s="796"/>
      <c r="E313" s="796"/>
      <c r="F313" s="761">
        <v>6921</v>
      </c>
      <c r="G313" s="761" t="s">
        <v>653</v>
      </c>
      <c r="H313" s="799">
        <v>0</v>
      </c>
      <c r="I313" s="799">
        <v>0</v>
      </c>
      <c r="J313" s="799">
        <v>101950</v>
      </c>
      <c r="K313" s="799">
        <v>11302</v>
      </c>
      <c r="L313" s="799">
        <v>0</v>
      </c>
      <c r="M313" s="799">
        <v>26557</v>
      </c>
      <c r="N313" s="799">
        <v>0</v>
      </c>
      <c r="O313" s="799">
        <v>32663</v>
      </c>
      <c r="P313" s="799">
        <v>27325</v>
      </c>
      <c r="Q313" s="799">
        <v>0</v>
      </c>
      <c r="R313" s="799">
        <v>5419</v>
      </c>
      <c r="S313" s="799">
        <v>12848</v>
      </c>
    </row>
    <row r="314" spans="1:19" x14ac:dyDescent="0.2">
      <c r="A314" s="761">
        <v>2014</v>
      </c>
      <c r="B314" s="761">
        <v>10</v>
      </c>
      <c r="C314" s="796" t="s">
        <v>385</v>
      </c>
      <c r="D314" s="796"/>
      <c r="E314" s="796"/>
      <c r="F314" s="761">
        <v>6930</v>
      </c>
      <c r="G314" s="761" t="s">
        <v>1345</v>
      </c>
      <c r="H314" s="799">
        <v>0</v>
      </c>
      <c r="I314" s="799">
        <v>2925</v>
      </c>
      <c r="J314" s="799">
        <v>129566</v>
      </c>
      <c r="K314" s="799">
        <v>148684</v>
      </c>
      <c r="L314" s="799">
        <v>0</v>
      </c>
      <c r="M314" s="799">
        <v>139795</v>
      </c>
      <c r="N314" s="799">
        <v>57897</v>
      </c>
      <c r="O314" s="799">
        <v>11664</v>
      </c>
      <c r="P314" s="799">
        <v>9444</v>
      </c>
      <c r="Q314" s="799">
        <v>30641</v>
      </c>
      <c r="R314" s="799">
        <v>1505</v>
      </c>
      <c r="S314" s="799">
        <v>34086</v>
      </c>
    </row>
    <row r="315" spans="1:19" x14ac:dyDescent="0.2">
      <c r="A315" s="761">
        <v>2014</v>
      </c>
      <c r="B315" s="761">
        <v>15</v>
      </c>
      <c r="C315" s="796" t="s">
        <v>386</v>
      </c>
      <c r="D315" s="796"/>
      <c r="E315" s="796"/>
      <c r="F315" s="761">
        <v>6937</v>
      </c>
      <c r="G315" s="761" t="s">
        <v>1346</v>
      </c>
      <c r="H315" s="799">
        <v>0</v>
      </c>
      <c r="I315" s="799">
        <v>0</v>
      </c>
      <c r="J315" s="799">
        <v>0</v>
      </c>
      <c r="K315" s="799">
        <v>0</v>
      </c>
      <c r="L315" s="799">
        <v>0</v>
      </c>
      <c r="M315" s="799">
        <v>23771</v>
      </c>
      <c r="N315" s="799">
        <v>16200</v>
      </c>
      <c r="O315" s="799">
        <v>5878</v>
      </c>
      <c r="P315" s="799">
        <v>8775</v>
      </c>
      <c r="Q315" s="799">
        <v>0</v>
      </c>
      <c r="R315" s="799">
        <v>0</v>
      </c>
      <c r="S315" s="799">
        <v>2957</v>
      </c>
    </row>
    <row r="316" spans="1:19" x14ac:dyDescent="0.2">
      <c r="A316" s="761">
        <v>2014</v>
      </c>
      <c r="B316" s="761">
        <v>1</v>
      </c>
      <c r="C316" s="796" t="s">
        <v>387</v>
      </c>
      <c r="D316" s="796"/>
      <c r="E316" s="796"/>
      <c r="F316" s="761">
        <v>6943</v>
      </c>
      <c r="G316" s="761" t="s">
        <v>1347</v>
      </c>
      <c r="H316" s="799">
        <v>4990</v>
      </c>
      <c r="I316" s="799">
        <v>0</v>
      </c>
      <c r="J316" s="799">
        <v>12031</v>
      </c>
      <c r="K316" s="799">
        <v>41295</v>
      </c>
      <c r="L316" s="799">
        <v>20744</v>
      </c>
      <c r="M316" s="799">
        <v>0</v>
      </c>
      <c r="N316" s="799">
        <v>2879</v>
      </c>
      <c r="O316" s="799">
        <v>7982</v>
      </c>
      <c r="P316" s="799">
        <v>20834</v>
      </c>
      <c r="Q316" s="799">
        <v>0</v>
      </c>
      <c r="R316" s="799">
        <v>5602</v>
      </c>
      <c r="S316" s="799">
        <v>14398</v>
      </c>
    </row>
    <row r="317" spans="1:19" x14ac:dyDescent="0.2">
      <c r="A317" s="761">
        <v>2014</v>
      </c>
      <c r="B317" s="761">
        <v>1</v>
      </c>
      <c r="C317" s="796" t="s">
        <v>388</v>
      </c>
      <c r="D317" s="796"/>
      <c r="E317" s="796"/>
      <c r="F317" s="761">
        <v>6950</v>
      </c>
      <c r="G317" s="761" t="s">
        <v>1348</v>
      </c>
      <c r="H317" s="799">
        <v>0</v>
      </c>
      <c r="I317" s="799">
        <v>0</v>
      </c>
      <c r="J317" s="799">
        <v>149019</v>
      </c>
      <c r="K317" s="799">
        <v>34189</v>
      </c>
      <c r="L317" s="799">
        <v>96382</v>
      </c>
      <c r="M317" s="799">
        <v>0</v>
      </c>
      <c r="N317" s="799">
        <v>188492</v>
      </c>
      <c r="O317" s="799">
        <v>19021</v>
      </c>
      <c r="P317" s="799">
        <v>12090</v>
      </c>
      <c r="Q317" s="799">
        <v>0</v>
      </c>
      <c r="R317" s="799">
        <v>1445</v>
      </c>
      <c r="S317" s="799">
        <v>35592</v>
      </c>
    </row>
    <row r="318" spans="1:19" x14ac:dyDescent="0.2">
      <c r="A318" s="761">
        <v>2014</v>
      </c>
      <c r="B318" s="761">
        <v>11</v>
      </c>
      <c r="C318" s="796" t="s">
        <v>389</v>
      </c>
      <c r="D318" s="796"/>
      <c r="E318" s="796"/>
      <c r="F318" s="761">
        <v>6957</v>
      </c>
      <c r="G318" s="761" t="s">
        <v>1349</v>
      </c>
      <c r="H318" s="799">
        <v>265503</v>
      </c>
      <c r="I318" s="799">
        <v>0</v>
      </c>
      <c r="J318" s="799">
        <v>0</v>
      </c>
      <c r="K318" s="799">
        <v>276311</v>
      </c>
      <c r="L318" s="799">
        <v>0</v>
      </c>
      <c r="M318" s="799">
        <v>192673</v>
      </c>
      <c r="N318" s="799">
        <v>1238</v>
      </c>
      <c r="O318" s="799">
        <v>63100</v>
      </c>
      <c r="P318" s="799">
        <v>176232</v>
      </c>
      <c r="Q318" s="799">
        <v>0</v>
      </c>
      <c r="R318" s="799">
        <v>20607</v>
      </c>
      <c r="S318" s="799">
        <v>136440</v>
      </c>
    </row>
    <row r="319" spans="1:19" x14ac:dyDescent="0.2">
      <c r="A319" s="761">
        <v>2014</v>
      </c>
      <c r="B319" s="761">
        <v>1</v>
      </c>
      <c r="C319" s="796" t="s">
        <v>390</v>
      </c>
      <c r="D319" s="796"/>
      <c r="E319" s="796"/>
      <c r="F319" s="761">
        <v>6961</v>
      </c>
      <c r="G319" s="761" t="s">
        <v>1350</v>
      </c>
      <c r="H319" s="799">
        <v>37223</v>
      </c>
      <c r="I319" s="799">
        <v>0</v>
      </c>
      <c r="J319" s="799">
        <v>0</v>
      </c>
      <c r="K319" s="799">
        <v>38897</v>
      </c>
      <c r="L319" s="799">
        <v>238344</v>
      </c>
      <c r="M319" s="799">
        <v>0</v>
      </c>
      <c r="N319" s="799">
        <v>39536</v>
      </c>
      <c r="O319" s="799">
        <v>125907</v>
      </c>
      <c r="P319" s="799">
        <v>107971</v>
      </c>
      <c r="Q319" s="799">
        <v>0</v>
      </c>
      <c r="R319" s="799">
        <v>0</v>
      </c>
      <c r="S319" s="799">
        <v>26237</v>
      </c>
    </row>
    <row r="320" spans="1:19" x14ac:dyDescent="0.2">
      <c r="A320" s="761">
        <v>2014</v>
      </c>
      <c r="B320" s="761">
        <v>13</v>
      </c>
      <c r="C320" s="796" t="s">
        <v>391</v>
      </c>
      <c r="D320" s="796"/>
      <c r="E320" s="796"/>
      <c r="F320" s="761">
        <v>6969</v>
      </c>
      <c r="G320" s="761" t="s">
        <v>1393</v>
      </c>
      <c r="H320" s="799">
        <v>0</v>
      </c>
      <c r="I320" s="799">
        <v>0</v>
      </c>
      <c r="J320" s="799">
        <v>0</v>
      </c>
      <c r="K320" s="799">
        <v>0</v>
      </c>
      <c r="L320" s="799">
        <v>0</v>
      </c>
      <c r="M320" s="799">
        <v>0</v>
      </c>
      <c r="N320" s="799">
        <v>13454</v>
      </c>
      <c r="O320" s="799">
        <v>40110</v>
      </c>
      <c r="P320" s="799">
        <v>13358</v>
      </c>
      <c r="Q320" s="799">
        <v>0</v>
      </c>
      <c r="R320" s="799">
        <v>6540</v>
      </c>
      <c r="S320" s="799">
        <v>19597</v>
      </c>
    </row>
    <row r="321" spans="1:19" x14ac:dyDescent="0.2">
      <c r="A321" s="761">
        <v>2014</v>
      </c>
      <c r="B321" s="761">
        <v>9</v>
      </c>
      <c r="C321" s="796" t="s">
        <v>392</v>
      </c>
      <c r="D321" s="796"/>
      <c r="E321" s="796"/>
      <c r="F321" s="761">
        <v>6975</v>
      </c>
      <c r="G321" s="761" t="s">
        <v>1394</v>
      </c>
      <c r="H321" s="799">
        <v>0</v>
      </c>
      <c r="I321" s="799">
        <v>0</v>
      </c>
      <c r="J321" s="799">
        <v>16560</v>
      </c>
      <c r="K321" s="799">
        <v>9832</v>
      </c>
      <c r="L321" s="799">
        <v>0</v>
      </c>
      <c r="M321" s="799">
        <v>0</v>
      </c>
      <c r="N321" s="799">
        <v>0</v>
      </c>
      <c r="O321" s="799">
        <v>7445</v>
      </c>
      <c r="P321" s="799">
        <v>7957</v>
      </c>
      <c r="Q321" s="799">
        <v>0</v>
      </c>
      <c r="R321" s="799">
        <v>4089</v>
      </c>
      <c r="S321" s="799">
        <v>8289</v>
      </c>
    </row>
    <row r="322" spans="1:19" x14ac:dyDescent="0.2">
      <c r="A322" s="761">
        <v>2014</v>
      </c>
      <c r="B322" s="761">
        <v>12</v>
      </c>
      <c r="C322" s="796" t="s">
        <v>393</v>
      </c>
      <c r="D322" s="796"/>
      <c r="E322" s="796"/>
      <c r="F322" s="761">
        <v>6983</v>
      </c>
      <c r="G322" s="761" t="s">
        <v>1395</v>
      </c>
      <c r="H322" s="799">
        <v>0</v>
      </c>
      <c r="I322" s="799">
        <v>0</v>
      </c>
      <c r="J322" s="799">
        <v>0</v>
      </c>
      <c r="K322" s="799">
        <v>0</v>
      </c>
      <c r="L322" s="799">
        <v>0</v>
      </c>
      <c r="M322" s="799">
        <v>284244</v>
      </c>
      <c r="N322" s="799">
        <v>0</v>
      </c>
      <c r="O322" s="799">
        <v>35860</v>
      </c>
      <c r="P322" s="799">
        <v>53420</v>
      </c>
      <c r="Q322" s="799">
        <v>0</v>
      </c>
      <c r="R322" s="799">
        <v>0</v>
      </c>
      <c r="S322" s="799">
        <v>18775</v>
      </c>
    </row>
    <row r="323" spans="1:19" x14ac:dyDescent="0.2">
      <c r="A323" s="761">
        <v>2014</v>
      </c>
      <c r="B323" s="761">
        <v>7</v>
      </c>
      <c r="C323" s="796" t="s">
        <v>394</v>
      </c>
      <c r="D323" s="796"/>
      <c r="E323" s="796"/>
      <c r="F323" s="761">
        <v>6985</v>
      </c>
      <c r="G323" s="761" t="s">
        <v>1396</v>
      </c>
      <c r="H323" s="799">
        <v>21497</v>
      </c>
      <c r="I323" s="799">
        <v>9594</v>
      </c>
      <c r="J323" s="799">
        <v>20973</v>
      </c>
      <c r="K323" s="799">
        <v>66942</v>
      </c>
      <c r="L323" s="799">
        <v>56249</v>
      </c>
      <c r="M323" s="799">
        <v>0</v>
      </c>
      <c r="N323" s="799">
        <v>0</v>
      </c>
      <c r="O323" s="799">
        <v>2</v>
      </c>
      <c r="P323" s="799">
        <v>8534</v>
      </c>
      <c r="Q323" s="799">
        <v>0</v>
      </c>
      <c r="R323" s="799">
        <v>2175</v>
      </c>
      <c r="S323" s="799">
        <v>18189</v>
      </c>
    </row>
    <row r="324" spans="1:19" x14ac:dyDescent="0.2">
      <c r="A324" s="761">
        <v>2014</v>
      </c>
      <c r="B324" s="761">
        <v>12</v>
      </c>
      <c r="C324" s="796" t="s">
        <v>395</v>
      </c>
      <c r="D324" s="796"/>
      <c r="E324" s="796"/>
      <c r="F324" s="761">
        <v>6987</v>
      </c>
      <c r="G324" s="761" t="s">
        <v>1397</v>
      </c>
      <c r="H324" s="799">
        <v>38954</v>
      </c>
      <c r="I324" s="799">
        <v>15657</v>
      </c>
      <c r="J324" s="799">
        <v>217950</v>
      </c>
      <c r="K324" s="799">
        <v>142285</v>
      </c>
      <c r="L324" s="799">
        <v>76399</v>
      </c>
      <c r="M324" s="799">
        <v>40349</v>
      </c>
      <c r="N324" s="799">
        <v>39338</v>
      </c>
      <c r="O324" s="799">
        <v>0</v>
      </c>
      <c r="P324" s="799">
        <v>2587</v>
      </c>
      <c r="Q324" s="799">
        <v>0</v>
      </c>
      <c r="R324" s="799">
        <v>1220</v>
      </c>
      <c r="S324" s="799">
        <v>52151</v>
      </c>
    </row>
    <row r="325" spans="1:19" x14ac:dyDescent="0.2">
      <c r="A325" s="761">
        <v>2014</v>
      </c>
      <c r="B325" s="761">
        <v>12</v>
      </c>
      <c r="C325" s="796" t="s">
        <v>396</v>
      </c>
      <c r="D325" s="796"/>
      <c r="E325" s="796"/>
      <c r="F325" s="761">
        <v>6990</v>
      </c>
      <c r="G325" s="761" t="s">
        <v>1398</v>
      </c>
      <c r="H325" s="799">
        <v>7087</v>
      </c>
      <c r="I325" s="799">
        <v>0</v>
      </c>
      <c r="J325" s="799">
        <v>0</v>
      </c>
      <c r="K325" s="799">
        <v>71778</v>
      </c>
      <c r="L325" s="799">
        <v>0</v>
      </c>
      <c r="M325" s="799">
        <v>17111</v>
      </c>
      <c r="N325" s="799">
        <v>15645</v>
      </c>
      <c r="O325" s="799">
        <v>4083</v>
      </c>
      <c r="P325" s="799">
        <v>3607</v>
      </c>
      <c r="Q325" s="799">
        <v>0</v>
      </c>
      <c r="R325" s="799">
        <v>5122</v>
      </c>
      <c r="S325" s="799">
        <v>17844</v>
      </c>
    </row>
    <row r="326" spans="1:19" x14ac:dyDescent="0.2">
      <c r="A326" s="761">
        <v>2014</v>
      </c>
      <c r="B326" s="761">
        <v>12</v>
      </c>
      <c r="C326" s="796" t="s">
        <v>397</v>
      </c>
      <c r="D326" s="796"/>
      <c r="E326" s="796"/>
      <c r="F326" s="761">
        <v>6992</v>
      </c>
      <c r="G326" s="761" t="s">
        <v>1399</v>
      </c>
      <c r="H326" s="799">
        <v>0</v>
      </c>
      <c r="I326" s="799">
        <v>0</v>
      </c>
      <c r="J326" s="799">
        <v>0</v>
      </c>
      <c r="K326" s="799">
        <v>0</v>
      </c>
      <c r="L326" s="799">
        <v>0</v>
      </c>
      <c r="M326" s="799">
        <v>206290</v>
      </c>
      <c r="N326" s="799">
        <v>9344</v>
      </c>
      <c r="O326" s="799">
        <v>63156</v>
      </c>
      <c r="P326" s="799">
        <v>0</v>
      </c>
      <c r="Q326" s="799">
        <v>0</v>
      </c>
      <c r="R326" s="799">
        <v>7019</v>
      </c>
      <c r="S326" s="799">
        <v>15378</v>
      </c>
    </row>
    <row r="327" spans="1:19" x14ac:dyDescent="0.2">
      <c r="A327" s="761">
        <v>2014</v>
      </c>
      <c r="B327" s="761">
        <v>12</v>
      </c>
      <c r="C327" s="796" t="s">
        <v>398</v>
      </c>
      <c r="D327" s="796"/>
      <c r="E327" s="796"/>
      <c r="F327" s="761">
        <v>7002</v>
      </c>
      <c r="G327" s="761" t="s">
        <v>1400</v>
      </c>
      <c r="H327" s="799">
        <v>0</v>
      </c>
      <c r="I327" s="799">
        <v>0</v>
      </c>
      <c r="J327" s="799">
        <v>0</v>
      </c>
      <c r="K327" s="799">
        <v>0</v>
      </c>
      <c r="L327" s="799">
        <v>20150</v>
      </c>
      <c r="M327" s="799">
        <v>0</v>
      </c>
      <c r="N327" s="799">
        <v>0</v>
      </c>
      <c r="O327" s="799">
        <v>0</v>
      </c>
      <c r="P327" s="799">
        <v>0</v>
      </c>
      <c r="Q327" s="799">
        <v>0</v>
      </c>
      <c r="R327" s="799">
        <v>5728</v>
      </c>
      <c r="S327" s="799">
        <v>13207</v>
      </c>
    </row>
    <row r="328" spans="1:19" x14ac:dyDescent="0.2">
      <c r="A328" s="761">
        <v>2014</v>
      </c>
      <c r="B328" s="761">
        <v>10</v>
      </c>
      <c r="C328" s="796" t="s">
        <v>399</v>
      </c>
      <c r="D328" s="796"/>
      <c r="E328" s="796"/>
      <c r="F328" s="761">
        <v>7029</v>
      </c>
      <c r="G328" s="761" t="s">
        <v>1401</v>
      </c>
      <c r="H328" s="799">
        <v>0</v>
      </c>
      <c r="I328" s="799">
        <v>43192</v>
      </c>
      <c r="J328" s="799">
        <v>33932</v>
      </c>
      <c r="K328" s="799">
        <v>34735</v>
      </c>
      <c r="L328" s="799">
        <v>0</v>
      </c>
      <c r="M328" s="799">
        <v>38661</v>
      </c>
      <c r="N328" s="799">
        <v>44184</v>
      </c>
      <c r="O328" s="799">
        <v>0</v>
      </c>
      <c r="P328" s="799">
        <v>94</v>
      </c>
      <c r="Q328" s="799">
        <v>0</v>
      </c>
      <c r="R328" s="799">
        <v>9236</v>
      </c>
      <c r="S328" s="799">
        <v>39739</v>
      </c>
    </row>
    <row r="329" spans="1:19" x14ac:dyDescent="0.2">
      <c r="A329" s="761">
        <v>2014</v>
      </c>
      <c r="B329" s="761">
        <v>9</v>
      </c>
      <c r="C329" s="796" t="s">
        <v>400</v>
      </c>
      <c r="D329" s="796"/>
      <c r="E329" s="796"/>
      <c r="F329" s="761">
        <v>7038</v>
      </c>
      <c r="G329" s="761" t="s">
        <v>1402</v>
      </c>
      <c r="H329" s="799">
        <v>3493</v>
      </c>
      <c r="I329" s="799">
        <v>4927</v>
      </c>
      <c r="J329" s="799">
        <v>0</v>
      </c>
      <c r="K329" s="799">
        <v>0</v>
      </c>
      <c r="L329" s="799">
        <v>0</v>
      </c>
      <c r="M329" s="799">
        <v>1334</v>
      </c>
      <c r="N329" s="799">
        <v>0</v>
      </c>
      <c r="O329" s="799">
        <v>21406</v>
      </c>
      <c r="P329" s="799">
        <v>19477</v>
      </c>
      <c r="Q329" s="799">
        <v>0</v>
      </c>
      <c r="R329" s="799">
        <v>4353</v>
      </c>
      <c r="S329" s="799">
        <v>16311</v>
      </c>
    </row>
    <row r="330" spans="1:19" x14ac:dyDescent="0.2">
      <c r="A330" s="761">
        <v>2014</v>
      </c>
      <c r="B330" s="761">
        <v>15</v>
      </c>
      <c r="C330" s="796" t="s">
        <v>401</v>
      </c>
      <c r="D330" s="796"/>
      <c r="E330" s="796"/>
      <c r="F330" s="761">
        <v>7047</v>
      </c>
      <c r="G330" s="761" t="s">
        <v>1403</v>
      </c>
      <c r="H330" s="799">
        <v>0</v>
      </c>
      <c r="I330" s="799">
        <v>0</v>
      </c>
      <c r="J330" s="799">
        <v>82134</v>
      </c>
      <c r="K330" s="799">
        <v>70783</v>
      </c>
      <c r="L330" s="799">
        <v>0</v>
      </c>
      <c r="M330" s="799">
        <v>0</v>
      </c>
      <c r="N330" s="799">
        <v>14321</v>
      </c>
      <c r="O330" s="799">
        <v>0</v>
      </c>
      <c r="P330" s="799">
        <v>0</v>
      </c>
      <c r="Q330" s="799">
        <v>0</v>
      </c>
      <c r="R330" s="799">
        <v>6184</v>
      </c>
      <c r="S330" s="799">
        <v>12460</v>
      </c>
    </row>
    <row r="331" spans="1:19" x14ac:dyDescent="0.2">
      <c r="A331" s="761">
        <v>2014</v>
      </c>
      <c r="B331" s="761">
        <v>11</v>
      </c>
      <c r="C331" s="796" t="s">
        <v>402</v>
      </c>
      <c r="D331" s="796"/>
      <c r="E331" s="796"/>
      <c r="F331" s="761">
        <v>7056</v>
      </c>
      <c r="G331" s="761" t="s">
        <v>1404</v>
      </c>
      <c r="H331" s="799">
        <v>0</v>
      </c>
      <c r="I331" s="799">
        <v>0</v>
      </c>
      <c r="J331" s="799">
        <v>0</v>
      </c>
      <c r="K331" s="799">
        <v>40096</v>
      </c>
      <c r="L331" s="799">
        <v>0</v>
      </c>
      <c r="M331" s="799">
        <v>0</v>
      </c>
      <c r="N331" s="799">
        <v>61854</v>
      </c>
      <c r="O331" s="799">
        <v>0</v>
      </c>
      <c r="P331" s="799">
        <v>8857</v>
      </c>
      <c r="Q331" s="799">
        <v>0</v>
      </c>
      <c r="R331" s="799">
        <v>0</v>
      </c>
      <c r="S331" s="799">
        <v>0</v>
      </c>
    </row>
    <row r="332" spans="1:19" x14ac:dyDescent="0.2">
      <c r="A332" s="761">
        <v>2014</v>
      </c>
      <c r="B332" s="761">
        <v>13</v>
      </c>
      <c r="C332" s="796" t="s">
        <v>403</v>
      </c>
      <c r="D332" s="796"/>
      <c r="E332" s="796"/>
      <c r="F332" s="761">
        <v>7092</v>
      </c>
      <c r="G332" s="761" t="s">
        <v>1405</v>
      </c>
      <c r="H332" s="799">
        <v>0</v>
      </c>
      <c r="I332" s="799">
        <v>0</v>
      </c>
      <c r="J332" s="799">
        <v>0</v>
      </c>
      <c r="K332" s="799">
        <v>9523</v>
      </c>
      <c r="L332" s="799">
        <v>0</v>
      </c>
      <c r="M332" s="799">
        <v>0</v>
      </c>
      <c r="N332" s="799">
        <v>87278</v>
      </c>
      <c r="O332" s="799">
        <v>44400</v>
      </c>
      <c r="P332" s="799">
        <v>40503</v>
      </c>
      <c r="Q332" s="799">
        <v>0</v>
      </c>
      <c r="R332" s="799">
        <v>6605</v>
      </c>
      <c r="S332" s="799">
        <v>6625</v>
      </c>
    </row>
    <row r="333" spans="1:19" x14ac:dyDescent="0.2">
      <c r="A333" s="761">
        <v>2014</v>
      </c>
      <c r="B333" s="761">
        <v>12</v>
      </c>
      <c r="C333" s="796" t="s">
        <v>404</v>
      </c>
      <c r="D333" s="796"/>
      <c r="E333" s="796"/>
      <c r="F333" s="761">
        <v>7098</v>
      </c>
      <c r="G333" s="761" t="s">
        <v>1406</v>
      </c>
      <c r="H333" s="799">
        <v>0</v>
      </c>
      <c r="I333" s="799">
        <v>3552</v>
      </c>
      <c r="J333" s="799">
        <v>33220</v>
      </c>
      <c r="K333" s="799">
        <v>45010</v>
      </c>
      <c r="L333" s="799">
        <v>45722</v>
      </c>
      <c r="M333" s="799">
        <v>109240</v>
      </c>
      <c r="N333" s="799">
        <v>28469</v>
      </c>
      <c r="O333" s="799">
        <v>20696</v>
      </c>
      <c r="P333" s="799">
        <v>46001</v>
      </c>
      <c r="Q333" s="799">
        <v>0</v>
      </c>
      <c r="R333" s="799">
        <v>7045</v>
      </c>
      <c r="S333" s="799">
        <v>10533</v>
      </c>
    </row>
    <row r="334" spans="1:19" x14ac:dyDescent="0.2">
      <c r="A334" s="761">
        <v>2014</v>
      </c>
      <c r="B334" s="761">
        <v>11</v>
      </c>
      <c r="C334" s="796" t="s">
        <v>405</v>
      </c>
      <c r="D334" s="796"/>
      <c r="E334" s="796"/>
      <c r="F334" s="761">
        <v>7110</v>
      </c>
      <c r="G334" s="761" t="s">
        <v>1407</v>
      </c>
      <c r="H334" s="799">
        <v>0</v>
      </c>
      <c r="I334" s="799">
        <v>0</v>
      </c>
      <c r="J334" s="799">
        <v>104865</v>
      </c>
      <c r="K334" s="799">
        <v>7390</v>
      </c>
      <c r="L334" s="799">
        <v>0</v>
      </c>
      <c r="M334" s="799">
        <v>64193</v>
      </c>
      <c r="N334" s="799">
        <v>39501</v>
      </c>
      <c r="O334" s="799">
        <v>15466</v>
      </c>
      <c r="P334" s="799">
        <v>5565</v>
      </c>
      <c r="Q334" s="799">
        <v>0</v>
      </c>
      <c r="R334" s="799">
        <v>8154</v>
      </c>
      <c r="S334" s="799">
        <v>18844</v>
      </c>
    </row>
    <row r="335" spans="1:19" x14ac:dyDescent="0.2">
      <c r="A335" s="761">
        <v>2015</v>
      </c>
      <c r="B335" s="761">
        <v>7</v>
      </c>
      <c r="C335" s="796" t="s">
        <v>77</v>
      </c>
      <c r="D335" s="796"/>
      <c r="E335" s="796"/>
      <c r="F335" s="761">
        <v>9</v>
      </c>
      <c r="G335" s="761" t="s">
        <v>998</v>
      </c>
      <c r="H335" s="799">
        <v>75888</v>
      </c>
      <c r="I335" s="799">
        <v>14876</v>
      </c>
      <c r="J335" s="799">
        <v>24120</v>
      </c>
      <c r="K335" s="799">
        <v>74245</v>
      </c>
      <c r="L335" s="799">
        <v>0</v>
      </c>
      <c r="M335" s="799">
        <v>117377</v>
      </c>
      <c r="N335" s="799">
        <v>34740</v>
      </c>
      <c r="O335" s="799">
        <v>9259</v>
      </c>
      <c r="P335" s="799">
        <v>19102</v>
      </c>
      <c r="Q335" s="799">
        <v>0</v>
      </c>
      <c r="R335" s="799">
        <v>497</v>
      </c>
      <c r="S335" s="799">
        <v>28876</v>
      </c>
    </row>
    <row r="336" spans="1:19" x14ac:dyDescent="0.2">
      <c r="A336" s="761">
        <v>2015</v>
      </c>
      <c r="B336" s="761">
        <v>11</v>
      </c>
      <c r="C336" s="796" t="s">
        <v>75</v>
      </c>
      <c r="D336" s="796"/>
      <c r="E336" s="796"/>
      <c r="F336" s="761">
        <v>18</v>
      </c>
      <c r="G336" s="761" t="s">
        <v>1007</v>
      </c>
      <c r="H336" s="799">
        <v>15130</v>
      </c>
      <c r="I336" s="799">
        <v>1783</v>
      </c>
      <c r="J336" s="799">
        <v>13986</v>
      </c>
      <c r="K336" s="799">
        <v>0</v>
      </c>
      <c r="L336" s="799">
        <v>28978</v>
      </c>
      <c r="M336" s="799">
        <v>78485</v>
      </c>
      <c r="N336" s="799">
        <v>2895</v>
      </c>
      <c r="O336" s="799">
        <v>4312</v>
      </c>
      <c r="P336" s="799">
        <v>0</v>
      </c>
      <c r="Q336" s="799">
        <v>14648</v>
      </c>
      <c r="R336" s="799">
        <v>3238</v>
      </c>
      <c r="S336" s="799">
        <v>22985</v>
      </c>
    </row>
    <row r="337" spans="1:19" x14ac:dyDescent="0.2">
      <c r="A337" s="761">
        <v>2015</v>
      </c>
      <c r="B337" s="761">
        <v>11</v>
      </c>
      <c r="C337" s="796" t="s">
        <v>76</v>
      </c>
      <c r="D337" s="796"/>
      <c r="E337" s="796"/>
      <c r="F337" s="761">
        <v>27</v>
      </c>
      <c r="G337" s="761" t="s">
        <v>2005</v>
      </c>
      <c r="H337" s="799">
        <v>6428</v>
      </c>
      <c r="I337" s="799">
        <v>0</v>
      </c>
      <c r="J337" s="799">
        <v>0</v>
      </c>
      <c r="K337" s="799">
        <v>47551</v>
      </c>
      <c r="L337" s="799">
        <v>0</v>
      </c>
      <c r="M337" s="799">
        <v>0</v>
      </c>
      <c r="N337" s="799">
        <v>33224</v>
      </c>
      <c r="O337" s="799">
        <v>27599</v>
      </c>
      <c r="P337" s="799">
        <v>15452</v>
      </c>
      <c r="Q337" s="799">
        <v>0</v>
      </c>
      <c r="R337" s="799">
        <v>5896</v>
      </c>
      <c r="S337" s="799">
        <v>40420</v>
      </c>
    </row>
    <row r="338" spans="1:19" x14ac:dyDescent="0.2">
      <c r="A338" s="761">
        <v>2015</v>
      </c>
      <c r="B338" s="761">
        <v>12</v>
      </c>
      <c r="C338" s="796" t="s">
        <v>79</v>
      </c>
      <c r="D338" s="796"/>
      <c r="E338" s="796"/>
      <c r="F338" s="761">
        <v>63</v>
      </c>
      <c r="G338" s="761" t="s">
        <v>1008</v>
      </c>
      <c r="H338" s="799">
        <v>0</v>
      </c>
      <c r="I338" s="799">
        <v>0</v>
      </c>
      <c r="J338" s="799">
        <v>0</v>
      </c>
      <c r="K338" s="799">
        <v>0</v>
      </c>
      <c r="L338" s="799">
        <v>0</v>
      </c>
      <c r="M338" s="799">
        <v>40304</v>
      </c>
      <c r="N338" s="799">
        <v>18472</v>
      </c>
      <c r="O338" s="799">
        <v>1326</v>
      </c>
      <c r="P338" s="799">
        <v>11488</v>
      </c>
      <c r="Q338" s="799">
        <v>0</v>
      </c>
      <c r="R338" s="799">
        <v>0</v>
      </c>
      <c r="S338" s="799">
        <v>3890</v>
      </c>
    </row>
    <row r="339" spans="1:19" x14ac:dyDescent="0.2">
      <c r="A339" s="761">
        <v>2015</v>
      </c>
      <c r="B339" s="761">
        <v>5</v>
      </c>
      <c r="C339" s="796" t="s">
        <v>80</v>
      </c>
      <c r="D339" s="796"/>
      <c r="E339" s="796"/>
      <c r="F339" s="761">
        <v>72</v>
      </c>
      <c r="G339" s="761" t="s">
        <v>1009</v>
      </c>
      <c r="H339" s="799">
        <v>0</v>
      </c>
      <c r="I339" s="799">
        <v>0</v>
      </c>
      <c r="J339" s="799">
        <v>0</v>
      </c>
      <c r="K339" s="799">
        <v>2295</v>
      </c>
      <c r="L339" s="799">
        <v>0</v>
      </c>
      <c r="M339" s="799">
        <v>0</v>
      </c>
      <c r="N339" s="799">
        <v>64366</v>
      </c>
      <c r="O339" s="799">
        <v>12926</v>
      </c>
      <c r="P339" s="799">
        <v>11896</v>
      </c>
      <c r="Q339" s="799">
        <v>0</v>
      </c>
      <c r="R339" s="799">
        <v>5790</v>
      </c>
      <c r="S339" s="799">
        <v>6407</v>
      </c>
    </row>
    <row r="340" spans="1:19" x14ac:dyDescent="0.2">
      <c r="A340" s="761">
        <v>2015</v>
      </c>
      <c r="B340" s="761">
        <v>15</v>
      </c>
      <c r="C340" s="796" t="s">
        <v>81</v>
      </c>
      <c r="D340" s="796"/>
      <c r="E340" s="796"/>
      <c r="F340" s="761">
        <v>81</v>
      </c>
      <c r="G340" s="761" t="s">
        <v>1010</v>
      </c>
      <c r="H340" s="799">
        <v>0</v>
      </c>
      <c r="I340" s="799">
        <v>0</v>
      </c>
      <c r="J340" s="799">
        <v>0</v>
      </c>
      <c r="K340" s="799">
        <v>0</v>
      </c>
      <c r="L340" s="799">
        <v>0</v>
      </c>
      <c r="M340" s="799">
        <v>13212</v>
      </c>
      <c r="N340" s="799">
        <v>73660</v>
      </c>
      <c r="O340" s="799">
        <v>23719</v>
      </c>
      <c r="P340" s="799">
        <v>36818</v>
      </c>
      <c r="Q340" s="799">
        <v>0</v>
      </c>
      <c r="R340" s="799">
        <v>0</v>
      </c>
      <c r="S340" s="799">
        <v>0</v>
      </c>
    </row>
    <row r="341" spans="1:19" x14ac:dyDescent="0.2">
      <c r="A341" s="761">
        <v>2015</v>
      </c>
      <c r="B341" s="761">
        <v>10</v>
      </c>
      <c r="C341" s="796" t="s">
        <v>82</v>
      </c>
      <c r="D341" s="796"/>
      <c r="E341" s="796"/>
      <c r="F341" s="761">
        <v>99</v>
      </c>
      <c r="G341" s="761" t="s">
        <v>1011</v>
      </c>
      <c r="H341" s="799">
        <v>3306</v>
      </c>
      <c r="I341" s="799">
        <v>0</v>
      </c>
      <c r="J341" s="799">
        <v>181147</v>
      </c>
      <c r="K341" s="799">
        <v>4363</v>
      </c>
      <c r="L341" s="799">
        <v>0</v>
      </c>
      <c r="M341" s="799">
        <v>0</v>
      </c>
      <c r="N341" s="799">
        <v>0</v>
      </c>
      <c r="O341" s="799">
        <v>0</v>
      </c>
      <c r="P341" s="799">
        <v>21362</v>
      </c>
      <c r="Q341" s="799">
        <v>0</v>
      </c>
      <c r="R341" s="799">
        <v>0</v>
      </c>
      <c r="S341" s="799">
        <v>1078</v>
      </c>
    </row>
    <row r="342" spans="1:19" x14ac:dyDescent="0.2">
      <c r="A342" s="761">
        <v>2015</v>
      </c>
      <c r="B342" s="761">
        <v>7</v>
      </c>
      <c r="C342" s="796" t="s">
        <v>83</v>
      </c>
      <c r="D342" s="796"/>
      <c r="E342" s="796"/>
      <c r="F342" s="761">
        <v>108</v>
      </c>
      <c r="G342" s="761" t="s">
        <v>1012</v>
      </c>
      <c r="H342" s="799">
        <v>0</v>
      </c>
      <c r="I342" s="799">
        <v>0</v>
      </c>
      <c r="J342" s="799">
        <v>40895</v>
      </c>
      <c r="K342" s="799">
        <v>0</v>
      </c>
      <c r="L342" s="799">
        <v>0</v>
      </c>
      <c r="M342" s="799">
        <v>32620</v>
      </c>
      <c r="N342" s="799">
        <v>42827</v>
      </c>
      <c r="O342" s="799">
        <v>3328</v>
      </c>
      <c r="P342" s="799">
        <v>12538</v>
      </c>
      <c r="Q342" s="799">
        <v>0</v>
      </c>
      <c r="R342" s="799">
        <v>4248</v>
      </c>
      <c r="S342" s="799">
        <v>22365</v>
      </c>
    </row>
    <row r="343" spans="1:19" x14ac:dyDescent="0.2">
      <c r="A343" s="761">
        <v>2015</v>
      </c>
      <c r="B343" s="761">
        <v>5</v>
      </c>
      <c r="C343" s="796" t="s">
        <v>84</v>
      </c>
      <c r="D343" s="761">
        <v>6417</v>
      </c>
      <c r="E343" s="796"/>
      <c r="F343" s="761">
        <v>126</v>
      </c>
      <c r="G343" s="761" t="s">
        <v>1013</v>
      </c>
      <c r="H343" s="799">
        <v>0</v>
      </c>
      <c r="I343" s="799">
        <v>0</v>
      </c>
      <c r="J343" s="799">
        <v>50013</v>
      </c>
      <c r="K343" s="799">
        <v>184445</v>
      </c>
      <c r="L343" s="799">
        <v>0</v>
      </c>
      <c r="M343" s="799">
        <v>297473</v>
      </c>
      <c r="N343" s="799">
        <v>0</v>
      </c>
      <c r="O343" s="799">
        <v>30196</v>
      </c>
      <c r="P343" s="799">
        <v>42210</v>
      </c>
      <c r="Q343" s="799">
        <v>0</v>
      </c>
      <c r="R343" s="799">
        <v>11952</v>
      </c>
      <c r="S343" s="799">
        <v>21993</v>
      </c>
    </row>
    <row r="344" spans="1:19" x14ac:dyDescent="0.2">
      <c r="A344" s="761">
        <v>2015</v>
      </c>
      <c r="B344" s="761">
        <v>1</v>
      </c>
      <c r="C344" s="796" t="s">
        <v>85</v>
      </c>
      <c r="D344" s="796"/>
      <c r="E344" s="796"/>
      <c r="F344" s="761">
        <v>135</v>
      </c>
      <c r="G344" s="761" t="s">
        <v>1014</v>
      </c>
      <c r="H344" s="799">
        <v>0</v>
      </c>
      <c r="I344" s="799">
        <v>0</v>
      </c>
      <c r="J344" s="799">
        <v>18345</v>
      </c>
      <c r="K344" s="799">
        <v>167346</v>
      </c>
      <c r="L344" s="799">
        <v>35614</v>
      </c>
      <c r="M344" s="799">
        <v>73985</v>
      </c>
      <c r="N344" s="799">
        <v>85934</v>
      </c>
      <c r="O344" s="799">
        <v>37018</v>
      </c>
      <c r="P344" s="799">
        <v>88383</v>
      </c>
      <c r="Q344" s="799">
        <v>0</v>
      </c>
      <c r="R344" s="799">
        <v>835</v>
      </c>
      <c r="S344" s="799">
        <v>52828</v>
      </c>
    </row>
    <row r="345" spans="1:19" x14ac:dyDescent="0.2">
      <c r="A345" s="761">
        <v>2015</v>
      </c>
      <c r="B345" s="761">
        <v>7</v>
      </c>
      <c r="C345" s="796" t="s">
        <v>86</v>
      </c>
      <c r="D345" s="796"/>
      <c r="E345" s="796"/>
      <c r="F345" s="761">
        <v>153</v>
      </c>
      <c r="G345" s="761" t="s">
        <v>1482</v>
      </c>
      <c r="H345" s="799">
        <v>0</v>
      </c>
      <c r="I345" s="799">
        <v>2839</v>
      </c>
      <c r="J345" s="799">
        <v>262592</v>
      </c>
      <c r="K345" s="799">
        <v>20762</v>
      </c>
      <c r="L345" s="799">
        <v>0</v>
      </c>
      <c r="M345" s="799">
        <v>10962</v>
      </c>
      <c r="N345" s="799">
        <v>78475</v>
      </c>
      <c r="O345" s="799">
        <v>2554</v>
      </c>
      <c r="P345" s="799">
        <v>20846</v>
      </c>
      <c r="Q345" s="799">
        <v>0</v>
      </c>
      <c r="R345" s="799">
        <v>6609</v>
      </c>
      <c r="S345" s="799">
        <v>33467</v>
      </c>
    </row>
    <row r="346" spans="1:19" x14ac:dyDescent="0.2">
      <c r="A346" s="761">
        <v>2015</v>
      </c>
      <c r="B346" s="761">
        <v>5</v>
      </c>
      <c r="C346" s="796" t="s">
        <v>87</v>
      </c>
      <c r="D346" s="796"/>
      <c r="E346" s="796"/>
      <c r="F346" s="761">
        <v>171</v>
      </c>
      <c r="G346" s="761" t="s">
        <v>1015</v>
      </c>
      <c r="H346" s="799">
        <v>26871</v>
      </c>
      <c r="I346" s="799">
        <v>43707</v>
      </c>
      <c r="J346" s="799">
        <v>133</v>
      </c>
      <c r="K346" s="799">
        <v>10634</v>
      </c>
      <c r="L346" s="799">
        <v>0</v>
      </c>
      <c r="M346" s="799">
        <v>0</v>
      </c>
      <c r="N346" s="799">
        <v>30575</v>
      </c>
      <c r="O346" s="799">
        <v>18196</v>
      </c>
      <c r="P346" s="799">
        <v>0</v>
      </c>
      <c r="Q346" s="799">
        <v>0</v>
      </c>
      <c r="R346" s="799">
        <v>6671</v>
      </c>
      <c r="S346" s="799">
        <v>26518</v>
      </c>
    </row>
    <row r="347" spans="1:19" x14ac:dyDescent="0.2">
      <c r="A347" s="761">
        <v>2015</v>
      </c>
      <c r="B347" s="761">
        <v>11</v>
      </c>
      <c r="C347" s="796" t="s">
        <v>88</v>
      </c>
      <c r="D347" s="796"/>
      <c r="E347" s="796"/>
      <c r="F347" s="761">
        <v>225</v>
      </c>
      <c r="G347" s="761" t="s">
        <v>1016</v>
      </c>
      <c r="H347" s="799">
        <v>24307</v>
      </c>
      <c r="I347" s="799">
        <v>414</v>
      </c>
      <c r="J347" s="799">
        <v>0</v>
      </c>
      <c r="K347" s="799">
        <v>1638</v>
      </c>
      <c r="L347" s="799">
        <v>0</v>
      </c>
      <c r="M347" s="799">
        <v>1043</v>
      </c>
      <c r="N347" s="799">
        <v>218966</v>
      </c>
      <c r="O347" s="799">
        <v>124643</v>
      </c>
      <c r="P347" s="799">
        <v>178422</v>
      </c>
      <c r="Q347" s="799">
        <v>0</v>
      </c>
      <c r="R347" s="799">
        <v>0</v>
      </c>
      <c r="S347" s="799">
        <v>338797</v>
      </c>
    </row>
    <row r="348" spans="1:19" x14ac:dyDescent="0.2">
      <c r="A348" s="761">
        <v>2015</v>
      </c>
      <c r="B348" s="761">
        <v>10</v>
      </c>
      <c r="C348" s="796" t="s">
        <v>89</v>
      </c>
      <c r="D348" s="796"/>
      <c r="E348" s="796"/>
      <c r="F348" s="761">
        <v>234</v>
      </c>
      <c r="G348" s="761" t="s">
        <v>1017</v>
      </c>
      <c r="H348" s="799">
        <v>22063</v>
      </c>
      <c r="I348" s="799">
        <v>3633</v>
      </c>
      <c r="J348" s="799">
        <v>33091</v>
      </c>
      <c r="K348" s="799">
        <v>41943</v>
      </c>
      <c r="L348" s="799">
        <v>0</v>
      </c>
      <c r="M348" s="799">
        <v>249874</v>
      </c>
      <c r="N348" s="799">
        <v>92049</v>
      </c>
      <c r="O348" s="799">
        <v>0</v>
      </c>
      <c r="P348" s="799">
        <v>10401</v>
      </c>
      <c r="Q348" s="799">
        <v>0</v>
      </c>
      <c r="R348" s="799">
        <v>5043</v>
      </c>
      <c r="S348" s="799">
        <v>37235</v>
      </c>
    </row>
    <row r="349" spans="1:19" x14ac:dyDescent="0.2">
      <c r="A349" s="761">
        <v>2015</v>
      </c>
      <c r="B349" s="761">
        <v>9</v>
      </c>
      <c r="C349" s="796" t="s">
        <v>90</v>
      </c>
      <c r="D349" s="796"/>
      <c r="E349" s="796"/>
      <c r="F349" s="761">
        <v>243</v>
      </c>
      <c r="G349" s="761" t="s">
        <v>1018</v>
      </c>
      <c r="H349" s="799">
        <v>0</v>
      </c>
      <c r="I349" s="799">
        <v>0</v>
      </c>
      <c r="J349" s="799">
        <v>46162</v>
      </c>
      <c r="K349" s="799">
        <v>0</v>
      </c>
      <c r="L349" s="799">
        <v>0</v>
      </c>
      <c r="M349" s="799">
        <v>81582</v>
      </c>
      <c r="N349" s="799">
        <v>2417</v>
      </c>
      <c r="O349" s="799">
        <v>1009</v>
      </c>
      <c r="P349" s="799">
        <v>7931</v>
      </c>
      <c r="Q349" s="799">
        <v>0</v>
      </c>
      <c r="R349" s="799">
        <v>0</v>
      </c>
      <c r="S349" s="799">
        <v>19968</v>
      </c>
    </row>
    <row r="350" spans="1:19" x14ac:dyDescent="0.2">
      <c r="A350" s="761">
        <v>2015</v>
      </c>
      <c r="B350" s="761">
        <v>11</v>
      </c>
      <c r="C350" s="796" t="s">
        <v>91</v>
      </c>
      <c r="D350" s="796"/>
      <c r="E350" s="796"/>
      <c r="F350" s="761">
        <v>261</v>
      </c>
      <c r="G350" s="761" t="s">
        <v>1019</v>
      </c>
      <c r="H350" s="799">
        <v>0</v>
      </c>
      <c r="I350" s="799">
        <v>0</v>
      </c>
      <c r="J350" s="799">
        <v>0</v>
      </c>
      <c r="K350" s="799">
        <v>0</v>
      </c>
      <c r="L350" s="799">
        <v>0</v>
      </c>
      <c r="M350" s="799">
        <v>53720</v>
      </c>
      <c r="N350" s="799">
        <v>0</v>
      </c>
      <c r="O350" s="799">
        <v>52843</v>
      </c>
      <c r="P350" s="799">
        <v>0</v>
      </c>
      <c r="Q350" s="799">
        <v>0</v>
      </c>
      <c r="R350" s="799">
        <v>19587</v>
      </c>
      <c r="S350" s="799">
        <v>367094</v>
      </c>
    </row>
    <row r="351" spans="1:19" x14ac:dyDescent="0.2">
      <c r="A351" s="761">
        <v>2015</v>
      </c>
      <c r="B351" s="761">
        <v>7</v>
      </c>
      <c r="C351" s="796" t="s">
        <v>92</v>
      </c>
      <c r="D351" s="796"/>
      <c r="E351" s="796"/>
      <c r="F351" s="761">
        <v>279</v>
      </c>
      <c r="G351" s="761" t="s">
        <v>1455</v>
      </c>
      <c r="H351" s="799">
        <v>0</v>
      </c>
      <c r="I351" s="799">
        <v>2262</v>
      </c>
      <c r="J351" s="799">
        <v>72944</v>
      </c>
      <c r="K351" s="799">
        <v>108522</v>
      </c>
      <c r="L351" s="799">
        <v>65111</v>
      </c>
      <c r="M351" s="799">
        <v>71351</v>
      </c>
      <c r="N351" s="799">
        <v>55707</v>
      </c>
      <c r="O351" s="799">
        <v>39507</v>
      </c>
      <c r="P351" s="799">
        <v>93865</v>
      </c>
      <c r="Q351" s="799">
        <v>39364</v>
      </c>
      <c r="R351" s="799">
        <v>0</v>
      </c>
      <c r="S351" s="799">
        <v>22240</v>
      </c>
    </row>
    <row r="352" spans="1:19" x14ac:dyDescent="0.2">
      <c r="A352" s="761">
        <v>2015</v>
      </c>
      <c r="B352" s="761">
        <v>5</v>
      </c>
      <c r="C352" s="796" t="s">
        <v>93</v>
      </c>
      <c r="D352" s="761">
        <v>5868</v>
      </c>
      <c r="E352" s="796"/>
      <c r="F352" s="761">
        <v>333</v>
      </c>
      <c r="G352" s="761" t="s">
        <v>1635</v>
      </c>
      <c r="H352" s="799">
        <v>0</v>
      </c>
      <c r="I352" s="799">
        <v>0</v>
      </c>
      <c r="J352" s="799">
        <v>36083</v>
      </c>
      <c r="K352" s="799">
        <v>14971</v>
      </c>
      <c r="L352" s="799">
        <v>0</v>
      </c>
      <c r="M352" s="799">
        <v>42477</v>
      </c>
      <c r="N352" s="799">
        <v>77878</v>
      </c>
      <c r="O352" s="799">
        <v>89723</v>
      </c>
      <c r="P352" s="799">
        <v>4725</v>
      </c>
      <c r="Q352" s="799">
        <v>0</v>
      </c>
      <c r="R352" s="799">
        <v>5553</v>
      </c>
      <c r="S352" s="799">
        <v>9042</v>
      </c>
    </row>
    <row r="353" spans="1:19" x14ac:dyDescent="0.2">
      <c r="A353" s="761">
        <v>2015</v>
      </c>
      <c r="B353" s="761">
        <v>12</v>
      </c>
      <c r="C353" s="796" t="s">
        <v>94</v>
      </c>
      <c r="D353" s="796"/>
      <c r="E353" s="796"/>
      <c r="F353" s="761">
        <v>355</v>
      </c>
      <c r="G353" s="761" t="s">
        <v>1020</v>
      </c>
      <c r="H353" s="799">
        <v>0</v>
      </c>
      <c r="I353" s="799">
        <v>0</v>
      </c>
      <c r="J353" s="799">
        <v>0</v>
      </c>
      <c r="K353" s="799">
        <v>0</v>
      </c>
      <c r="L353" s="799">
        <v>0</v>
      </c>
      <c r="M353" s="799">
        <v>71021</v>
      </c>
      <c r="N353" s="799">
        <v>19531</v>
      </c>
      <c r="O353" s="799">
        <v>42831</v>
      </c>
      <c r="P353" s="799">
        <v>10641</v>
      </c>
      <c r="Q353" s="799">
        <v>0</v>
      </c>
      <c r="R353" s="799">
        <v>4737</v>
      </c>
      <c r="S353" s="799">
        <v>24936</v>
      </c>
    </row>
    <row r="354" spans="1:19" x14ac:dyDescent="0.2">
      <c r="A354" s="761">
        <v>2015</v>
      </c>
      <c r="B354" s="761">
        <v>13</v>
      </c>
      <c r="C354" s="796" t="s">
        <v>95</v>
      </c>
      <c r="D354" s="796"/>
      <c r="E354" s="796"/>
      <c r="F354" s="761">
        <v>387</v>
      </c>
      <c r="G354" s="761" t="s">
        <v>1021</v>
      </c>
      <c r="H354" s="799">
        <v>0</v>
      </c>
      <c r="I354" s="799">
        <v>0</v>
      </c>
      <c r="J354" s="799">
        <v>0</v>
      </c>
      <c r="K354" s="799">
        <v>64463</v>
      </c>
      <c r="L354" s="799">
        <v>0</v>
      </c>
      <c r="M354" s="799">
        <v>120461</v>
      </c>
      <c r="N354" s="799">
        <v>0</v>
      </c>
      <c r="O354" s="799">
        <v>89723</v>
      </c>
      <c r="P354" s="799">
        <v>61503</v>
      </c>
      <c r="Q354" s="799">
        <v>0</v>
      </c>
      <c r="R354" s="799">
        <v>3398</v>
      </c>
      <c r="S354" s="799">
        <v>3068</v>
      </c>
    </row>
    <row r="355" spans="1:19" x14ac:dyDescent="0.2">
      <c r="A355" s="761">
        <v>2015</v>
      </c>
      <c r="B355" s="761">
        <v>11</v>
      </c>
      <c r="C355" s="796" t="s">
        <v>96</v>
      </c>
      <c r="D355" s="796"/>
      <c r="E355" s="796"/>
      <c r="F355" s="761">
        <v>414</v>
      </c>
      <c r="G355" s="761" t="s">
        <v>1022</v>
      </c>
      <c r="H355" s="799">
        <v>4428</v>
      </c>
      <c r="I355" s="799">
        <v>6373</v>
      </c>
      <c r="J355" s="799">
        <v>36019</v>
      </c>
      <c r="K355" s="799">
        <v>97301</v>
      </c>
      <c r="L355" s="799">
        <v>39669</v>
      </c>
      <c r="M355" s="799">
        <v>0</v>
      </c>
      <c r="N355" s="799">
        <v>8385</v>
      </c>
      <c r="O355" s="799">
        <v>8383</v>
      </c>
      <c r="P355" s="799">
        <v>26375</v>
      </c>
      <c r="Q355" s="799">
        <v>85</v>
      </c>
      <c r="R355" s="799">
        <v>0</v>
      </c>
      <c r="S355" s="799">
        <v>50685</v>
      </c>
    </row>
    <row r="356" spans="1:19" x14ac:dyDescent="0.2">
      <c r="A356" s="761">
        <v>2015</v>
      </c>
      <c r="B356" s="761">
        <v>12</v>
      </c>
      <c r="C356" s="796" t="s">
        <v>97</v>
      </c>
      <c r="D356" s="796"/>
      <c r="E356" s="796"/>
      <c r="F356" s="761">
        <v>423</v>
      </c>
      <c r="G356" s="761" t="s">
        <v>1023</v>
      </c>
      <c r="H356" s="799">
        <v>48564</v>
      </c>
      <c r="I356" s="799">
        <v>2259</v>
      </c>
      <c r="J356" s="799">
        <v>36224</v>
      </c>
      <c r="K356" s="799">
        <v>79173</v>
      </c>
      <c r="L356" s="799">
        <v>13317</v>
      </c>
      <c r="M356" s="799">
        <v>0</v>
      </c>
      <c r="N356" s="799">
        <v>22841</v>
      </c>
      <c r="O356" s="799">
        <v>39565</v>
      </c>
      <c r="P356" s="799">
        <v>0</v>
      </c>
      <c r="Q356" s="799">
        <v>0</v>
      </c>
      <c r="R356" s="799">
        <v>5783</v>
      </c>
      <c r="S356" s="799">
        <v>24115</v>
      </c>
    </row>
    <row r="357" spans="1:19" x14ac:dyDescent="0.2">
      <c r="A357" s="761">
        <v>2015</v>
      </c>
      <c r="B357" s="761">
        <v>13</v>
      </c>
      <c r="C357" s="796" t="s">
        <v>78</v>
      </c>
      <c r="D357" s="761">
        <v>6750</v>
      </c>
      <c r="E357" s="796"/>
      <c r="F357" s="761">
        <v>441</v>
      </c>
      <c r="G357" s="761" t="s">
        <v>1785</v>
      </c>
      <c r="H357" s="799">
        <v>7686</v>
      </c>
      <c r="I357" s="799">
        <v>0</v>
      </c>
      <c r="J357" s="799">
        <v>34308</v>
      </c>
      <c r="K357" s="799">
        <v>72598</v>
      </c>
      <c r="L357" s="799">
        <v>0</v>
      </c>
      <c r="M357" s="799">
        <v>11258</v>
      </c>
      <c r="N357" s="799">
        <v>28512</v>
      </c>
      <c r="O357" s="799">
        <v>13532</v>
      </c>
      <c r="P357" s="799">
        <v>9095</v>
      </c>
      <c r="Q357" s="799">
        <v>0</v>
      </c>
      <c r="R357" s="799">
        <v>5706</v>
      </c>
      <c r="S357" s="799">
        <v>43221</v>
      </c>
    </row>
    <row r="358" spans="1:19" x14ac:dyDescent="0.2">
      <c r="A358" s="761">
        <v>2015</v>
      </c>
      <c r="B358" s="761">
        <v>11</v>
      </c>
      <c r="C358" s="796" t="s">
        <v>98</v>
      </c>
      <c r="D358" s="796"/>
      <c r="E358" s="796"/>
      <c r="F358" s="761">
        <v>472</v>
      </c>
      <c r="G358" s="761" t="s">
        <v>1024</v>
      </c>
      <c r="H358" s="799">
        <v>90110</v>
      </c>
      <c r="I358" s="799">
        <v>0</v>
      </c>
      <c r="J358" s="799">
        <v>41959</v>
      </c>
      <c r="K358" s="799">
        <v>0</v>
      </c>
      <c r="L358" s="799">
        <v>0</v>
      </c>
      <c r="M358" s="799">
        <v>53900</v>
      </c>
      <c r="N358" s="799">
        <v>6748</v>
      </c>
      <c r="O358" s="799">
        <v>25429</v>
      </c>
      <c r="P358" s="799">
        <v>62853</v>
      </c>
      <c r="Q358" s="799">
        <v>0</v>
      </c>
      <c r="R358" s="799">
        <v>4885</v>
      </c>
      <c r="S358" s="799">
        <v>42043</v>
      </c>
    </row>
    <row r="359" spans="1:19" x14ac:dyDescent="0.2">
      <c r="A359" s="761">
        <v>2015</v>
      </c>
      <c r="B359" s="761">
        <v>12</v>
      </c>
      <c r="C359" s="796" t="s">
        <v>99</v>
      </c>
      <c r="D359" s="796"/>
      <c r="E359" s="796"/>
      <c r="F359" s="761">
        <v>504</v>
      </c>
      <c r="G359" s="761" t="s">
        <v>1025</v>
      </c>
      <c r="H359" s="799">
        <v>57237</v>
      </c>
      <c r="I359" s="799">
        <v>0</v>
      </c>
      <c r="J359" s="799">
        <v>46539</v>
      </c>
      <c r="K359" s="799">
        <v>51047</v>
      </c>
      <c r="L359" s="799">
        <v>0</v>
      </c>
      <c r="M359" s="799">
        <v>90523</v>
      </c>
      <c r="N359" s="799">
        <v>10471</v>
      </c>
      <c r="O359" s="799">
        <v>9590</v>
      </c>
      <c r="P359" s="799">
        <v>32260</v>
      </c>
      <c r="Q359" s="799">
        <v>0</v>
      </c>
      <c r="R359" s="799">
        <v>0</v>
      </c>
      <c r="S359" s="799">
        <v>23714</v>
      </c>
    </row>
    <row r="360" spans="1:19" x14ac:dyDescent="0.2">
      <c r="A360" s="761">
        <v>2015</v>
      </c>
      <c r="B360" s="761">
        <v>11</v>
      </c>
      <c r="C360" s="796" t="s">
        <v>100</v>
      </c>
      <c r="D360" s="796"/>
      <c r="E360" s="796"/>
      <c r="F360" s="761">
        <v>513</v>
      </c>
      <c r="G360" s="761" t="s">
        <v>1026</v>
      </c>
      <c r="H360" s="799">
        <v>0</v>
      </c>
      <c r="I360" s="799">
        <v>0</v>
      </c>
      <c r="J360" s="799">
        <v>0</v>
      </c>
      <c r="K360" s="799">
        <v>77548</v>
      </c>
      <c r="L360" s="799">
        <v>7604</v>
      </c>
      <c r="M360" s="799">
        <v>22735</v>
      </c>
      <c r="N360" s="799">
        <v>0</v>
      </c>
      <c r="O360" s="799">
        <v>6494</v>
      </c>
      <c r="P360" s="799">
        <v>6758</v>
      </c>
      <c r="Q360" s="799">
        <v>0</v>
      </c>
      <c r="R360" s="799">
        <v>3855</v>
      </c>
      <c r="S360" s="799">
        <v>20658</v>
      </c>
    </row>
    <row r="361" spans="1:19" x14ac:dyDescent="0.2">
      <c r="A361" s="761">
        <v>2015</v>
      </c>
      <c r="B361" s="761">
        <v>7</v>
      </c>
      <c r="C361" s="796" t="s">
        <v>101</v>
      </c>
      <c r="D361" s="796"/>
      <c r="E361" s="796"/>
      <c r="F361" s="761">
        <v>540</v>
      </c>
      <c r="G361" s="761" t="s">
        <v>1027</v>
      </c>
      <c r="H361" s="799">
        <v>0</v>
      </c>
      <c r="I361" s="799">
        <v>0</v>
      </c>
      <c r="J361" s="799">
        <v>47302</v>
      </c>
      <c r="K361" s="799">
        <v>0</v>
      </c>
      <c r="L361" s="799">
        <v>0</v>
      </c>
      <c r="M361" s="799">
        <v>90364</v>
      </c>
      <c r="N361" s="799">
        <v>0</v>
      </c>
      <c r="O361" s="799">
        <v>0</v>
      </c>
      <c r="P361" s="799">
        <v>8787</v>
      </c>
      <c r="Q361" s="799">
        <v>0</v>
      </c>
      <c r="R361" s="799">
        <v>0</v>
      </c>
      <c r="S361" s="799">
        <v>26189</v>
      </c>
    </row>
    <row r="362" spans="1:19" x14ac:dyDescent="0.2">
      <c r="A362" s="761">
        <v>2015</v>
      </c>
      <c r="B362" s="761">
        <v>13</v>
      </c>
      <c r="C362" s="796" t="s">
        <v>102</v>
      </c>
      <c r="D362" s="796"/>
      <c r="E362" s="796"/>
      <c r="F362" s="761">
        <v>549</v>
      </c>
      <c r="G362" s="761" t="s">
        <v>1028</v>
      </c>
      <c r="H362" s="799">
        <v>0</v>
      </c>
      <c r="I362" s="799">
        <v>0</v>
      </c>
      <c r="J362" s="799">
        <v>0</v>
      </c>
      <c r="K362" s="799">
        <v>0</v>
      </c>
      <c r="L362" s="799">
        <v>0</v>
      </c>
      <c r="M362" s="799">
        <v>8609</v>
      </c>
      <c r="N362" s="799">
        <v>29828</v>
      </c>
      <c r="O362" s="799">
        <v>1526</v>
      </c>
      <c r="P362" s="799">
        <v>24006</v>
      </c>
      <c r="Q362" s="799">
        <v>0</v>
      </c>
      <c r="R362" s="799">
        <v>7060</v>
      </c>
      <c r="S362" s="799">
        <v>30577</v>
      </c>
    </row>
    <row r="363" spans="1:19" x14ac:dyDescent="0.2">
      <c r="A363" s="761">
        <v>2015</v>
      </c>
      <c r="B363" s="761">
        <v>10</v>
      </c>
      <c r="C363" s="796" t="s">
        <v>103</v>
      </c>
      <c r="D363" s="796"/>
      <c r="E363" s="796"/>
      <c r="F363" s="761">
        <v>576</v>
      </c>
      <c r="G363" s="761" t="s">
        <v>1029</v>
      </c>
      <c r="H363" s="799">
        <v>0</v>
      </c>
      <c r="I363" s="799">
        <v>0</v>
      </c>
      <c r="J363" s="799">
        <v>197447</v>
      </c>
      <c r="K363" s="799">
        <v>0</v>
      </c>
      <c r="L363" s="799">
        <v>0</v>
      </c>
      <c r="M363" s="799">
        <v>142567</v>
      </c>
      <c r="N363" s="799">
        <v>35962</v>
      </c>
      <c r="O363" s="799">
        <v>0</v>
      </c>
      <c r="P363" s="799">
        <v>0</v>
      </c>
      <c r="Q363" s="799">
        <v>0</v>
      </c>
      <c r="R363" s="799">
        <v>0</v>
      </c>
      <c r="S363" s="799">
        <v>0</v>
      </c>
    </row>
    <row r="364" spans="1:19" x14ac:dyDescent="0.2">
      <c r="A364" s="761">
        <v>2015</v>
      </c>
      <c r="B364" s="761">
        <v>9</v>
      </c>
      <c r="C364" s="796" t="s">
        <v>104</v>
      </c>
      <c r="D364" s="796"/>
      <c r="E364" s="796"/>
      <c r="F364" s="761">
        <v>585</v>
      </c>
      <c r="G364" s="761" t="s">
        <v>1030</v>
      </c>
      <c r="H364" s="799">
        <v>3707</v>
      </c>
      <c r="I364" s="799">
        <v>0</v>
      </c>
      <c r="J364" s="799">
        <v>19170</v>
      </c>
      <c r="K364" s="799">
        <v>26007</v>
      </c>
      <c r="L364" s="799">
        <v>10273</v>
      </c>
      <c r="M364" s="799">
        <v>158536</v>
      </c>
      <c r="N364" s="799">
        <v>7204</v>
      </c>
      <c r="O364" s="799">
        <v>32316</v>
      </c>
      <c r="P364" s="799">
        <v>15353</v>
      </c>
      <c r="Q364" s="799">
        <v>0</v>
      </c>
      <c r="R364" s="799">
        <v>1399</v>
      </c>
      <c r="S364" s="799">
        <v>31074</v>
      </c>
    </row>
    <row r="365" spans="1:19" x14ac:dyDescent="0.2">
      <c r="A365" s="761">
        <v>2015</v>
      </c>
      <c r="B365" s="761">
        <v>7</v>
      </c>
      <c r="C365" s="796" t="s">
        <v>105</v>
      </c>
      <c r="D365" s="796"/>
      <c r="E365" s="796"/>
      <c r="F365" s="761">
        <v>594</v>
      </c>
      <c r="G365" s="761" t="s">
        <v>1031</v>
      </c>
      <c r="H365" s="799">
        <v>0</v>
      </c>
      <c r="I365" s="799">
        <v>0</v>
      </c>
      <c r="J365" s="799">
        <v>47799</v>
      </c>
      <c r="K365" s="799">
        <v>5450</v>
      </c>
      <c r="L365" s="799">
        <v>69520</v>
      </c>
      <c r="M365" s="799">
        <v>712</v>
      </c>
      <c r="N365" s="799">
        <v>137395</v>
      </c>
      <c r="O365" s="799">
        <v>7335</v>
      </c>
      <c r="P365" s="799">
        <v>20363</v>
      </c>
      <c r="Q365" s="799">
        <v>7554</v>
      </c>
      <c r="R365" s="799">
        <v>0</v>
      </c>
      <c r="S365" s="799">
        <v>60426</v>
      </c>
    </row>
    <row r="366" spans="1:19" x14ac:dyDescent="0.2">
      <c r="A366" s="761">
        <v>2015</v>
      </c>
      <c r="B366" s="761">
        <v>9</v>
      </c>
      <c r="C366" s="796" t="s">
        <v>106</v>
      </c>
      <c r="D366" s="796"/>
      <c r="E366" s="796"/>
      <c r="F366" s="761">
        <v>603</v>
      </c>
      <c r="G366" s="761" t="s">
        <v>1032</v>
      </c>
      <c r="H366" s="799">
        <v>12492</v>
      </c>
      <c r="I366" s="799">
        <v>0</v>
      </c>
      <c r="J366" s="799">
        <v>17531</v>
      </c>
      <c r="K366" s="799">
        <v>67513</v>
      </c>
      <c r="L366" s="799">
        <v>12396</v>
      </c>
      <c r="M366" s="799">
        <v>0</v>
      </c>
      <c r="N366" s="799">
        <v>0</v>
      </c>
      <c r="O366" s="799">
        <v>9631</v>
      </c>
      <c r="P366" s="799">
        <v>5944</v>
      </c>
      <c r="Q366" s="799">
        <v>16410</v>
      </c>
      <c r="R366" s="799">
        <v>2331</v>
      </c>
      <c r="S366" s="799">
        <v>27412</v>
      </c>
    </row>
    <row r="367" spans="1:19" x14ac:dyDescent="0.2">
      <c r="A367" s="761">
        <v>2015</v>
      </c>
      <c r="B367" s="761">
        <v>10</v>
      </c>
      <c r="C367" s="796" t="s">
        <v>107</v>
      </c>
      <c r="D367" s="796"/>
      <c r="E367" s="796"/>
      <c r="F367" s="761">
        <v>609</v>
      </c>
      <c r="G367" s="761" t="s">
        <v>1033</v>
      </c>
      <c r="H367" s="799">
        <v>46146</v>
      </c>
      <c r="I367" s="799">
        <v>15308</v>
      </c>
      <c r="J367" s="799">
        <v>0</v>
      </c>
      <c r="K367" s="799">
        <v>31701</v>
      </c>
      <c r="L367" s="799">
        <v>0</v>
      </c>
      <c r="M367" s="799">
        <v>309832</v>
      </c>
      <c r="N367" s="799">
        <v>112123</v>
      </c>
      <c r="O367" s="799">
        <v>9500</v>
      </c>
      <c r="P367" s="799">
        <v>0</v>
      </c>
      <c r="Q367" s="799">
        <v>0</v>
      </c>
      <c r="R367" s="799">
        <v>60912</v>
      </c>
      <c r="S367" s="799">
        <v>40130</v>
      </c>
    </row>
    <row r="368" spans="1:19" x14ac:dyDescent="0.2">
      <c r="A368" s="761">
        <v>2015</v>
      </c>
      <c r="B368" s="761">
        <v>9</v>
      </c>
      <c r="C368" s="796" t="s">
        <v>108</v>
      </c>
      <c r="D368" s="796"/>
      <c r="E368" s="796"/>
      <c r="F368" s="761">
        <v>621</v>
      </c>
      <c r="G368" s="761" t="s">
        <v>1034</v>
      </c>
      <c r="H368" s="799">
        <v>32224</v>
      </c>
      <c r="I368" s="799">
        <v>0</v>
      </c>
      <c r="J368" s="799">
        <v>503785</v>
      </c>
      <c r="K368" s="799">
        <v>202292</v>
      </c>
      <c r="L368" s="799">
        <v>0</v>
      </c>
      <c r="M368" s="799">
        <v>309671</v>
      </c>
      <c r="N368" s="799">
        <v>36288</v>
      </c>
      <c r="O368" s="799">
        <v>54802</v>
      </c>
      <c r="P368" s="799">
        <v>20192</v>
      </c>
      <c r="Q368" s="799">
        <v>0</v>
      </c>
      <c r="R368" s="799">
        <v>291023</v>
      </c>
      <c r="S368" s="799">
        <v>53980</v>
      </c>
    </row>
    <row r="369" spans="1:19" x14ac:dyDescent="0.2">
      <c r="A369" s="761">
        <v>2015</v>
      </c>
      <c r="B369" s="761">
        <v>15</v>
      </c>
      <c r="C369" s="796" t="s">
        <v>112</v>
      </c>
      <c r="D369" s="796"/>
      <c r="E369" s="796"/>
      <c r="F369" s="761">
        <v>657</v>
      </c>
      <c r="G369" s="761" t="s">
        <v>1495</v>
      </c>
      <c r="H369" s="799">
        <v>99618</v>
      </c>
      <c r="I369" s="799">
        <v>0</v>
      </c>
      <c r="J369" s="799">
        <v>0</v>
      </c>
      <c r="K369" s="799">
        <v>0</v>
      </c>
      <c r="L369" s="799">
        <v>0</v>
      </c>
      <c r="M369" s="799">
        <v>10606</v>
      </c>
      <c r="N369" s="799">
        <v>0</v>
      </c>
      <c r="O369" s="799">
        <v>4156</v>
      </c>
      <c r="P369" s="799">
        <v>36258</v>
      </c>
      <c r="Q369" s="799">
        <v>0</v>
      </c>
      <c r="R369" s="799">
        <v>369</v>
      </c>
      <c r="S369" s="799">
        <v>14969</v>
      </c>
    </row>
    <row r="370" spans="1:19" x14ac:dyDescent="0.2">
      <c r="A370" s="761">
        <v>2015</v>
      </c>
      <c r="B370" s="761">
        <v>11</v>
      </c>
      <c r="C370" s="796" t="s">
        <v>109</v>
      </c>
      <c r="D370" s="796"/>
      <c r="E370" s="796"/>
      <c r="F370" s="761">
        <v>720</v>
      </c>
      <c r="G370" s="761" t="s">
        <v>1035</v>
      </c>
      <c r="H370" s="799">
        <v>8425</v>
      </c>
      <c r="I370" s="799">
        <v>0</v>
      </c>
      <c r="J370" s="799">
        <v>21003</v>
      </c>
      <c r="K370" s="799">
        <v>0</v>
      </c>
      <c r="L370" s="799">
        <v>0</v>
      </c>
      <c r="M370" s="799">
        <v>154462</v>
      </c>
      <c r="N370" s="799">
        <v>8878</v>
      </c>
      <c r="O370" s="799">
        <v>11711</v>
      </c>
      <c r="P370" s="799">
        <v>96869</v>
      </c>
      <c r="Q370" s="799">
        <v>0</v>
      </c>
      <c r="R370" s="799">
        <v>8693</v>
      </c>
      <c r="S370" s="799">
        <v>40364</v>
      </c>
    </row>
    <row r="371" spans="1:19" x14ac:dyDescent="0.2">
      <c r="A371" s="761">
        <v>2015</v>
      </c>
      <c r="B371" s="761">
        <v>11</v>
      </c>
      <c r="C371" s="796" t="s">
        <v>110</v>
      </c>
      <c r="D371" s="796"/>
      <c r="E371" s="796"/>
      <c r="F371" s="761">
        <v>729</v>
      </c>
      <c r="G371" s="761" t="s">
        <v>1036</v>
      </c>
      <c r="H371" s="799">
        <v>39999</v>
      </c>
      <c r="I371" s="799">
        <v>0</v>
      </c>
      <c r="J371" s="799">
        <v>130005</v>
      </c>
      <c r="K371" s="799">
        <v>141599</v>
      </c>
      <c r="L371" s="799">
        <v>0</v>
      </c>
      <c r="M371" s="799">
        <v>149142</v>
      </c>
      <c r="N371" s="799">
        <v>15598</v>
      </c>
      <c r="O371" s="799">
        <v>8535</v>
      </c>
      <c r="P371" s="799">
        <v>35734</v>
      </c>
      <c r="Q371" s="799">
        <v>0</v>
      </c>
      <c r="R371" s="799">
        <v>1039</v>
      </c>
      <c r="S371" s="799">
        <v>29815</v>
      </c>
    </row>
    <row r="372" spans="1:19" x14ac:dyDescent="0.2">
      <c r="A372" s="761">
        <v>2015</v>
      </c>
      <c r="B372" s="761">
        <v>12</v>
      </c>
      <c r="C372" s="796" t="s">
        <v>111</v>
      </c>
      <c r="D372" s="796"/>
      <c r="E372" s="796"/>
      <c r="F372" s="761">
        <v>747</v>
      </c>
      <c r="G372" s="761" t="s">
        <v>1037</v>
      </c>
      <c r="H372" s="799">
        <v>0</v>
      </c>
      <c r="I372" s="799">
        <v>83123</v>
      </c>
      <c r="J372" s="799">
        <v>0</v>
      </c>
      <c r="K372" s="799">
        <v>155505</v>
      </c>
      <c r="L372" s="799">
        <v>0</v>
      </c>
      <c r="M372" s="799">
        <v>0</v>
      </c>
      <c r="N372" s="799">
        <v>0</v>
      </c>
      <c r="O372" s="799">
        <v>54286</v>
      </c>
      <c r="P372" s="799">
        <v>30054</v>
      </c>
      <c r="Q372" s="799">
        <v>0</v>
      </c>
      <c r="R372" s="799">
        <v>7076</v>
      </c>
      <c r="S372" s="799">
        <v>38985</v>
      </c>
    </row>
    <row r="373" spans="1:19" x14ac:dyDescent="0.2">
      <c r="A373" s="761">
        <v>2015</v>
      </c>
      <c r="B373" s="761">
        <v>7</v>
      </c>
      <c r="C373" s="796" t="s">
        <v>113</v>
      </c>
      <c r="D373" s="796"/>
      <c r="E373" s="796"/>
      <c r="F373" s="761">
        <v>819</v>
      </c>
      <c r="G373" s="761" t="s">
        <v>1038</v>
      </c>
      <c r="H373" s="799">
        <v>1770</v>
      </c>
      <c r="I373" s="799">
        <v>43750</v>
      </c>
      <c r="J373" s="799">
        <v>60954</v>
      </c>
      <c r="K373" s="799">
        <v>0</v>
      </c>
      <c r="L373" s="799">
        <v>0</v>
      </c>
      <c r="M373" s="799">
        <v>9531</v>
      </c>
      <c r="N373" s="799">
        <v>25675</v>
      </c>
      <c r="O373" s="799">
        <v>5900</v>
      </c>
      <c r="P373" s="799">
        <v>5125</v>
      </c>
      <c r="Q373" s="799">
        <v>0</v>
      </c>
      <c r="R373" s="799">
        <v>0</v>
      </c>
      <c r="S373" s="799">
        <v>26368</v>
      </c>
    </row>
    <row r="374" spans="1:19" x14ac:dyDescent="0.2">
      <c r="A374" s="761">
        <v>2015</v>
      </c>
      <c r="B374" s="761">
        <v>7</v>
      </c>
      <c r="C374" s="796" t="s">
        <v>114</v>
      </c>
      <c r="D374" s="796"/>
      <c r="E374" s="796"/>
      <c r="F374" s="761">
        <v>846</v>
      </c>
      <c r="G374" s="761" t="s">
        <v>1039</v>
      </c>
      <c r="H374" s="799">
        <v>29847</v>
      </c>
      <c r="I374" s="799">
        <v>35523</v>
      </c>
      <c r="J374" s="799">
        <v>0</v>
      </c>
      <c r="K374" s="799">
        <v>0</v>
      </c>
      <c r="L374" s="799">
        <v>0</v>
      </c>
      <c r="M374" s="799">
        <v>49015</v>
      </c>
      <c r="N374" s="799">
        <v>263</v>
      </c>
      <c r="O374" s="799">
        <v>101858</v>
      </c>
      <c r="P374" s="799">
        <v>40301</v>
      </c>
      <c r="Q374" s="799">
        <v>0</v>
      </c>
      <c r="R374" s="799">
        <v>6688</v>
      </c>
      <c r="S374" s="799">
        <v>35579</v>
      </c>
    </row>
    <row r="375" spans="1:19" x14ac:dyDescent="0.2">
      <c r="A375" s="761">
        <v>2015</v>
      </c>
      <c r="B375" s="761">
        <v>7</v>
      </c>
      <c r="C375" s="796" t="s">
        <v>115</v>
      </c>
      <c r="D375" s="796"/>
      <c r="E375" s="796"/>
      <c r="F375" s="761">
        <v>873</v>
      </c>
      <c r="G375" s="761" t="s">
        <v>1040</v>
      </c>
      <c r="H375" s="799">
        <v>0</v>
      </c>
      <c r="I375" s="799">
        <v>12587</v>
      </c>
      <c r="J375" s="799">
        <v>6838</v>
      </c>
      <c r="K375" s="799">
        <v>0</v>
      </c>
      <c r="L375" s="799">
        <v>0</v>
      </c>
      <c r="M375" s="799">
        <v>2072</v>
      </c>
      <c r="N375" s="799">
        <v>21180</v>
      </c>
      <c r="O375" s="799">
        <v>0</v>
      </c>
      <c r="P375" s="799">
        <v>0</v>
      </c>
      <c r="Q375" s="799">
        <v>0</v>
      </c>
      <c r="R375" s="799">
        <v>6134</v>
      </c>
      <c r="S375" s="799">
        <v>18028</v>
      </c>
    </row>
    <row r="376" spans="1:19" x14ac:dyDescent="0.2">
      <c r="A376" s="761">
        <v>2015</v>
      </c>
      <c r="B376" s="761">
        <v>15</v>
      </c>
      <c r="C376" s="796" t="s">
        <v>116</v>
      </c>
      <c r="D376" s="796"/>
      <c r="E376" s="796"/>
      <c r="F376" s="761">
        <v>882</v>
      </c>
      <c r="G376" s="761" t="s">
        <v>1041</v>
      </c>
      <c r="H376" s="799">
        <v>191107</v>
      </c>
      <c r="I376" s="799">
        <v>0</v>
      </c>
      <c r="J376" s="799">
        <v>119573</v>
      </c>
      <c r="K376" s="799">
        <v>131955</v>
      </c>
      <c r="L376" s="799">
        <v>544299</v>
      </c>
      <c r="M376" s="799">
        <v>432693</v>
      </c>
      <c r="N376" s="799">
        <v>0</v>
      </c>
      <c r="O376" s="799">
        <v>57327</v>
      </c>
      <c r="P376" s="799">
        <v>292648</v>
      </c>
      <c r="Q376" s="799">
        <v>0</v>
      </c>
      <c r="R376" s="799">
        <v>305173</v>
      </c>
      <c r="S376" s="799">
        <v>19474</v>
      </c>
    </row>
    <row r="377" spans="1:19" x14ac:dyDescent="0.2">
      <c r="A377" s="761">
        <v>2015</v>
      </c>
      <c r="B377" s="761">
        <v>13</v>
      </c>
      <c r="C377" s="796" t="s">
        <v>117</v>
      </c>
      <c r="D377" s="796"/>
      <c r="E377" s="796"/>
      <c r="F377" s="761">
        <v>914</v>
      </c>
      <c r="G377" s="761" t="s">
        <v>1478</v>
      </c>
      <c r="H377" s="799">
        <v>39108</v>
      </c>
      <c r="I377" s="799">
        <v>0</v>
      </c>
      <c r="J377" s="799">
        <v>17549</v>
      </c>
      <c r="K377" s="799">
        <v>0</v>
      </c>
      <c r="L377" s="799">
        <v>0</v>
      </c>
      <c r="M377" s="799">
        <v>74050</v>
      </c>
      <c r="N377" s="799">
        <v>0</v>
      </c>
      <c r="O377" s="799">
        <v>31655</v>
      </c>
      <c r="P377" s="799">
        <v>33662</v>
      </c>
      <c r="Q377" s="799">
        <v>0</v>
      </c>
      <c r="R377" s="799">
        <v>573</v>
      </c>
      <c r="S377" s="799">
        <v>15551</v>
      </c>
    </row>
    <row r="378" spans="1:19" x14ac:dyDescent="0.2">
      <c r="A378" s="761">
        <v>2015</v>
      </c>
      <c r="B378" s="761">
        <v>7</v>
      </c>
      <c r="C378" s="796" t="s">
        <v>118</v>
      </c>
      <c r="D378" s="796"/>
      <c r="E378" s="796"/>
      <c r="F378" s="761">
        <v>916</v>
      </c>
      <c r="G378" s="761" t="s">
        <v>1042</v>
      </c>
      <c r="H378" s="799">
        <v>5841</v>
      </c>
      <c r="I378" s="799">
        <v>0</v>
      </c>
      <c r="J378" s="799">
        <v>21960</v>
      </c>
      <c r="K378" s="799">
        <v>0</v>
      </c>
      <c r="L378" s="799">
        <v>30980</v>
      </c>
      <c r="M378" s="799">
        <v>0</v>
      </c>
      <c r="N378" s="799">
        <v>0</v>
      </c>
      <c r="O378" s="799">
        <v>13941</v>
      </c>
      <c r="P378" s="799">
        <v>16853</v>
      </c>
      <c r="Q378" s="799">
        <v>0</v>
      </c>
      <c r="R378" s="799">
        <v>0</v>
      </c>
      <c r="S378" s="799">
        <v>1476</v>
      </c>
    </row>
    <row r="379" spans="1:19" x14ac:dyDescent="0.2">
      <c r="A379" s="761">
        <v>2015</v>
      </c>
      <c r="B379" s="761">
        <v>9</v>
      </c>
      <c r="C379" s="796" t="s">
        <v>119</v>
      </c>
      <c r="D379" s="796"/>
      <c r="E379" s="796"/>
      <c r="F379" s="761">
        <v>918</v>
      </c>
      <c r="G379" s="761" t="s">
        <v>1043</v>
      </c>
      <c r="H379" s="799">
        <v>8570</v>
      </c>
      <c r="I379" s="799">
        <v>0</v>
      </c>
      <c r="J379" s="799">
        <v>7087</v>
      </c>
      <c r="K379" s="799">
        <v>0</v>
      </c>
      <c r="L379" s="799">
        <v>0</v>
      </c>
      <c r="M379" s="799">
        <v>36409</v>
      </c>
      <c r="N379" s="799">
        <v>2049</v>
      </c>
      <c r="O379" s="799">
        <v>15083</v>
      </c>
      <c r="P379" s="799">
        <v>0</v>
      </c>
      <c r="Q379" s="799">
        <v>0</v>
      </c>
      <c r="R379" s="799">
        <v>6588</v>
      </c>
      <c r="S379" s="799">
        <v>22749</v>
      </c>
    </row>
    <row r="380" spans="1:19" x14ac:dyDescent="0.2">
      <c r="A380" s="761">
        <v>2015</v>
      </c>
      <c r="B380" s="761">
        <v>9</v>
      </c>
      <c r="C380" s="796" t="s">
        <v>120</v>
      </c>
      <c r="D380" s="796"/>
      <c r="E380" s="796"/>
      <c r="F380" s="761">
        <v>936</v>
      </c>
      <c r="G380" s="761" t="s">
        <v>1044</v>
      </c>
      <c r="H380" s="799">
        <v>0</v>
      </c>
      <c r="I380" s="799">
        <v>3863</v>
      </c>
      <c r="J380" s="799">
        <v>0</v>
      </c>
      <c r="K380" s="799">
        <v>0</v>
      </c>
      <c r="L380" s="799">
        <v>0</v>
      </c>
      <c r="M380" s="799">
        <v>34301</v>
      </c>
      <c r="N380" s="799">
        <v>6700</v>
      </c>
      <c r="O380" s="799">
        <v>11208</v>
      </c>
      <c r="P380" s="799">
        <v>16492</v>
      </c>
      <c r="Q380" s="799">
        <v>0</v>
      </c>
      <c r="R380" s="799">
        <v>4355</v>
      </c>
      <c r="S380" s="799">
        <v>21809</v>
      </c>
    </row>
    <row r="381" spans="1:19" x14ac:dyDescent="0.2">
      <c r="A381" s="761">
        <v>2015</v>
      </c>
      <c r="B381" s="761">
        <v>15</v>
      </c>
      <c r="C381" s="796" t="s">
        <v>121</v>
      </c>
      <c r="D381" s="796"/>
      <c r="E381" s="796"/>
      <c r="F381" s="761">
        <v>977</v>
      </c>
      <c r="G381" s="761" t="s">
        <v>1045</v>
      </c>
      <c r="H381" s="799">
        <v>0</v>
      </c>
      <c r="I381" s="799">
        <v>0</v>
      </c>
      <c r="J381" s="799">
        <v>46113</v>
      </c>
      <c r="K381" s="799">
        <v>9120</v>
      </c>
      <c r="L381" s="799">
        <v>0</v>
      </c>
      <c r="M381" s="799">
        <v>19088</v>
      </c>
      <c r="N381" s="799">
        <v>0</v>
      </c>
      <c r="O381" s="799">
        <v>0</v>
      </c>
      <c r="P381" s="799">
        <v>27395</v>
      </c>
      <c r="Q381" s="799">
        <v>0</v>
      </c>
      <c r="R381" s="799">
        <v>0</v>
      </c>
      <c r="S381" s="799">
        <v>19462</v>
      </c>
    </row>
    <row r="382" spans="1:19" x14ac:dyDescent="0.2">
      <c r="A382" s="761">
        <v>2015</v>
      </c>
      <c r="B382" s="761">
        <v>11</v>
      </c>
      <c r="C382" s="796" t="s">
        <v>122</v>
      </c>
      <c r="D382" s="796"/>
      <c r="E382" s="796"/>
      <c r="F382" s="761">
        <v>981</v>
      </c>
      <c r="G382" s="761" t="s">
        <v>1046</v>
      </c>
      <c r="H382" s="799">
        <v>105195</v>
      </c>
      <c r="I382" s="799">
        <v>0</v>
      </c>
      <c r="J382" s="799">
        <v>69370</v>
      </c>
      <c r="K382" s="799">
        <v>221738</v>
      </c>
      <c r="L382" s="799">
        <v>0</v>
      </c>
      <c r="M382" s="799">
        <v>277430</v>
      </c>
      <c r="N382" s="799">
        <v>67908</v>
      </c>
      <c r="O382" s="799">
        <v>22500</v>
      </c>
      <c r="P382" s="799">
        <v>55719</v>
      </c>
      <c r="Q382" s="799">
        <v>0</v>
      </c>
      <c r="R382" s="799">
        <v>0</v>
      </c>
      <c r="S382" s="799">
        <v>44663</v>
      </c>
    </row>
    <row r="383" spans="1:19" x14ac:dyDescent="0.2">
      <c r="A383" s="761">
        <v>2015</v>
      </c>
      <c r="B383" s="761">
        <v>11</v>
      </c>
      <c r="C383" s="796" t="s">
        <v>123</v>
      </c>
      <c r="D383" s="796"/>
      <c r="E383" s="796"/>
      <c r="F383" s="761">
        <v>999</v>
      </c>
      <c r="G383" s="761" t="s">
        <v>1047</v>
      </c>
      <c r="H383" s="799">
        <v>30046</v>
      </c>
      <c r="I383" s="799">
        <v>0</v>
      </c>
      <c r="J383" s="799">
        <v>696269</v>
      </c>
      <c r="K383" s="799">
        <v>221492</v>
      </c>
      <c r="L383" s="799">
        <v>0</v>
      </c>
      <c r="M383" s="799">
        <v>168580</v>
      </c>
      <c r="N383" s="799">
        <v>100505</v>
      </c>
      <c r="O383" s="799">
        <v>90839</v>
      </c>
      <c r="P383" s="799">
        <v>514</v>
      </c>
      <c r="Q383" s="799">
        <v>0</v>
      </c>
      <c r="R383" s="799">
        <v>0</v>
      </c>
      <c r="S383" s="799">
        <v>439194</v>
      </c>
    </row>
    <row r="384" spans="1:19" x14ac:dyDescent="0.2">
      <c r="A384" s="761">
        <v>2015</v>
      </c>
      <c r="B384" s="761">
        <v>7</v>
      </c>
      <c r="C384" s="796" t="s">
        <v>124</v>
      </c>
      <c r="D384" s="796"/>
      <c r="E384" s="796"/>
      <c r="F384" s="761">
        <v>1044</v>
      </c>
      <c r="G384" s="761" t="s">
        <v>1048</v>
      </c>
      <c r="H384" s="799">
        <v>0</v>
      </c>
      <c r="I384" s="799">
        <v>0</v>
      </c>
      <c r="J384" s="799">
        <v>121281</v>
      </c>
      <c r="K384" s="799">
        <v>182765</v>
      </c>
      <c r="L384" s="799">
        <v>0</v>
      </c>
      <c r="M384" s="799">
        <v>47898</v>
      </c>
      <c r="N384" s="799">
        <v>28377</v>
      </c>
      <c r="O384" s="799">
        <v>58932</v>
      </c>
      <c r="P384" s="799">
        <v>144314</v>
      </c>
      <c r="Q384" s="799">
        <v>102855</v>
      </c>
      <c r="R384" s="799">
        <v>14646</v>
      </c>
      <c r="S384" s="799">
        <v>87541</v>
      </c>
    </row>
    <row r="385" spans="1:19" x14ac:dyDescent="0.2">
      <c r="A385" s="761">
        <v>2015</v>
      </c>
      <c r="B385" s="761">
        <v>10</v>
      </c>
      <c r="C385" s="796" t="s">
        <v>125</v>
      </c>
      <c r="D385" s="796"/>
      <c r="E385" s="796"/>
      <c r="F385" s="761">
        <v>1053</v>
      </c>
      <c r="G385" s="761" t="s">
        <v>1049</v>
      </c>
      <c r="H385" s="799">
        <v>0</v>
      </c>
      <c r="I385" s="799">
        <v>0</v>
      </c>
      <c r="J385" s="799">
        <v>138507</v>
      </c>
      <c r="K385" s="799">
        <v>491107</v>
      </c>
      <c r="L385" s="799">
        <v>0</v>
      </c>
      <c r="M385" s="799">
        <v>528704</v>
      </c>
      <c r="N385" s="799">
        <v>0</v>
      </c>
      <c r="O385" s="799">
        <v>32843</v>
      </c>
      <c r="P385" s="799">
        <v>47869</v>
      </c>
      <c r="Q385" s="799">
        <v>0</v>
      </c>
      <c r="R385" s="799">
        <v>0</v>
      </c>
      <c r="S385" s="799">
        <v>2984161</v>
      </c>
    </row>
    <row r="386" spans="1:19" x14ac:dyDescent="0.2">
      <c r="A386" s="761">
        <v>2015</v>
      </c>
      <c r="B386" s="761">
        <v>10</v>
      </c>
      <c r="C386" s="796" t="s">
        <v>126</v>
      </c>
      <c r="D386" s="796"/>
      <c r="E386" s="796"/>
      <c r="F386" s="761">
        <v>1062</v>
      </c>
      <c r="G386" s="761" t="s">
        <v>637</v>
      </c>
      <c r="H386" s="799">
        <v>1104</v>
      </c>
      <c r="I386" s="799">
        <v>0</v>
      </c>
      <c r="J386" s="799">
        <v>0</v>
      </c>
      <c r="K386" s="799">
        <v>187383</v>
      </c>
      <c r="L386" s="799">
        <v>0</v>
      </c>
      <c r="M386" s="799">
        <v>122827</v>
      </c>
      <c r="N386" s="799">
        <v>4625</v>
      </c>
      <c r="O386" s="799">
        <v>0</v>
      </c>
      <c r="P386" s="799">
        <v>0</v>
      </c>
      <c r="Q386" s="799">
        <v>0</v>
      </c>
      <c r="R386" s="799">
        <v>0</v>
      </c>
      <c r="S386" s="799">
        <v>25066</v>
      </c>
    </row>
    <row r="387" spans="1:19" x14ac:dyDescent="0.2">
      <c r="A387" s="761">
        <v>2015</v>
      </c>
      <c r="B387" s="761">
        <v>15</v>
      </c>
      <c r="C387" s="796" t="s">
        <v>127</v>
      </c>
      <c r="D387" s="796"/>
      <c r="E387" s="796"/>
      <c r="F387" s="761">
        <v>1071</v>
      </c>
      <c r="G387" s="761" t="s">
        <v>1051</v>
      </c>
      <c r="H387" s="799">
        <v>0</v>
      </c>
      <c r="I387" s="799">
        <v>22371</v>
      </c>
      <c r="J387" s="799">
        <v>63184</v>
      </c>
      <c r="K387" s="799">
        <v>10</v>
      </c>
      <c r="L387" s="799">
        <v>36959</v>
      </c>
      <c r="M387" s="799">
        <v>245293</v>
      </c>
      <c r="N387" s="799">
        <v>76859</v>
      </c>
      <c r="O387" s="799">
        <v>53131</v>
      </c>
      <c r="P387" s="799">
        <v>164093</v>
      </c>
      <c r="Q387" s="799">
        <v>0</v>
      </c>
      <c r="R387" s="799">
        <v>8692</v>
      </c>
      <c r="S387" s="799">
        <v>42572</v>
      </c>
    </row>
    <row r="388" spans="1:19" x14ac:dyDescent="0.2">
      <c r="A388" s="761">
        <v>2015</v>
      </c>
      <c r="B388" s="761">
        <v>15</v>
      </c>
      <c r="C388" s="796" t="s">
        <v>128</v>
      </c>
      <c r="D388" s="796"/>
      <c r="E388" s="796"/>
      <c r="F388" s="761">
        <v>1079</v>
      </c>
      <c r="G388" s="761" t="s">
        <v>1052</v>
      </c>
      <c r="H388" s="799">
        <v>0</v>
      </c>
      <c r="I388" s="799">
        <v>0</v>
      </c>
      <c r="J388" s="799">
        <v>0</v>
      </c>
      <c r="K388" s="799">
        <v>0</v>
      </c>
      <c r="L388" s="799">
        <v>0</v>
      </c>
      <c r="M388" s="799">
        <v>0</v>
      </c>
      <c r="N388" s="799">
        <v>45037</v>
      </c>
      <c r="O388" s="799">
        <v>27927</v>
      </c>
      <c r="P388" s="799">
        <v>61472</v>
      </c>
      <c r="Q388" s="799">
        <v>0</v>
      </c>
      <c r="R388" s="799">
        <v>1228</v>
      </c>
      <c r="S388" s="799">
        <v>14447</v>
      </c>
    </row>
    <row r="389" spans="1:19" x14ac:dyDescent="0.2">
      <c r="A389" s="761">
        <v>2015</v>
      </c>
      <c r="B389" s="761">
        <v>1</v>
      </c>
      <c r="C389" s="796" t="s">
        <v>129</v>
      </c>
      <c r="D389" s="796"/>
      <c r="E389" s="796"/>
      <c r="F389" s="761">
        <v>1080</v>
      </c>
      <c r="G389" s="761" t="s">
        <v>1053</v>
      </c>
      <c r="H389" s="799">
        <v>0</v>
      </c>
      <c r="I389" s="799">
        <v>1401</v>
      </c>
      <c r="J389" s="799">
        <v>70000</v>
      </c>
      <c r="K389" s="799">
        <v>0</v>
      </c>
      <c r="L389" s="799">
        <v>3114</v>
      </c>
      <c r="M389" s="799">
        <v>48275</v>
      </c>
      <c r="N389" s="799">
        <v>22578</v>
      </c>
      <c r="O389" s="799">
        <v>24063</v>
      </c>
      <c r="P389" s="799">
        <v>16588</v>
      </c>
      <c r="Q389" s="799">
        <v>0</v>
      </c>
      <c r="R389" s="799">
        <v>4940</v>
      </c>
      <c r="S389" s="799">
        <v>16635</v>
      </c>
    </row>
    <row r="390" spans="1:19" x14ac:dyDescent="0.2">
      <c r="A390" s="761">
        <v>2015</v>
      </c>
      <c r="B390" s="761">
        <v>9</v>
      </c>
      <c r="C390" s="796" t="s">
        <v>130</v>
      </c>
      <c r="D390" s="796"/>
      <c r="E390" s="796"/>
      <c r="F390" s="761">
        <v>1082</v>
      </c>
      <c r="G390" s="761" t="s">
        <v>1722</v>
      </c>
      <c r="H390" s="799">
        <v>0</v>
      </c>
      <c r="I390" s="799">
        <v>0</v>
      </c>
      <c r="J390" s="799">
        <v>2912</v>
      </c>
      <c r="K390" s="799">
        <v>0</v>
      </c>
      <c r="L390" s="799">
        <v>0</v>
      </c>
      <c r="M390" s="799">
        <v>0</v>
      </c>
      <c r="N390" s="799">
        <v>5690</v>
      </c>
      <c r="O390" s="799">
        <v>1790</v>
      </c>
      <c r="P390" s="799">
        <v>23298</v>
      </c>
      <c r="Q390" s="799">
        <v>0</v>
      </c>
      <c r="R390" s="799">
        <v>3513</v>
      </c>
      <c r="S390" s="799">
        <v>37440</v>
      </c>
    </row>
    <row r="391" spans="1:19" x14ac:dyDescent="0.2">
      <c r="A391" s="761">
        <v>2015</v>
      </c>
      <c r="B391" s="761">
        <v>10</v>
      </c>
      <c r="C391" s="796" t="s">
        <v>131</v>
      </c>
      <c r="D391" s="796"/>
      <c r="E391" s="796"/>
      <c r="F391" s="761">
        <v>1089</v>
      </c>
      <c r="G391" s="761" t="s">
        <v>1054</v>
      </c>
      <c r="H391" s="799">
        <v>0</v>
      </c>
      <c r="I391" s="799">
        <v>0</v>
      </c>
      <c r="J391" s="799">
        <v>17334</v>
      </c>
      <c r="K391" s="799">
        <v>20037</v>
      </c>
      <c r="L391" s="799">
        <v>0</v>
      </c>
      <c r="M391" s="799">
        <v>212576</v>
      </c>
      <c r="N391" s="799">
        <v>3571</v>
      </c>
      <c r="O391" s="799">
        <v>256</v>
      </c>
      <c r="P391" s="799">
        <v>3879</v>
      </c>
      <c r="Q391" s="799">
        <v>0</v>
      </c>
      <c r="R391" s="799">
        <v>5549</v>
      </c>
      <c r="S391" s="799">
        <v>10489</v>
      </c>
    </row>
    <row r="392" spans="1:19" x14ac:dyDescent="0.2">
      <c r="A392" s="761">
        <v>2015</v>
      </c>
      <c r="B392" s="761">
        <v>13</v>
      </c>
      <c r="C392" s="796" t="s">
        <v>132</v>
      </c>
      <c r="D392" s="796"/>
      <c r="E392" s="796"/>
      <c r="F392" s="761">
        <v>1093</v>
      </c>
      <c r="G392" s="761" t="s">
        <v>1055</v>
      </c>
      <c r="H392" s="799">
        <v>15612</v>
      </c>
      <c r="I392" s="799">
        <v>0</v>
      </c>
      <c r="J392" s="799">
        <v>0</v>
      </c>
      <c r="K392" s="799">
        <v>194760</v>
      </c>
      <c r="L392" s="799">
        <v>0</v>
      </c>
      <c r="M392" s="799">
        <v>0</v>
      </c>
      <c r="N392" s="799">
        <v>33107</v>
      </c>
      <c r="O392" s="799">
        <v>17916</v>
      </c>
      <c r="P392" s="799">
        <v>8000</v>
      </c>
      <c r="Q392" s="799">
        <v>0</v>
      </c>
      <c r="R392" s="799">
        <v>7496</v>
      </c>
      <c r="S392" s="799">
        <v>30171</v>
      </c>
    </row>
    <row r="393" spans="1:19" x14ac:dyDescent="0.2">
      <c r="A393" s="761">
        <v>2015</v>
      </c>
      <c r="B393" s="761">
        <v>12</v>
      </c>
      <c r="C393" s="796" t="s">
        <v>133</v>
      </c>
      <c r="D393" s="796"/>
      <c r="E393" s="796"/>
      <c r="F393" s="761">
        <v>1095</v>
      </c>
      <c r="G393" s="761" t="s">
        <v>1057</v>
      </c>
      <c r="H393" s="799">
        <v>0</v>
      </c>
      <c r="I393" s="799">
        <v>0</v>
      </c>
      <c r="J393" s="799">
        <v>0</v>
      </c>
      <c r="K393" s="799">
        <v>0</v>
      </c>
      <c r="L393" s="799">
        <v>0</v>
      </c>
      <c r="M393" s="799">
        <v>180869</v>
      </c>
      <c r="N393" s="799">
        <v>159</v>
      </c>
      <c r="O393" s="799">
        <v>14741</v>
      </c>
      <c r="P393" s="799">
        <v>29641</v>
      </c>
      <c r="Q393" s="799">
        <v>14124</v>
      </c>
      <c r="R393" s="799">
        <v>4142</v>
      </c>
      <c r="S393" s="799">
        <v>26270</v>
      </c>
    </row>
    <row r="394" spans="1:19" x14ac:dyDescent="0.2">
      <c r="A394" s="761">
        <v>2015</v>
      </c>
      <c r="B394" s="761">
        <v>15</v>
      </c>
      <c r="C394" s="796" t="s">
        <v>134</v>
      </c>
      <c r="D394" s="796"/>
      <c r="E394" s="796"/>
      <c r="F394" s="761">
        <v>1107</v>
      </c>
      <c r="G394" s="761" t="s">
        <v>1058</v>
      </c>
      <c r="H394" s="799">
        <v>0</v>
      </c>
      <c r="I394" s="799">
        <v>37828</v>
      </c>
      <c r="J394" s="799">
        <v>4873</v>
      </c>
      <c r="K394" s="799">
        <v>69176</v>
      </c>
      <c r="L394" s="799">
        <v>0</v>
      </c>
      <c r="M394" s="799">
        <v>168424</v>
      </c>
      <c r="N394" s="799">
        <v>78468</v>
      </c>
      <c r="O394" s="799">
        <v>43452</v>
      </c>
      <c r="P394" s="799">
        <v>84286</v>
      </c>
      <c r="Q394" s="799">
        <v>0</v>
      </c>
      <c r="R394" s="799">
        <v>0</v>
      </c>
      <c r="S394" s="799">
        <v>39753</v>
      </c>
    </row>
    <row r="395" spans="1:19" x14ac:dyDescent="0.2">
      <c r="A395" s="761">
        <v>2015</v>
      </c>
      <c r="B395" s="761">
        <v>7</v>
      </c>
      <c r="C395" s="796" t="s">
        <v>135</v>
      </c>
      <c r="D395" s="796"/>
      <c r="E395" s="796"/>
      <c r="F395" s="761">
        <v>1116</v>
      </c>
      <c r="G395" s="761" t="s">
        <v>1059</v>
      </c>
      <c r="H395" s="799">
        <v>110550</v>
      </c>
      <c r="I395" s="799">
        <v>0</v>
      </c>
      <c r="J395" s="799">
        <v>48189</v>
      </c>
      <c r="K395" s="799">
        <v>132687</v>
      </c>
      <c r="L395" s="799">
        <v>0</v>
      </c>
      <c r="M395" s="799">
        <v>34181</v>
      </c>
      <c r="N395" s="799">
        <v>856</v>
      </c>
      <c r="O395" s="799">
        <v>53127</v>
      </c>
      <c r="P395" s="799">
        <v>113410</v>
      </c>
      <c r="Q395" s="799">
        <v>0</v>
      </c>
      <c r="R395" s="799">
        <v>9266</v>
      </c>
      <c r="S395" s="799">
        <v>49667</v>
      </c>
    </row>
    <row r="396" spans="1:19" x14ac:dyDescent="0.2">
      <c r="A396" s="761">
        <v>2015</v>
      </c>
      <c r="B396" s="761">
        <v>12</v>
      </c>
      <c r="C396" s="796" t="s">
        <v>136</v>
      </c>
      <c r="D396" s="796"/>
      <c r="E396" s="796"/>
      <c r="F396" s="761">
        <v>1134</v>
      </c>
      <c r="G396" s="761" t="s">
        <v>1060</v>
      </c>
      <c r="H396" s="799">
        <v>0</v>
      </c>
      <c r="I396" s="799">
        <v>0</v>
      </c>
      <c r="J396" s="799">
        <v>0</v>
      </c>
      <c r="K396" s="799">
        <v>0</v>
      </c>
      <c r="L396" s="799">
        <v>6704</v>
      </c>
      <c r="M396" s="799">
        <v>0</v>
      </c>
      <c r="N396" s="799">
        <v>341</v>
      </c>
      <c r="O396" s="799">
        <v>0</v>
      </c>
      <c r="P396" s="799">
        <v>0</v>
      </c>
      <c r="Q396" s="799">
        <v>0</v>
      </c>
      <c r="R396" s="799">
        <v>0</v>
      </c>
      <c r="S396" s="799">
        <v>2730</v>
      </c>
    </row>
    <row r="397" spans="1:19" x14ac:dyDescent="0.2">
      <c r="A397" s="761">
        <v>2015</v>
      </c>
      <c r="B397" s="761">
        <v>12</v>
      </c>
      <c r="C397" s="796" t="s">
        <v>137</v>
      </c>
      <c r="D397" s="796"/>
      <c r="E397" s="796"/>
      <c r="F397" s="761">
        <v>1152</v>
      </c>
      <c r="G397" s="761" t="s">
        <v>1061</v>
      </c>
      <c r="H397" s="799">
        <v>0</v>
      </c>
      <c r="I397" s="799">
        <v>12321</v>
      </c>
      <c r="J397" s="799">
        <v>10041</v>
      </c>
      <c r="K397" s="799">
        <v>18224</v>
      </c>
      <c r="L397" s="799">
        <v>33613</v>
      </c>
      <c r="M397" s="799">
        <v>99030</v>
      </c>
      <c r="N397" s="799">
        <v>0</v>
      </c>
      <c r="O397" s="799">
        <v>11415</v>
      </c>
      <c r="P397" s="799">
        <v>23219</v>
      </c>
      <c r="Q397" s="799">
        <v>0</v>
      </c>
      <c r="R397" s="799">
        <v>4703</v>
      </c>
      <c r="S397" s="799">
        <v>18053</v>
      </c>
    </row>
    <row r="398" spans="1:19" x14ac:dyDescent="0.2">
      <c r="A398" s="761">
        <v>2015</v>
      </c>
      <c r="B398" s="761">
        <v>13</v>
      </c>
      <c r="C398" s="796" t="s">
        <v>138</v>
      </c>
      <c r="D398" s="796"/>
      <c r="E398" s="796"/>
      <c r="F398" s="761">
        <v>1197</v>
      </c>
      <c r="G398" s="761" t="s">
        <v>1067</v>
      </c>
      <c r="H398" s="799">
        <v>0</v>
      </c>
      <c r="I398" s="799">
        <v>0</v>
      </c>
      <c r="J398" s="799">
        <v>0</v>
      </c>
      <c r="K398" s="799">
        <v>0</v>
      </c>
      <c r="L398" s="799">
        <v>0</v>
      </c>
      <c r="M398" s="799">
        <v>0</v>
      </c>
      <c r="N398" s="799">
        <v>39449</v>
      </c>
      <c r="O398" s="799">
        <v>0</v>
      </c>
      <c r="P398" s="799">
        <v>12060</v>
      </c>
      <c r="Q398" s="799">
        <v>0</v>
      </c>
      <c r="R398" s="799">
        <v>200</v>
      </c>
      <c r="S398" s="799">
        <v>8592</v>
      </c>
    </row>
    <row r="399" spans="1:19" x14ac:dyDescent="0.2">
      <c r="A399" s="761">
        <v>2015</v>
      </c>
      <c r="B399" s="761">
        <v>5</v>
      </c>
      <c r="C399" s="796" t="s">
        <v>139</v>
      </c>
      <c r="D399" s="761">
        <v>1854</v>
      </c>
      <c r="E399" s="796"/>
      <c r="F399" s="761">
        <v>1206</v>
      </c>
      <c r="G399" s="761" t="s">
        <v>1636</v>
      </c>
      <c r="H399" s="799">
        <v>8862</v>
      </c>
      <c r="I399" s="799">
        <v>0</v>
      </c>
      <c r="J399" s="799">
        <v>75487</v>
      </c>
      <c r="K399" s="799">
        <v>299481</v>
      </c>
      <c r="L399" s="799">
        <v>0</v>
      </c>
      <c r="M399" s="799">
        <v>352</v>
      </c>
      <c r="N399" s="799">
        <v>13786</v>
      </c>
      <c r="O399" s="799">
        <v>118827</v>
      </c>
      <c r="P399" s="799">
        <v>2090</v>
      </c>
      <c r="Q399" s="799">
        <v>0</v>
      </c>
      <c r="R399" s="799">
        <v>11997</v>
      </c>
      <c r="S399" s="799">
        <v>49354</v>
      </c>
    </row>
    <row r="400" spans="1:19" x14ac:dyDescent="0.2">
      <c r="A400" s="761">
        <v>2015</v>
      </c>
      <c r="B400" s="761">
        <v>13</v>
      </c>
      <c r="C400" s="796" t="s">
        <v>140</v>
      </c>
      <c r="D400" s="796"/>
      <c r="E400" s="796"/>
      <c r="F400" s="761">
        <v>1211</v>
      </c>
      <c r="G400" s="761" t="s">
        <v>1068</v>
      </c>
      <c r="H400" s="799">
        <v>4669</v>
      </c>
      <c r="I400" s="799">
        <v>0</v>
      </c>
      <c r="J400" s="799">
        <v>0</v>
      </c>
      <c r="K400" s="799">
        <v>74729</v>
      </c>
      <c r="L400" s="799">
        <v>0</v>
      </c>
      <c r="M400" s="799">
        <v>57841</v>
      </c>
      <c r="N400" s="799">
        <v>10468</v>
      </c>
      <c r="O400" s="799">
        <v>67932</v>
      </c>
      <c r="P400" s="799">
        <v>44097</v>
      </c>
      <c r="Q400" s="799">
        <v>0</v>
      </c>
      <c r="R400" s="799">
        <v>3992</v>
      </c>
      <c r="S400" s="799">
        <v>89047</v>
      </c>
    </row>
    <row r="401" spans="1:19" x14ac:dyDescent="0.2">
      <c r="A401" s="761">
        <v>2015</v>
      </c>
      <c r="B401" s="761">
        <v>7</v>
      </c>
      <c r="C401" s="796" t="s">
        <v>141</v>
      </c>
      <c r="D401" s="796"/>
      <c r="E401" s="796"/>
      <c r="F401" s="761">
        <v>1215</v>
      </c>
      <c r="G401" s="761" t="s">
        <v>1069</v>
      </c>
      <c r="H401" s="799">
        <v>0</v>
      </c>
      <c r="I401" s="799">
        <v>0</v>
      </c>
      <c r="J401" s="799">
        <v>0</v>
      </c>
      <c r="K401" s="799">
        <v>19257</v>
      </c>
      <c r="L401" s="799">
        <v>0</v>
      </c>
      <c r="M401" s="799">
        <v>0</v>
      </c>
      <c r="N401" s="799">
        <v>0</v>
      </c>
      <c r="O401" s="799">
        <v>0</v>
      </c>
      <c r="P401" s="799">
        <v>8138</v>
      </c>
      <c r="Q401" s="799">
        <v>0</v>
      </c>
      <c r="R401" s="799">
        <v>6261</v>
      </c>
      <c r="S401" s="799">
        <v>28867</v>
      </c>
    </row>
    <row r="402" spans="1:19" x14ac:dyDescent="0.2">
      <c r="A402" s="761">
        <v>2015</v>
      </c>
      <c r="B402" s="761">
        <v>5</v>
      </c>
      <c r="C402" s="796" t="s">
        <v>142</v>
      </c>
      <c r="D402" s="796"/>
      <c r="E402" s="796"/>
      <c r="F402" s="761">
        <v>1218</v>
      </c>
      <c r="G402" s="761" t="s">
        <v>1070</v>
      </c>
      <c r="H402" s="799">
        <v>3254</v>
      </c>
      <c r="I402" s="799">
        <v>0</v>
      </c>
      <c r="J402" s="799">
        <v>0</v>
      </c>
      <c r="K402" s="799">
        <v>0</v>
      </c>
      <c r="L402" s="799">
        <v>0</v>
      </c>
      <c r="M402" s="799">
        <v>9624</v>
      </c>
      <c r="N402" s="799">
        <v>0</v>
      </c>
      <c r="O402" s="799">
        <v>8667</v>
      </c>
      <c r="P402" s="799">
        <v>3167</v>
      </c>
      <c r="Q402" s="799">
        <v>0</v>
      </c>
      <c r="R402" s="799">
        <v>0</v>
      </c>
      <c r="S402" s="799">
        <v>9066</v>
      </c>
    </row>
    <row r="403" spans="1:19" x14ac:dyDescent="0.2">
      <c r="A403" s="761">
        <v>2015</v>
      </c>
      <c r="B403" s="761">
        <v>10</v>
      </c>
      <c r="C403" s="796" t="s">
        <v>143</v>
      </c>
      <c r="D403" s="796"/>
      <c r="E403" s="796"/>
      <c r="F403" s="761">
        <v>1221</v>
      </c>
      <c r="G403" s="761" t="s">
        <v>2006</v>
      </c>
      <c r="H403" s="799">
        <v>23992</v>
      </c>
      <c r="I403" s="799">
        <v>5819</v>
      </c>
      <c r="J403" s="799">
        <v>0</v>
      </c>
      <c r="K403" s="799">
        <v>126737</v>
      </c>
      <c r="L403" s="799">
        <v>0</v>
      </c>
      <c r="M403" s="799">
        <v>293803</v>
      </c>
      <c r="N403" s="799">
        <v>82022</v>
      </c>
      <c r="O403" s="799">
        <v>2077</v>
      </c>
      <c r="P403" s="799">
        <v>92800</v>
      </c>
      <c r="Q403" s="799">
        <v>0</v>
      </c>
      <c r="R403" s="799">
        <v>5273</v>
      </c>
      <c r="S403" s="799">
        <v>46652</v>
      </c>
    </row>
    <row r="404" spans="1:19" x14ac:dyDescent="0.2">
      <c r="A404" s="761">
        <v>2015</v>
      </c>
      <c r="B404" s="761">
        <v>7</v>
      </c>
      <c r="C404" s="796" t="s">
        <v>144</v>
      </c>
      <c r="D404" s="796"/>
      <c r="E404" s="796"/>
      <c r="F404" s="761">
        <v>1233</v>
      </c>
      <c r="G404" s="761" t="s">
        <v>1071</v>
      </c>
      <c r="H404" s="799">
        <v>0</v>
      </c>
      <c r="I404" s="799">
        <v>0</v>
      </c>
      <c r="J404" s="799">
        <v>0</v>
      </c>
      <c r="K404" s="799">
        <v>0</v>
      </c>
      <c r="L404" s="799">
        <v>0</v>
      </c>
      <c r="M404" s="799">
        <v>0</v>
      </c>
      <c r="N404" s="799">
        <v>0</v>
      </c>
      <c r="O404" s="799">
        <v>45880</v>
      </c>
      <c r="P404" s="799">
        <v>39073</v>
      </c>
      <c r="Q404" s="799">
        <v>0</v>
      </c>
      <c r="R404" s="799">
        <v>0</v>
      </c>
      <c r="S404" s="799">
        <v>31136</v>
      </c>
    </row>
    <row r="405" spans="1:19" x14ac:dyDescent="0.2">
      <c r="A405" s="761">
        <v>2015</v>
      </c>
      <c r="B405" s="761">
        <v>9</v>
      </c>
      <c r="C405" s="796" t="s">
        <v>145</v>
      </c>
      <c r="D405" s="796"/>
      <c r="E405" s="796"/>
      <c r="F405" s="761">
        <v>1278</v>
      </c>
      <c r="G405" s="761" t="s">
        <v>1072</v>
      </c>
      <c r="H405" s="799">
        <v>0</v>
      </c>
      <c r="I405" s="799">
        <v>0</v>
      </c>
      <c r="J405" s="799">
        <v>84812</v>
      </c>
      <c r="K405" s="799">
        <v>23117</v>
      </c>
      <c r="L405" s="799">
        <v>0</v>
      </c>
      <c r="M405" s="799">
        <v>15895</v>
      </c>
      <c r="N405" s="799">
        <v>117464</v>
      </c>
      <c r="O405" s="799">
        <v>52788</v>
      </c>
      <c r="P405" s="799">
        <v>64904</v>
      </c>
      <c r="Q405" s="799">
        <v>0</v>
      </c>
      <c r="R405" s="799">
        <v>0</v>
      </c>
      <c r="S405" s="799">
        <v>130851</v>
      </c>
    </row>
    <row r="406" spans="1:19" x14ac:dyDescent="0.2">
      <c r="A406" s="761">
        <v>2015</v>
      </c>
      <c r="B406" s="761">
        <v>11</v>
      </c>
      <c r="C406" s="796" t="s">
        <v>146</v>
      </c>
      <c r="D406" s="796"/>
      <c r="E406" s="796"/>
      <c r="F406" s="761">
        <v>1332</v>
      </c>
      <c r="G406" s="761" t="s">
        <v>1073</v>
      </c>
      <c r="H406" s="799">
        <v>0</v>
      </c>
      <c r="I406" s="799">
        <v>0</v>
      </c>
      <c r="J406" s="799">
        <v>49694</v>
      </c>
      <c r="K406" s="799">
        <v>39100</v>
      </c>
      <c r="L406" s="799">
        <v>0</v>
      </c>
      <c r="M406" s="799">
        <v>192516</v>
      </c>
      <c r="N406" s="799">
        <v>1</v>
      </c>
      <c r="O406" s="799">
        <v>83525</v>
      </c>
      <c r="P406" s="799">
        <v>51039</v>
      </c>
      <c r="Q406" s="799">
        <v>1</v>
      </c>
      <c r="R406" s="799">
        <v>2127</v>
      </c>
      <c r="S406" s="799">
        <v>37062</v>
      </c>
    </row>
    <row r="407" spans="1:19" x14ac:dyDescent="0.2">
      <c r="A407" s="761">
        <v>2015</v>
      </c>
      <c r="B407" s="761">
        <v>10</v>
      </c>
      <c r="C407" s="796" t="s">
        <v>147</v>
      </c>
      <c r="D407" s="796"/>
      <c r="E407" s="796"/>
      <c r="F407" s="761">
        <v>1337</v>
      </c>
      <c r="G407" s="761" t="s">
        <v>1074</v>
      </c>
      <c r="H407" s="799">
        <v>0</v>
      </c>
      <c r="I407" s="799">
        <v>0</v>
      </c>
      <c r="J407" s="799">
        <v>0</v>
      </c>
      <c r="K407" s="799">
        <v>0</v>
      </c>
      <c r="L407" s="799">
        <v>0</v>
      </c>
      <c r="M407" s="799">
        <v>82034</v>
      </c>
      <c r="N407" s="799">
        <v>86873</v>
      </c>
      <c r="O407" s="799">
        <v>0</v>
      </c>
      <c r="P407" s="799">
        <v>0</v>
      </c>
      <c r="Q407" s="799">
        <v>0</v>
      </c>
      <c r="R407" s="799">
        <v>4780</v>
      </c>
      <c r="S407" s="799">
        <v>28061</v>
      </c>
    </row>
    <row r="408" spans="1:19" x14ac:dyDescent="0.2">
      <c r="A408" s="761">
        <v>2015</v>
      </c>
      <c r="B408" s="761">
        <v>11</v>
      </c>
      <c r="C408" s="796" t="s">
        <v>148</v>
      </c>
      <c r="D408" s="796"/>
      <c r="E408" s="796"/>
      <c r="F408" s="761">
        <v>1350</v>
      </c>
      <c r="G408" s="761" t="s">
        <v>1075</v>
      </c>
      <c r="H408" s="799">
        <v>45176</v>
      </c>
      <c r="I408" s="799">
        <v>0</v>
      </c>
      <c r="J408" s="799">
        <v>118691</v>
      </c>
      <c r="K408" s="799">
        <v>0</v>
      </c>
      <c r="L408" s="799">
        <v>0</v>
      </c>
      <c r="M408" s="799">
        <v>46140</v>
      </c>
      <c r="N408" s="799">
        <v>13334</v>
      </c>
      <c r="O408" s="799">
        <v>53429</v>
      </c>
      <c r="P408" s="799">
        <v>37068</v>
      </c>
      <c r="Q408" s="799">
        <v>0</v>
      </c>
      <c r="R408" s="799">
        <v>5754</v>
      </c>
      <c r="S408" s="799">
        <v>47448</v>
      </c>
    </row>
    <row r="409" spans="1:19" x14ac:dyDescent="0.2">
      <c r="A409" s="761">
        <v>2015</v>
      </c>
      <c r="B409" s="761">
        <v>11</v>
      </c>
      <c r="C409" s="796" t="s">
        <v>149</v>
      </c>
      <c r="D409" s="796"/>
      <c r="E409" s="796"/>
      <c r="F409" s="761">
        <v>1359</v>
      </c>
      <c r="G409" s="761" t="s">
        <v>1076</v>
      </c>
      <c r="H409" s="799">
        <v>4727</v>
      </c>
      <c r="I409" s="799">
        <v>0</v>
      </c>
      <c r="J409" s="799">
        <v>0</v>
      </c>
      <c r="K409" s="799">
        <v>1676</v>
      </c>
      <c r="L409" s="799">
        <v>0</v>
      </c>
      <c r="M409" s="799">
        <v>0</v>
      </c>
      <c r="N409" s="799">
        <v>8020</v>
      </c>
      <c r="O409" s="799">
        <v>2501</v>
      </c>
      <c r="P409" s="799">
        <v>0</v>
      </c>
      <c r="Q409" s="799">
        <v>0</v>
      </c>
      <c r="R409" s="799">
        <v>9457</v>
      </c>
      <c r="S409" s="799">
        <v>11108</v>
      </c>
    </row>
    <row r="410" spans="1:19" x14ac:dyDescent="0.2">
      <c r="A410" s="761">
        <v>2015</v>
      </c>
      <c r="B410" s="761">
        <v>9</v>
      </c>
      <c r="C410" s="796" t="s">
        <v>150</v>
      </c>
      <c r="D410" s="796"/>
      <c r="E410" s="796"/>
      <c r="F410" s="761">
        <v>1368</v>
      </c>
      <c r="G410" s="761" t="s">
        <v>1077</v>
      </c>
      <c r="H410" s="799">
        <v>0</v>
      </c>
      <c r="I410" s="799">
        <v>46833</v>
      </c>
      <c r="J410" s="799">
        <v>117191</v>
      </c>
      <c r="K410" s="799">
        <v>69893</v>
      </c>
      <c r="L410" s="799">
        <v>0</v>
      </c>
      <c r="M410" s="799">
        <v>3103</v>
      </c>
      <c r="N410" s="799">
        <v>79829</v>
      </c>
      <c r="O410" s="799">
        <v>37481</v>
      </c>
      <c r="P410" s="799">
        <v>0</v>
      </c>
      <c r="Q410" s="799">
        <v>0</v>
      </c>
      <c r="R410" s="799">
        <v>1781</v>
      </c>
      <c r="S410" s="799">
        <v>36249</v>
      </c>
    </row>
    <row r="411" spans="1:19" x14ac:dyDescent="0.2">
      <c r="A411" s="761">
        <v>2015</v>
      </c>
      <c r="B411" s="761">
        <v>11</v>
      </c>
      <c r="C411" s="796" t="s">
        <v>151</v>
      </c>
      <c r="D411" s="796"/>
      <c r="E411" s="796"/>
      <c r="F411" s="761">
        <v>1413</v>
      </c>
      <c r="G411" s="761" t="s">
        <v>638</v>
      </c>
      <c r="H411" s="799">
        <v>0</v>
      </c>
      <c r="I411" s="799">
        <v>0</v>
      </c>
      <c r="J411" s="799">
        <v>0</v>
      </c>
      <c r="K411" s="799">
        <v>9043</v>
      </c>
      <c r="L411" s="799">
        <v>0</v>
      </c>
      <c r="M411" s="799">
        <v>74530</v>
      </c>
      <c r="N411" s="799">
        <v>38090</v>
      </c>
      <c r="O411" s="799">
        <v>5798</v>
      </c>
      <c r="P411" s="799">
        <v>1231</v>
      </c>
      <c r="Q411" s="799">
        <v>7069</v>
      </c>
      <c r="R411" s="799">
        <v>5998</v>
      </c>
      <c r="S411" s="799">
        <v>15184</v>
      </c>
    </row>
    <row r="412" spans="1:19" x14ac:dyDescent="0.2">
      <c r="A412" s="761">
        <v>2015</v>
      </c>
      <c r="B412" s="761">
        <v>13</v>
      </c>
      <c r="C412" s="796" t="s">
        <v>152</v>
      </c>
      <c r="D412" s="796"/>
      <c r="E412" s="796"/>
      <c r="F412" s="761">
        <v>1431</v>
      </c>
      <c r="G412" s="761" t="s">
        <v>1078</v>
      </c>
      <c r="H412" s="799">
        <v>29417</v>
      </c>
      <c r="I412" s="799">
        <v>0</v>
      </c>
      <c r="J412" s="799">
        <v>0</v>
      </c>
      <c r="K412" s="799">
        <v>0</v>
      </c>
      <c r="L412" s="799">
        <v>0</v>
      </c>
      <c r="M412" s="799">
        <v>102961</v>
      </c>
      <c r="N412" s="799">
        <v>27558</v>
      </c>
      <c r="O412" s="799">
        <v>3374</v>
      </c>
      <c r="P412" s="799">
        <v>34413</v>
      </c>
      <c r="Q412" s="799">
        <v>0</v>
      </c>
      <c r="R412" s="799">
        <v>6494</v>
      </c>
      <c r="S412" s="799">
        <v>21963</v>
      </c>
    </row>
    <row r="413" spans="1:19" x14ac:dyDescent="0.2">
      <c r="A413" s="761">
        <v>2015</v>
      </c>
      <c r="B413" s="761">
        <v>13</v>
      </c>
      <c r="C413" s="796" t="s">
        <v>153</v>
      </c>
      <c r="D413" s="796"/>
      <c r="E413" s="796"/>
      <c r="F413" s="761">
        <v>1476</v>
      </c>
      <c r="G413" s="761" t="s">
        <v>1079</v>
      </c>
      <c r="H413" s="799">
        <v>0</v>
      </c>
      <c r="I413" s="799">
        <v>22591</v>
      </c>
      <c r="J413" s="799">
        <v>0</v>
      </c>
      <c r="K413" s="799">
        <v>0</v>
      </c>
      <c r="L413" s="799">
        <v>0</v>
      </c>
      <c r="M413" s="799">
        <v>595912</v>
      </c>
      <c r="N413" s="799">
        <v>151422</v>
      </c>
      <c r="O413" s="799">
        <v>0</v>
      </c>
      <c r="P413" s="799">
        <v>161599</v>
      </c>
      <c r="Q413" s="799">
        <v>126954</v>
      </c>
      <c r="R413" s="799">
        <v>0</v>
      </c>
      <c r="S413" s="799">
        <v>3468043</v>
      </c>
    </row>
    <row r="414" spans="1:19" x14ac:dyDescent="0.2">
      <c r="A414" s="761">
        <v>2015</v>
      </c>
      <c r="B414" s="761">
        <v>13</v>
      </c>
      <c r="C414" s="796" t="s">
        <v>154</v>
      </c>
      <c r="D414" s="761">
        <v>5328</v>
      </c>
      <c r="E414" s="796"/>
      <c r="F414" s="761">
        <v>1503</v>
      </c>
      <c r="G414" s="761" t="s">
        <v>1080</v>
      </c>
      <c r="H414" s="799">
        <v>0</v>
      </c>
      <c r="I414" s="799">
        <v>0</v>
      </c>
      <c r="J414" s="799">
        <v>36680</v>
      </c>
      <c r="K414" s="799">
        <v>248325</v>
      </c>
      <c r="L414" s="799">
        <v>0</v>
      </c>
      <c r="M414" s="799">
        <v>5769</v>
      </c>
      <c r="N414" s="799">
        <v>15606</v>
      </c>
      <c r="O414" s="799">
        <v>3371</v>
      </c>
      <c r="P414" s="799">
        <v>2221</v>
      </c>
      <c r="Q414" s="799">
        <v>0</v>
      </c>
      <c r="R414" s="799">
        <v>12055</v>
      </c>
      <c r="S414" s="799">
        <v>61219</v>
      </c>
    </row>
    <row r="415" spans="1:19" x14ac:dyDescent="0.2">
      <c r="A415" s="761">
        <v>2015</v>
      </c>
      <c r="B415" s="761">
        <v>11</v>
      </c>
      <c r="C415" s="796" t="s">
        <v>155</v>
      </c>
      <c r="D415" s="796"/>
      <c r="E415" s="796"/>
      <c r="F415" s="761">
        <v>1576</v>
      </c>
      <c r="G415" s="761" t="s">
        <v>1081</v>
      </c>
      <c r="H415" s="799">
        <v>0</v>
      </c>
      <c r="I415" s="799">
        <v>0</v>
      </c>
      <c r="J415" s="799">
        <v>0</v>
      </c>
      <c r="K415" s="799">
        <v>0</v>
      </c>
      <c r="L415" s="799">
        <v>0</v>
      </c>
      <c r="M415" s="799">
        <v>31127</v>
      </c>
      <c r="N415" s="799">
        <v>44535</v>
      </c>
      <c r="O415" s="799">
        <v>0</v>
      </c>
      <c r="P415" s="799">
        <v>0</v>
      </c>
      <c r="Q415" s="799">
        <v>0</v>
      </c>
      <c r="R415" s="799">
        <v>0</v>
      </c>
      <c r="S415" s="799">
        <v>0</v>
      </c>
    </row>
    <row r="416" spans="1:19" x14ac:dyDescent="0.2">
      <c r="A416" s="761">
        <v>2015</v>
      </c>
      <c r="B416" s="761">
        <v>15</v>
      </c>
      <c r="C416" s="796" t="s">
        <v>156</v>
      </c>
      <c r="D416" s="796"/>
      <c r="E416" s="796"/>
      <c r="F416" s="761">
        <v>1602</v>
      </c>
      <c r="G416" s="761" t="s">
        <v>1082</v>
      </c>
      <c r="H416" s="799">
        <v>0</v>
      </c>
      <c r="I416" s="799">
        <v>0</v>
      </c>
      <c r="J416" s="799">
        <v>0</v>
      </c>
      <c r="K416" s="799">
        <v>70479</v>
      </c>
      <c r="L416" s="799">
        <v>0</v>
      </c>
      <c r="M416" s="799">
        <v>55305</v>
      </c>
      <c r="N416" s="799">
        <v>0</v>
      </c>
      <c r="O416" s="799">
        <v>9781</v>
      </c>
      <c r="P416" s="799">
        <v>11455</v>
      </c>
      <c r="Q416" s="799">
        <v>0</v>
      </c>
      <c r="R416" s="799">
        <v>0</v>
      </c>
      <c r="S416" s="799">
        <v>0</v>
      </c>
    </row>
    <row r="417" spans="1:19" x14ac:dyDescent="0.2">
      <c r="A417" s="761">
        <v>2015</v>
      </c>
      <c r="B417" s="761">
        <v>9</v>
      </c>
      <c r="C417" s="796" t="s">
        <v>157</v>
      </c>
      <c r="D417" s="796"/>
      <c r="E417" s="796"/>
      <c r="F417" s="761">
        <v>1611</v>
      </c>
      <c r="G417" s="761" t="s">
        <v>1083</v>
      </c>
      <c r="H417" s="799">
        <v>380222</v>
      </c>
      <c r="I417" s="799">
        <v>0</v>
      </c>
      <c r="J417" s="799">
        <v>0</v>
      </c>
      <c r="K417" s="799">
        <v>46460</v>
      </c>
      <c r="L417" s="799">
        <v>0</v>
      </c>
      <c r="M417" s="799">
        <v>739476</v>
      </c>
      <c r="N417" s="799">
        <v>379092</v>
      </c>
      <c r="O417" s="799">
        <v>540196</v>
      </c>
      <c r="P417" s="799">
        <v>317490</v>
      </c>
      <c r="Q417" s="799">
        <v>0</v>
      </c>
      <c r="R417" s="799">
        <v>1112799</v>
      </c>
      <c r="S417" s="799">
        <v>384072</v>
      </c>
    </row>
    <row r="418" spans="1:19" x14ac:dyDescent="0.2">
      <c r="A418" s="761">
        <v>2015</v>
      </c>
      <c r="B418" s="761">
        <v>15</v>
      </c>
      <c r="C418" s="796" t="s">
        <v>158</v>
      </c>
      <c r="D418" s="796"/>
      <c r="E418" s="796"/>
      <c r="F418" s="761">
        <v>1619</v>
      </c>
      <c r="G418" s="761" t="s">
        <v>1084</v>
      </c>
      <c r="H418" s="799">
        <v>32997</v>
      </c>
      <c r="I418" s="799">
        <v>0</v>
      </c>
      <c r="J418" s="799">
        <v>63065</v>
      </c>
      <c r="K418" s="799">
        <v>116114</v>
      </c>
      <c r="L418" s="799">
        <v>0</v>
      </c>
      <c r="M418" s="799">
        <v>8633</v>
      </c>
      <c r="N418" s="799">
        <v>16592</v>
      </c>
      <c r="O418" s="799">
        <v>38964</v>
      </c>
      <c r="P418" s="799">
        <v>28706</v>
      </c>
      <c r="Q418" s="799">
        <v>3633</v>
      </c>
      <c r="R418" s="799">
        <v>1207</v>
      </c>
      <c r="S418" s="799">
        <v>13096</v>
      </c>
    </row>
    <row r="419" spans="1:19" x14ac:dyDescent="0.2">
      <c r="A419" s="761">
        <v>2015</v>
      </c>
      <c r="B419" s="761">
        <v>1</v>
      </c>
      <c r="C419" s="796" t="s">
        <v>159</v>
      </c>
      <c r="D419" s="796"/>
      <c r="E419" s="796"/>
      <c r="F419" s="761">
        <v>1638</v>
      </c>
      <c r="G419" s="761" t="s">
        <v>1085</v>
      </c>
      <c r="H419" s="799">
        <v>56247</v>
      </c>
      <c r="I419" s="799">
        <v>0</v>
      </c>
      <c r="J419" s="799">
        <v>0</v>
      </c>
      <c r="K419" s="799">
        <v>0</v>
      </c>
      <c r="L419" s="799">
        <v>0</v>
      </c>
      <c r="M419" s="799">
        <v>22715</v>
      </c>
      <c r="N419" s="799">
        <v>72284</v>
      </c>
      <c r="O419" s="799">
        <v>0</v>
      </c>
      <c r="P419" s="799">
        <v>252</v>
      </c>
      <c r="Q419" s="799">
        <v>0</v>
      </c>
      <c r="R419" s="799">
        <v>0</v>
      </c>
      <c r="S419" s="799">
        <v>31633</v>
      </c>
    </row>
    <row r="420" spans="1:19" x14ac:dyDescent="0.2">
      <c r="A420" s="761">
        <v>2015</v>
      </c>
      <c r="B420" s="761">
        <v>9</v>
      </c>
      <c r="C420" s="796" t="s">
        <v>160</v>
      </c>
      <c r="D420" s="796"/>
      <c r="E420" s="796"/>
      <c r="F420" s="761">
        <v>1675</v>
      </c>
      <c r="G420" s="761" t="s">
        <v>1086</v>
      </c>
      <c r="H420" s="799">
        <v>0</v>
      </c>
      <c r="I420" s="799">
        <v>0</v>
      </c>
      <c r="J420" s="799">
        <v>0</v>
      </c>
      <c r="K420" s="799">
        <v>74131</v>
      </c>
      <c r="L420" s="799">
        <v>16320</v>
      </c>
      <c r="M420" s="799">
        <v>0</v>
      </c>
      <c r="N420" s="799">
        <v>8742</v>
      </c>
      <c r="O420" s="799">
        <v>2905</v>
      </c>
      <c r="P420" s="799">
        <v>0</v>
      </c>
      <c r="Q420" s="799">
        <v>0</v>
      </c>
      <c r="R420" s="799">
        <v>0</v>
      </c>
      <c r="S420" s="799">
        <v>22213</v>
      </c>
    </row>
    <row r="421" spans="1:19" x14ac:dyDescent="0.2">
      <c r="A421" s="761">
        <v>2015</v>
      </c>
      <c r="B421" s="761">
        <v>12</v>
      </c>
      <c r="C421" s="796" t="s">
        <v>161</v>
      </c>
      <c r="D421" s="796"/>
      <c r="E421" s="796"/>
      <c r="F421" s="761">
        <v>1701</v>
      </c>
      <c r="G421" s="761" t="s">
        <v>1087</v>
      </c>
      <c r="H421" s="799">
        <v>0</v>
      </c>
      <c r="I421" s="799">
        <v>65650</v>
      </c>
      <c r="J421" s="799">
        <v>0</v>
      </c>
      <c r="K421" s="799">
        <v>175980</v>
      </c>
      <c r="L421" s="799">
        <v>0</v>
      </c>
      <c r="M421" s="799">
        <v>96357</v>
      </c>
      <c r="N421" s="799">
        <v>0</v>
      </c>
      <c r="O421" s="799">
        <v>6372</v>
      </c>
      <c r="P421" s="799">
        <v>0</v>
      </c>
      <c r="Q421" s="799">
        <v>0</v>
      </c>
      <c r="R421" s="799">
        <v>0</v>
      </c>
      <c r="S421" s="799">
        <v>133434</v>
      </c>
    </row>
    <row r="422" spans="1:19" x14ac:dyDescent="0.2">
      <c r="A422" s="761">
        <v>2015</v>
      </c>
      <c r="B422" s="761">
        <v>7</v>
      </c>
      <c r="C422" s="796" t="s">
        <v>162</v>
      </c>
      <c r="D422" s="796"/>
      <c r="E422" s="796"/>
      <c r="F422" s="761">
        <v>1719</v>
      </c>
      <c r="G422" s="761" t="s">
        <v>1088</v>
      </c>
      <c r="H422" s="799">
        <v>0</v>
      </c>
      <c r="I422" s="799">
        <v>0</v>
      </c>
      <c r="J422" s="799">
        <v>74550</v>
      </c>
      <c r="K422" s="799">
        <v>41469</v>
      </c>
      <c r="L422" s="799">
        <v>43289</v>
      </c>
      <c r="M422" s="799">
        <v>0</v>
      </c>
      <c r="N422" s="799">
        <v>14202</v>
      </c>
      <c r="O422" s="799">
        <v>39159</v>
      </c>
      <c r="P422" s="799">
        <v>38640</v>
      </c>
      <c r="Q422" s="799">
        <v>0</v>
      </c>
      <c r="R422" s="799">
        <v>6690</v>
      </c>
      <c r="S422" s="799">
        <v>33041</v>
      </c>
    </row>
    <row r="423" spans="1:19" x14ac:dyDescent="0.2">
      <c r="A423" s="761">
        <v>2015</v>
      </c>
      <c r="B423" s="761">
        <v>11</v>
      </c>
      <c r="C423" s="796" t="s">
        <v>163</v>
      </c>
      <c r="D423" s="796"/>
      <c r="E423" s="796"/>
      <c r="F423" s="761">
        <v>1737</v>
      </c>
      <c r="G423" s="761" t="s">
        <v>1089</v>
      </c>
      <c r="H423" s="799">
        <v>0</v>
      </c>
      <c r="I423" s="799">
        <v>0</v>
      </c>
      <c r="J423" s="799">
        <v>0</v>
      </c>
      <c r="K423" s="799">
        <v>2832525</v>
      </c>
      <c r="L423" s="799">
        <v>3584052</v>
      </c>
      <c r="M423" s="799">
        <v>123806</v>
      </c>
      <c r="N423" s="799">
        <v>0</v>
      </c>
      <c r="O423" s="799">
        <v>320168</v>
      </c>
      <c r="P423" s="799">
        <v>2961823</v>
      </c>
      <c r="Q423" s="799">
        <v>0</v>
      </c>
      <c r="R423" s="799">
        <v>70784</v>
      </c>
      <c r="S423" s="799">
        <v>4264863</v>
      </c>
    </row>
    <row r="424" spans="1:19" x14ac:dyDescent="0.2">
      <c r="A424" s="761">
        <v>2015</v>
      </c>
      <c r="B424" s="761">
        <v>13</v>
      </c>
      <c r="C424" s="796" t="s">
        <v>164</v>
      </c>
      <c r="D424" s="796"/>
      <c r="E424" s="796"/>
      <c r="F424" s="761">
        <v>1782</v>
      </c>
      <c r="G424" s="761" t="s">
        <v>1090</v>
      </c>
      <c r="H424" s="799">
        <v>0</v>
      </c>
      <c r="I424" s="799">
        <v>0</v>
      </c>
      <c r="J424" s="799">
        <v>3305</v>
      </c>
      <c r="K424" s="799">
        <v>56339</v>
      </c>
      <c r="L424" s="799">
        <v>0</v>
      </c>
      <c r="M424" s="799">
        <v>0</v>
      </c>
      <c r="N424" s="799">
        <v>16877</v>
      </c>
      <c r="O424" s="799">
        <v>8662</v>
      </c>
      <c r="P424" s="799">
        <v>147</v>
      </c>
      <c r="Q424" s="799">
        <v>0</v>
      </c>
      <c r="R424" s="799">
        <v>6211</v>
      </c>
      <c r="S424" s="799">
        <v>102906</v>
      </c>
    </row>
    <row r="425" spans="1:19" x14ac:dyDescent="0.2">
      <c r="A425" s="761">
        <v>2015</v>
      </c>
      <c r="B425" s="761">
        <v>7</v>
      </c>
      <c r="C425" s="796" t="s">
        <v>165</v>
      </c>
      <c r="D425" s="796"/>
      <c r="E425" s="796"/>
      <c r="F425" s="761">
        <v>1791</v>
      </c>
      <c r="G425" s="761" t="s">
        <v>2007</v>
      </c>
      <c r="H425" s="799">
        <v>7060</v>
      </c>
      <c r="I425" s="799">
        <v>0</v>
      </c>
      <c r="J425" s="799">
        <v>35037</v>
      </c>
      <c r="K425" s="799">
        <v>227269</v>
      </c>
      <c r="L425" s="799">
        <v>73101</v>
      </c>
      <c r="M425" s="799">
        <v>11477</v>
      </c>
      <c r="N425" s="799">
        <v>75296</v>
      </c>
      <c r="O425" s="799">
        <v>9832</v>
      </c>
      <c r="P425" s="799">
        <v>72193</v>
      </c>
      <c r="Q425" s="799">
        <v>0</v>
      </c>
      <c r="R425" s="799">
        <v>1536</v>
      </c>
      <c r="S425" s="799">
        <v>34426</v>
      </c>
    </row>
    <row r="426" spans="1:19" x14ac:dyDescent="0.2">
      <c r="A426" s="761">
        <v>2015</v>
      </c>
      <c r="B426" s="761">
        <v>1</v>
      </c>
      <c r="C426" s="796" t="s">
        <v>166</v>
      </c>
      <c r="D426" s="796"/>
      <c r="E426" s="796"/>
      <c r="F426" s="761">
        <v>1863</v>
      </c>
      <c r="G426" s="761" t="s">
        <v>1092</v>
      </c>
      <c r="H426" s="799">
        <v>0</v>
      </c>
      <c r="I426" s="799">
        <v>0</v>
      </c>
      <c r="J426" s="799">
        <v>0</v>
      </c>
      <c r="K426" s="799">
        <v>0</v>
      </c>
      <c r="L426" s="799">
        <v>0</v>
      </c>
      <c r="M426" s="799">
        <v>76443</v>
      </c>
      <c r="N426" s="799">
        <v>292008</v>
      </c>
      <c r="O426" s="799">
        <v>382065</v>
      </c>
      <c r="P426" s="799">
        <v>515403</v>
      </c>
      <c r="Q426" s="799">
        <v>0</v>
      </c>
      <c r="R426" s="799">
        <v>0</v>
      </c>
      <c r="S426" s="799">
        <v>59024</v>
      </c>
    </row>
    <row r="427" spans="1:19" x14ac:dyDescent="0.2">
      <c r="A427" s="761">
        <v>2015</v>
      </c>
      <c r="B427" s="761">
        <v>7</v>
      </c>
      <c r="C427" s="796" t="s">
        <v>167</v>
      </c>
      <c r="D427" s="796"/>
      <c r="E427" s="796"/>
      <c r="F427" s="761">
        <v>1908</v>
      </c>
      <c r="G427" s="761" t="s">
        <v>1093</v>
      </c>
      <c r="H427" s="799">
        <v>4876</v>
      </c>
      <c r="I427" s="799">
        <v>2695</v>
      </c>
      <c r="J427" s="799">
        <v>78404</v>
      </c>
      <c r="K427" s="799">
        <v>35330</v>
      </c>
      <c r="L427" s="799">
        <v>44269</v>
      </c>
      <c r="M427" s="799">
        <v>0</v>
      </c>
      <c r="N427" s="799">
        <v>24907</v>
      </c>
      <c r="O427" s="799">
        <v>21512</v>
      </c>
      <c r="P427" s="799">
        <v>186</v>
      </c>
      <c r="Q427" s="799">
        <v>0</v>
      </c>
      <c r="R427" s="799">
        <v>0</v>
      </c>
      <c r="S427" s="799">
        <v>21817</v>
      </c>
    </row>
    <row r="428" spans="1:19" x14ac:dyDescent="0.2">
      <c r="A428" s="761">
        <v>2015</v>
      </c>
      <c r="B428" s="761">
        <v>13</v>
      </c>
      <c r="C428" s="796" t="s">
        <v>168</v>
      </c>
      <c r="D428" s="796"/>
      <c r="E428" s="796"/>
      <c r="F428" s="761">
        <v>1917</v>
      </c>
      <c r="G428" s="761" t="s">
        <v>1094</v>
      </c>
      <c r="H428" s="799">
        <v>0</v>
      </c>
      <c r="I428" s="799">
        <v>0</v>
      </c>
      <c r="J428" s="799">
        <v>2568</v>
      </c>
      <c r="K428" s="799">
        <v>11182</v>
      </c>
      <c r="L428" s="799">
        <v>4</v>
      </c>
      <c r="M428" s="799">
        <v>86093</v>
      </c>
      <c r="N428" s="799">
        <v>0</v>
      </c>
      <c r="O428" s="799">
        <v>3573</v>
      </c>
      <c r="P428" s="799">
        <v>34957</v>
      </c>
      <c r="Q428" s="799">
        <v>0</v>
      </c>
      <c r="R428" s="799">
        <v>5863</v>
      </c>
      <c r="S428" s="799">
        <v>12672</v>
      </c>
    </row>
    <row r="429" spans="1:19" x14ac:dyDescent="0.2">
      <c r="A429" s="761">
        <v>2015</v>
      </c>
      <c r="B429" s="761">
        <v>9</v>
      </c>
      <c r="C429" s="796" t="s">
        <v>169</v>
      </c>
      <c r="D429" s="796"/>
      <c r="E429" s="796"/>
      <c r="F429" s="761">
        <v>1926</v>
      </c>
      <c r="G429" s="761" t="s">
        <v>1095</v>
      </c>
      <c r="H429" s="799">
        <v>0</v>
      </c>
      <c r="I429" s="799">
        <v>0</v>
      </c>
      <c r="J429" s="799">
        <v>72551</v>
      </c>
      <c r="K429" s="799">
        <v>21955</v>
      </c>
      <c r="L429" s="799">
        <v>0</v>
      </c>
      <c r="M429" s="799">
        <v>0</v>
      </c>
      <c r="N429" s="799">
        <v>1565</v>
      </c>
      <c r="O429" s="799">
        <v>39083</v>
      </c>
      <c r="P429" s="799">
        <v>12241</v>
      </c>
      <c r="Q429" s="799">
        <v>0</v>
      </c>
      <c r="R429" s="799">
        <v>923</v>
      </c>
      <c r="S429" s="799">
        <v>7185</v>
      </c>
    </row>
    <row r="430" spans="1:19" x14ac:dyDescent="0.2">
      <c r="A430" s="761">
        <v>2015</v>
      </c>
      <c r="B430" s="761">
        <v>7</v>
      </c>
      <c r="C430" s="796" t="s">
        <v>170</v>
      </c>
      <c r="D430" s="796"/>
      <c r="E430" s="796"/>
      <c r="F430" s="761">
        <v>6536</v>
      </c>
      <c r="G430" s="761" t="s">
        <v>639</v>
      </c>
      <c r="H430" s="799">
        <v>0</v>
      </c>
      <c r="I430" s="799">
        <v>17409</v>
      </c>
      <c r="J430" s="799">
        <v>273427</v>
      </c>
      <c r="K430" s="799">
        <v>13965</v>
      </c>
      <c r="L430" s="799">
        <v>0</v>
      </c>
      <c r="M430" s="799">
        <v>0</v>
      </c>
      <c r="N430" s="799">
        <v>28989</v>
      </c>
      <c r="O430" s="799">
        <v>48364</v>
      </c>
      <c r="P430" s="799">
        <v>81405</v>
      </c>
      <c r="Q430" s="799">
        <v>0</v>
      </c>
      <c r="R430" s="799">
        <v>0</v>
      </c>
      <c r="S430" s="799">
        <v>11566</v>
      </c>
    </row>
    <row r="431" spans="1:19" x14ac:dyDescent="0.2">
      <c r="A431" s="761">
        <v>2015</v>
      </c>
      <c r="B431" s="761">
        <v>5</v>
      </c>
      <c r="C431" s="796" t="s">
        <v>171</v>
      </c>
      <c r="D431" s="796"/>
      <c r="E431" s="796"/>
      <c r="F431" s="761">
        <v>1944</v>
      </c>
      <c r="G431" s="761" t="s">
        <v>1096</v>
      </c>
      <c r="H431" s="799">
        <v>37985</v>
      </c>
      <c r="I431" s="799">
        <v>166068</v>
      </c>
      <c r="J431" s="799">
        <v>0</v>
      </c>
      <c r="K431" s="799">
        <v>0</v>
      </c>
      <c r="L431" s="799">
        <v>0</v>
      </c>
      <c r="M431" s="799">
        <v>0</v>
      </c>
      <c r="N431" s="799">
        <v>85548</v>
      </c>
      <c r="O431" s="799">
        <v>47743</v>
      </c>
      <c r="P431" s="799">
        <v>0</v>
      </c>
      <c r="Q431" s="799">
        <v>0</v>
      </c>
      <c r="R431" s="799">
        <v>7202</v>
      </c>
      <c r="S431" s="799">
        <v>47511</v>
      </c>
    </row>
    <row r="432" spans="1:19" x14ac:dyDescent="0.2">
      <c r="A432" s="761">
        <v>2015</v>
      </c>
      <c r="B432" s="761">
        <v>11</v>
      </c>
      <c r="C432" s="796" t="s">
        <v>172</v>
      </c>
      <c r="D432" s="796"/>
      <c r="E432" s="796"/>
      <c r="F432" s="761">
        <v>1953</v>
      </c>
      <c r="G432" s="761" t="s">
        <v>1097</v>
      </c>
      <c r="H432" s="799">
        <v>0</v>
      </c>
      <c r="I432" s="799">
        <v>0</v>
      </c>
      <c r="J432" s="799">
        <v>20379</v>
      </c>
      <c r="K432" s="799">
        <v>0</v>
      </c>
      <c r="L432" s="799">
        <v>43493</v>
      </c>
      <c r="M432" s="799">
        <v>0</v>
      </c>
      <c r="N432" s="799">
        <v>46820</v>
      </c>
      <c r="O432" s="799">
        <v>6285</v>
      </c>
      <c r="P432" s="799">
        <v>16376</v>
      </c>
      <c r="Q432" s="799">
        <v>0</v>
      </c>
      <c r="R432" s="799">
        <v>7613</v>
      </c>
      <c r="S432" s="799">
        <v>11487</v>
      </c>
    </row>
    <row r="433" spans="1:19" x14ac:dyDescent="0.2">
      <c r="A433" s="761">
        <v>2015</v>
      </c>
      <c r="B433" s="761">
        <v>7</v>
      </c>
      <c r="C433" s="796" t="s">
        <v>173</v>
      </c>
      <c r="D433" s="796"/>
      <c r="E433" s="796"/>
      <c r="F433" s="761">
        <v>1963</v>
      </c>
      <c r="G433" s="761" t="s">
        <v>1098</v>
      </c>
      <c r="H433" s="799">
        <v>0</v>
      </c>
      <c r="I433" s="799">
        <v>0</v>
      </c>
      <c r="J433" s="799">
        <v>0</v>
      </c>
      <c r="K433" s="799">
        <v>0</v>
      </c>
      <c r="L433" s="799">
        <v>67123</v>
      </c>
      <c r="M433" s="799">
        <v>0</v>
      </c>
      <c r="N433" s="799">
        <v>0</v>
      </c>
      <c r="O433" s="799">
        <v>8331</v>
      </c>
      <c r="P433" s="799">
        <v>0</v>
      </c>
      <c r="Q433" s="799">
        <v>0</v>
      </c>
      <c r="R433" s="799">
        <v>2786</v>
      </c>
      <c r="S433" s="799">
        <v>23872</v>
      </c>
    </row>
    <row r="434" spans="1:19" x14ac:dyDescent="0.2">
      <c r="A434" s="761">
        <v>2015</v>
      </c>
      <c r="B434" s="761">
        <v>9</v>
      </c>
      <c r="C434" s="796" t="s">
        <v>174</v>
      </c>
      <c r="D434" s="796"/>
      <c r="E434" s="796"/>
      <c r="F434" s="761">
        <v>1965</v>
      </c>
      <c r="G434" s="761" t="s">
        <v>1524</v>
      </c>
      <c r="H434" s="799">
        <v>0</v>
      </c>
      <c r="I434" s="799">
        <v>0</v>
      </c>
      <c r="J434" s="799">
        <v>28843</v>
      </c>
      <c r="K434" s="799">
        <v>59127</v>
      </c>
      <c r="L434" s="799">
        <v>0</v>
      </c>
      <c r="M434" s="799">
        <v>0</v>
      </c>
      <c r="N434" s="799">
        <v>207238</v>
      </c>
      <c r="O434" s="799">
        <v>45443</v>
      </c>
      <c r="P434" s="799">
        <v>44231</v>
      </c>
      <c r="Q434" s="799">
        <v>0</v>
      </c>
      <c r="R434" s="799">
        <v>4549</v>
      </c>
      <c r="S434" s="799">
        <v>27595</v>
      </c>
    </row>
    <row r="435" spans="1:19" x14ac:dyDescent="0.2">
      <c r="A435" s="761">
        <v>2015</v>
      </c>
      <c r="B435" s="761">
        <v>13</v>
      </c>
      <c r="C435" s="796" t="s">
        <v>175</v>
      </c>
      <c r="D435" s="796"/>
      <c r="E435" s="796"/>
      <c r="F435" s="761">
        <v>1970</v>
      </c>
      <c r="G435" s="761" t="s">
        <v>1099</v>
      </c>
      <c r="H435" s="799">
        <v>0</v>
      </c>
      <c r="I435" s="799">
        <v>6498</v>
      </c>
      <c r="J435" s="799">
        <v>0</v>
      </c>
      <c r="K435" s="799">
        <v>0</v>
      </c>
      <c r="L435" s="799">
        <v>0</v>
      </c>
      <c r="M435" s="799">
        <v>857</v>
      </c>
      <c r="N435" s="799">
        <v>40642</v>
      </c>
      <c r="O435" s="799">
        <v>0</v>
      </c>
      <c r="P435" s="799">
        <v>0</v>
      </c>
      <c r="Q435" s="799">
        <v>0</v>
      </c>
      <c r="R435" s="799">
        <v>0</v>
      </c>
      <c r="S435" s="799">
        <v>23912</v>
      </c>
    </row>
    <row r="436" spans="1:19" x14ac:dyDescent="0.2">
      <c r="A436" s="761">
        <v>2015</v>
      </c>
      <c r="B436" s="761">
        <v>1</v>
      </c>
      <c r="C436" s="796" t="s">
        <v>176</v>
      </c>
      <c r="D436" s="796"/>
      <c r="E436" s="796"/>
      <c r="F436" s="761">
        <v>1972</v>
      </c>
      <c r="G436" s="761" t="s">
        <v>1100</v>
      </c>
      <c r="H436" s="799">
        <v>0</v>
      </c>
      <c r="I436" s="799">
        <v>1401</v>
      </c>
      <c r="J436" s="799">
        <v>66534</v>
      </c>
      <c r="K436" s="799">
        <v>32785</v>
      </c>
      <c r="L436" s="799">
        <v>6535</v>
      </c>
      <c r="M436" s="799">
        <v>67482</v>
      </c>
      <c r="N436" s="799">
        <v>3999</v>
      </c>
      <c r="O436" s="799">
        <v>24995</v>
      </c>
      <c r="P436" s="799">
        <v>12552</v>
      </c>
      <c r="Q436" s="799">
        <v>0</v>
      </c>
      <c r="R436" s="799">
        <v>0</v>
      </c>
      <c r="S436" s="799">
        <v>31380</v>
      </c>
    </row>
    <row r="437" spans="1:19" x14ac:dyDescent="0.2">
      <c r="A437" s="761">
        <v>2015</v>
      </c>
      <c r="B437" s="761">
        <v>12</v>
      </c>
      <c r="C437" s="796" t="s">
        <v>177</v>
      </c>
      <c r="D437" s="796"/>
      <c r="E437" s="796"/>
      <c r="F437" s="761">
        <v>1975</v>
      </c>
      <c r="G437" s="761" t="s">
        <v>1101</v>
      </c>
      <c r="H437" s="799">
        <v>32422</v>
      </c>
      <c r="I437" s="799">
        <v>2195</v>
      </c>
      <c r="J437" s="799">
        <v>122992</v>
      </c>
      <c r="K437" s="799">
        <v>16515</v>
      </c>
      <c r="L437" s="799">
        <v>0</v>
      </c>
      <c r="M437" s="799">
        <v>57185</v>
      </c>
      <c r="N437" s="799">
        <v>8850</v>
      </c>
      <c r="O437" s="799">
        <v>8572</v>
      </c>
      <c r="P437" s="799">
        <v>16069</v>
      </c>
      <c r="Q437" s="799">
        <v>0</v>
      </c>
      <c r="R437" s="799">
        <v>3276</v>
      </c>
      <c r="S437" s="799">
        <v>24171</v>
      </c>
    </row>
    <row r="438" spans="1:19" x14ac:dyDescent="0.2">
      <c r="A438" s="761">
        <v>2015</v>
      </c>
      <c r="B438" s="761">
        <v>1</v>
      </c>
      <c r="C438" s="796" t="s">
        <v>178</v>
      </c>
      <c r="D438" s="796"/>
      <c r="E438" s="796"/>
      <c r="F438" s="761">
        <v>1989</v>
      </c>
      <c r="G438" s="761" t="s">
        <v>1102</v>
      </c>
      <c r="H438" s="799">
        <v>0</v>
      </c>
      <c r="I438" s="799">
        <v>0</v>
      </c>
      <c r="J438" s="799">
        <v>0</v>
      </c>
      <c r="K438" s="799">
        <v>0</v>
      </c>
      <c r="L438" s="799">
        <v>18729</v>
      </c>
      <c r="M438" s="799">
        <v>137225</v>
      </c>
      <c r="N438" s="799">
        <v>1251</v>
      </c>
      <c r="O438" s="799">
        <v>419</v>
      </c>
      <c r="P438" s="799">
        <v>4349</v>
      </c>
      <c r="Q438" s="799">
        <v>0</v>
      </c>
      <c r="R438" s="799">
        <v>3881</v>
      </c>
      <c r="S438" s="799">
        <v>31008</v>
      </c>
    </row>
    <row r="439" spans="1:19" x14ac:dyDescent="0.2">
      <c r="A439" s="761">
        <v>2015</v>
      </c>
      <c r="B439" s="761">
        <v>7</v>
      </c>
      <c r="C439" s="796" t="s">
        <v>179</v>
      </c>
      <c r="D439" s="796"/>
      <c r="E439" s="796"/>
      <c r="F439" s="761">
        <v>2007</v>
      </c>
      <c r="G439" s="761" t="s">
        <v>1103</v>
      </c>
      <c r="H439" s="799">
        <v>232896</v>
      </c>
      <c r="I439" s="799">
        <v>0</v>
      </c>
      <c r="J439" s="799">
        <v>111</v>
      </c>
      <c r="K439" s="799">
        <v>33400</v>
      </c>
      <c r="L439" s="799">
        <v>0</v>
      </c>
      <c r="M439" s="799">
        <v>59565</v>
      </c>
      <c r="N439" s="799">
        <v>11216</v>
      </c>
      <c r="O439" s="799">
        <v>13708</v>
      </c>
      <c r="P439" s="799">
        <v>2084</v>
      </c>
      <c r="Q439" s="799">
        <v>0</v>
      </c>
      <c r="R439" s="799">
        <v>4602</v>
      </c>
      <c r="S439" s="799">
        <v>19107</v>
      </c>
    </row>
    <row r="440" spans="1:19" x14ac:dyDescent="0.2">
      <c r="A440" s="761">
        <v>2015</v>
      </c>
      <c r="B440" s="761">
        <v>5</v>
      </c>
      <c r="C440" s="796" t="s">
        <v>180</v>
      </c>
      <c r="D440" s="796"/>
      <c r="E440" s="796"/>
      <c r="F440" s="761">
        <v>2088</v>
      </c>
      <c r="G440" s="761" t="s">
        <v>1104</v>
      </c>
      <c r="H440" s="799">
        <v>0</v>
      </c>
      <c r="I440" s="799">
        <v>10567</v>
      </c>
      <c r="J440" s="799">
        <v>72927</v>
      </c>
      <c r="K440" s="799">
        <v>36383</v>
      </c>
      <c r="L440" s="799">
        <v>65085</v>
      </c>
      <c r="M440" s="799">
        <v>52197</v>
      </c>
      <c r="N440" s="799">
        <v>706</v>
      </c>
      <c r="O440" s="799">
        <v>5747</v>
      </c>
      <c r="P440" s="799">
        <v>0</v>
      </c>
      <c r="Q440" s="799">
        <v>0</v>
      </c>
      <c r="R440" s="799">
        <v>0</v>
      </c>
      <c r="S440" s="799">
        <v>6395</v>
      </c>
    </row>
    <row r="441" spans="1:19" x14ac:dyDescent="0.2">
      <c r="A441" s="761">
        <v>2015</v>
      </c>
      <c r="B441" s="761">
        <v>10</v>
      </c>
      <c r="C441" s="796" t="s">
        <v>181</v>
      </c>
      <c r="D441" s="796"/>
      <c r="E441" s="796"/>
      <c r="F441" s="761">
        <v>2097</v>
      </c>
      <c r="G441" s="761" t="s">
        <v>2008</v>
      </c>
      <c r="H441" s="799">
        <v>0</v>
      </c>
      <c r="I441" s="799">
        <v>0</v>
      </c>
      <c r="J441" s="799">
        <v>0</v>
      </c>
      <c r="K441" s="799">
        <v>0</v>
      </c>
      <c r="L441" s="799">
        <v>0</v>
      </c>
      <c r="M441" s="799">
        <v>0</v>
      </c>
      <c r="N441" s="799">
        <v>0</v>
      </c>
      <c r="O441" s="799">
        <v>10545</v>
      </c>
      <c r="P441" s="799">
        <v>14103</v>
      </c>
      <c r="Q441" s="799">
        <v>0</v>
      </c>
      <c r="R441" s="799">
        <v>4039</v>
      </c>
      <c r="S441" s="799">
        <v>22032</v>
      </c>
    </row>
    <row r="442" spans="1:19" x14ac:dyDescent="0.2">
      <c r="A442" s="761">
        <v>2015</v>
      </c>
      <c r="B442" s="761">
        <v>13</v>
      </c>
      <c r="C442" s="796" t="s">
        <v>182</v>
      </c>
      <c r="D442" s="796"/>
      <c r="E442" s="796"/>
      <c r="F442" s="761">
        <v>2113</v>
      </c>
      <c r="G442" s="761" t="s">
        <v>1105</v>
      </c>
      <c r="H442" s="799">
        <v>0</v>
      </c>
      <c r="I442" s="799">
        <v>0</v>
      </c>
      <c r="J442" s="799">
        <v>9328</v>
      </c>
      <c r="K442" s="799">
        <v>13485</v>
      </c>
      <c r="L442" s="799">
        <v>0</v>
      </c>
      <c r="M442" s="799">
        <v>4696</v>
      </c>
      <c r="N442" s="799">
        <v>37</v>
      </c>
      <c r="O442" s="799">
        <v>0</v>
      </c>
      <c r="P442" s="799">
        <v>0</v>
      </c>
      <c r="Q442" s="799">
        <v>0</v>
      </c>
      <c r="R442" s="799">
        <v>5418</v>
      </c>
      <c r="S442" s="799">
        <v>24942</v>
      </c>
    </row>
    <row r="443" spans="1:19" x14ac:dyDescent="0.2">
      <c r="A443" s="761">
        <v>2015</v>
      </c>
      <c r="B443" s="761">
        <v>5</v>
      </c>
      <c r="C443" s="796" t="s">
        <v>183</v>
      </c>
      <c r="D443" s="796"/>
      <c r="E443" s="796"/>
      <c r="F443" s="761">
        <v>2124</v>
      </c>
      <c r="G443" s="761" t="s">
        <v>1106</v>
      </c>
      <c r="H443" s="799">
        <v>0</v>
      </c>
      <c r="I443" s="799">
        <v>682</v>
      </c>
      <c r="J443" s="799">
        <v>5625</v>
      </c>
      <c r="K443" s="799">
        <v>277117</v>
      </c>
      <c r="L443" s="799">
        <v>0</v>
      </c>
      <c r="M443" s="799">
        <v>23042</v>
      </c>
      <c r="N443" s="799">
        <v>103324</v>
      </c>
      <c r="O443" s="799">
        <v>0</v>
      </c>
      <c r="P443" s="799">
        <v>77231</v>
      </c>
      <c r="Q443" s="799">
        <v>0</v>
      </c>
      <c r="R443" s="799">
        <v>9841</v>
      </c>
      <c r="S443" s="799">
        <v>21205</v>
      </c>
    </row>
    <row r="444" spans="1:19" x14ac:dyDescent="0.2">
      <c r="A444" s="761">
        <v>2015</v>
      </c>
      <c r="B444" s="761">
        <v>11</v>
      </c>
      <c r="C444" s="796" t="s">
        <v>184</v>
      </c>
      <c r="D444" s="761">
        <v>2016</v>
      </c>
      <c r="E444" s="796"/>
      <c r="F444" s="761">
        <v>2151</v>
      </c>
      <c r="G444" s="761" t="s">
        <v>1637</v>
      </c>
      <c r="H444" s="799">
        <v>134364</v>
      </c>
      <c r="I444" s="799">
        <v>0</v>
      </c>
      <c r="J444" s="799">
        <v>116339</v>
      </c>
      <c r="K444" s="799">
        <v>21234</v>
      </c>
      <c r="L444" s="799">
        <v>28677</v>
      </c>
      <c r="M444" s="799">
        <v>0</v>
      </c>
      <c r="N444" s="799">
        <v>20611</v>
      </c>
      <c r="O444" s="799">
        <v>31163</v>
      </c>
      <c r="P444" s="799">
        <v>36161</v>
      </c>
      <c r="Q444" s="799">
        <v>0</v>
      </c>
      <c r="R444" s="799">
        <v>11658</v>
      </c>
      <c r="S444" s="799">
        <v>43741</v>
      </c>
    </row>
    <row r="445" spans="1:19" x14ac:dyDescent="0.2">
      <c r="A445" s="761">
        <v>2015</v>
      </c>
      <c r="B445" s="761">
        <v>15</v>
      </c>
      <c r="C445" s="796" t="s">
        <v>185</v>
      </c>
      <c r="D445" s="796"/>
      <c r="E445" s="796"/>
      <c r="F445" s="761">
        <v>2169</v>
      </c>
      <c r="G445" s="761" t="s">
        <v>1107</v>
      </c>
      <c r="H445" s="799">
        <v>106108</v>
      </c>
      <c r="I445" s="799">
        <v>1765</v>
      </c>
      <c r="J445" s="799">
        <v>0</v>
      </c>
      <c r="K445" s="799">
        <v>0</v>
      </c>
      <c r="L445" s="799">
        <v>0</v>
      </c>
      <c r="M445" s="799">
        <v>0</v>
      </c>
      <c r="N445" s="799">
        <v>6</v>
      </c>
      <c r="O445" s="799">
        <v>0</v>
      </c>
      <c r="P445" s="799">
        <v>0</v>
      </c>
      <c r="Q445" s="799">
        <v>0</v>
      </c>
      <c r="R445" s="799">
        <v>544</v>
      </c>
      <c r="S445" s="799">
        <v>5478</v>
      </c>
    </row>
    <row r="446" spans="1:19" x14ac:dyDescent="0.2">
      <c r="A446" s="761">
        <v>2015</v>
      </c>
      <c r="B446" s="761">
        <v>7</v>
      </c>
      <c r="C446" s="796" t="s">
        <v>187</v>
      </c>
      <c r="D446" s="796"/>
      <c r="E446" s="796"/>
      <c r="F446" s="761">
        <v>2295</v>
      </c>
      <c r="G446" s="761" t="s">
        <v>1109</v>
      </c>
      <c r="H446" s="799">
        <v>0</v>
      </c>
      <c r="I446" s="799">
        <v>0</v>
      </c>
      <c r="J446" s="799">
        <v>0</v>
      </c>
      <c r="K446" s="799">
        <v>0</v>
      </c>
      <c r="L446" s="799">
        <v>0</v>
      </c>
      <c r="M446" s="799">
        <v>242087</v>
      </c>
      <c r="N446" s="799">
        <v>71775</v>
      </c>
      <c r="O446" s="799">
        <v>0</v>
      </c>
      <c r="P446" s="799">
        <v>0</v>
      </c>
      <c r="Q446" s="799">
        <v>0</v>
      </c>
      <c r="R446" s="799">
        <v>8600</v>
      </c>
      <c r="S446" s="799">
        <v>14004</v>
      </c>
    </row>
    <row r="447" spans="1:19" x14ac:dyDescent="0.2">
      <c r="A447" s="761">
        <v>2015</v>
      </c>
      <c r="B447" s="761">
        <v>5</v>
      </c>
      <c r="C447" s="796" t="s">
        <v>188</v>
      </c>
      <c r="D447" s="796"/>
      <c r="E447" s="796"/>
      <c r="F447" s="761">
        <v>2313</v>
      </c>
      <c r="G447" s="761" t="s">
        <v>1110</v>
      </c>
      <c r="H447" s="799">
        <v>0</v>
      </c>
      <c r="I447" s="799">
        <v>0</v>
      </c>
      <c r="J447" s="799">
        <v>0</v>
      </c>
      <c r="K447" s="799">
        <v>94487</v>
      </c>
      <c r="L447" s="799">
        <v>0</v>
      </c>
      <c r="M447" s="799">
        <v>564068</v>
      </c>
      <c r="N447" s="799">
        <v>24763</v>
      </c>
      <c r="O447" s="799">
        <v>74377</v>
      </c>
      <c r="P447" s="799">
        <v>33219</v>
      </c>
      <c r="Q447" s="799">
        <v>0</v>
      </c>
      <c r="R447" s="799">
        <v>0</v>
      </c>
      <c r="S447" s="799">
        <v>8876</v>
      </c>
    </row>
    <row r="448" spans="1:19" x14ac:dyDescent="0.2">
      <c r="A448" s="761">
        <v>2015</v>
      </c>
      <c r="B448" s="761">
        <v>15</v>
      </c>
      <c r="C448" s="796" t="s">
        <v>189</v>
      </c>
      <c r="D448" s="796"/>
      <c r="E448" s="796"/>
      <c r="F448" s="761">
        <v>2322</v>
      </c>
      <c r="G448" s="761" t="s">
        <v>1111</v>
      </c>
      <c r="H448" s="799">
        <v>8406</v>
      </c>
      <c r="I448" s="799">
        <v>0</v>
      </c>
      <c r="J448" s="799">
        <v>0</v>
      </c>
      <c r="K448" s="799">
        <v>0</v>
      </c>
      <c r="L448" s="799">
        <v>0</v>
      </c>
      <c r="M448" s="799">
        <v>0</v>
      </c>
      <c r="N448" s="799">
        <v>95604</v>
      </c>
      <c r="O448" s="799">
        <v>38107</v>
      </c>
      <c r="P448" s="799">
        <v>49092</v>
      </c>
      <c r="Q448" s="799">
        <v>0</v>
      </c>
      <c r="R448" s="799">
        <v>7415</v>
      </c>
      <c r="S448" s="799">
        <v>35502</v>
      </c>
    </row>
    <row r="449" spans="1:19" x14ac:dyDescent="0.2">
      <c r="A449" s="761">
        <v>2015</v>
      </c>
      <c r="B449" s="761">
        <v>13</v>
      </c>
      <c r="C449" s="796" t="s">
        <v>190</v>
      </c>
      <c r="D449" s="796"/>
      <c r="E449" s="796"/>
      <c r="F449" s="761">
        <v>2369</v>
      </c>
      <c r="G449" s="761" t="s">
        <v>1112</v>
      </c>
      <c r="H449" s="799">
        <v>0</v>
      </c>
      <c r="I449" s="799">
        <v>0</v>
      </c>
      <c r="J449" s="799">
        <v>30633</v>
      </c>
      <c r="K449" s="799">
        <v>42966</v>
      </c>
      <c r="L449" s="799">
        <v>0</v>
      </c>
      <c r="M449" s="799">
        <v>102835</v>
      </c>
      <c r="N449" s="799">
        <v>73427</v>
      </c>
      <c r="O449" s="799">
        <v>54914</v>
      </c>
      <c r="P449" s="799">
        <v>25108</v>
      </c>
      <c r="Q449" s="799">
        <v>0</v>
      </c>
      <c r="R449" s="799">
        <v>6160</v>
      </c>
      <c r="S449" s="799">
        <v>165320</v>
      </c>
    </row>
    <row r="450" spans="1:19" x14ac:dyDescent="0.2">
      <c r="A450" s="761">
        <v>2015</v>
      </c>
      <c r="B450" s="761">
        <v>12</v>
      </c>
      <c r="C450" s="796" t="s">
        <v>191</v>
      </c>
      <c r="D450" s="796"/>
      <c r="E450" s="796"/>
      <c r="F450" s="761">
        <v>2376</v>
      </c>
      <c r="G450" s="761" t="s">
        <v>1113</v>
      </c>
      <c r="H450" s="799">
        <v>49</v>
      </c>
      <c r="I450" s="799">
        <v>0</v>
      </c>
      <c r="J450" s="799">
        <v>22222</v>
      </c>
      <c r="K450" s="799">
        <v>0</v>
      </c>
      <c r="L450" s="799">
        <v>0</v>
      </c>
      <c r="M450" s="799">
        <v>18348</v>
      </c>
      <c r="N450" s="799">
        <v>84885</v>
      </c>
      <c r="O450" s="799">
        <v>7076</v>
      </c>
      <c r="P450" s="799">
        <v>26624</v>
      </c>
      <c r="Q450" s="799">
        <v>0</v>
      </c>
      <c r="R450" s="799">
        <v>6647</v>
      </c>
      <c r="S450" s="799">
        <v>19112</v>
      </c>
    </row>
    <row r="451" spans="1:19" x14ac:dyDescent="0.2">
      <c r="A451" s="761">
        <v>2015</v>
      </c>
      <c r="B451" s="761">
        <v>7</v>
      </c>
      <c r="C451" s="796" t="s">
        <v>192</v>
      </c>
      <c r="D451" s="761">
        <v>6633</v>
      </c>
      <c r="E451" s="796"/>
      <c r="F451" s="761">
        <v>2403</v>
      </c>
      <c r="G451" s="761" t="s">
        <v>1747</v>
      </c>
      <c r="H451" s="799">
        <v>46812</v>
      </c>
      <c r="I451" s="799">
        <v>0</v>
      </c>
      <c r="J451" s="799">
        <v>0</v>
      </c>
      <c r="K451" s="799">
        <v>0</v>
      </c>
      <c r="L451" s="799">
        <v>8644</v>
      </c>
      <c r="M451" s="799">
        <v>199007</v>
      </c>
      <c r="N451" s="799">
        <v>46031</v>
      </c>
      <c r="O451" s="799">
        <v>27572</v>
      </c>
      <c r="P451" s="799">
        <v>105943</v>
      </c>
      <c r="Q451" s="799">
        <v>0</v>
      </c>
      <c r="R451" s="799">
        <v>13757</v>
      </c>
      <c r="S451" s="799">
        <v>47042</v>
      </c>
    </row>
    <row r="452" spans="1:19" x14ac:dyDescent="0.2">
      <c r="A452" s="761">
        <v>2015</v>
      </c>
      <c r="B452" s="761">
        <v>12</v>
      </c>
      <c r="C452" s="796" t="s">
        <v>193</v>
      </c>
      <c r="D452" s="796"/>
      <c r="E452" s="796"/>
      <c r="F452" s="761">
        <v>2457</v>
      </c>
      <c r="G452" s="761" t="s">
        <v>1002</v>
      </c>
      <c r="H452" s="799">
        <v>0</v>
      </c>
      <c r="I452" s="799">
        <v>0</v>
      </c>
      <c r="J452" s="799">
        <v>0</v>
      </c>
      <c r="K452" s="799">
        <v>62200</v>
      </c>
      <c r="L452" s="799">
        <v>0</v>
      </c>
      <c r="M452" s="799">
        <v>255039</v>
      </c>
      <c r="N452" s="799">
        <v>0</v>
      </c>
      <c r="O452" s="799">
        <v>20469</v>
      </c>
      <c r="P452" s="799">
        <v>36935</v>
      </c>
      <c r="Q452" s="799">
        <v>0</v>
      </c>
      <c r="R452" s="799">
        <v>2941</v>
      </c>
      <c r="S452" s="799">
        <v>21077</v>
      </c>
    </row>
    <row r="453" spans="1:19" x14ac:dyDescent="0.2">
      <c r="A453" s="761">
        <v>2015</v>
      </c>
      <c r="B453" s="761">
        <v>11</v>
      </c>
      <c r="C453" s="796" t="s">
        <v>194</v>
      </c>
      <c r="D453" s="796"/>
      <c r="E453" s="796"/>
      <c r="F453" s="761">
        <v>2466</v>
      </c>
      <c r="G453" s="761" t="s">
        <v>1114</v>
      </c>
      <c r="H453" s="799">
        <v>92867</v>
      </c>
      <c r="I453" s="799">
        <v>2802</v>
      </c>
      <c r="J453" s="799">
        <v>0</v>
      </c>
      <c r="K453" s="799">
        <v>0</v>
      </c>
      <c r="L453" s="799">
        <v>2639</v>
      </c>
      <c r="M453" s="799">
        <v>0</v>
      </c>
      <c r="N453" s="799">
        <v>10517</v>
      </c>
      <c r="O453" s="799">
        <v>18039</v>
      </c>
      <c r="P453" s="799">
        <v>21329</v>
      </c>
      <c r="Q453" s="799">
        <v>0</v>
      </c>
      <c r="R453" s="799">
        <v>16230</v>
      </c>
      <c r="S453" s="799">
        <v>35979</v>
      </c>
    </row>
    <row r="454" spans="1:19" x14ac:dyDescent="0.2">
      <c r="A454" s="761">
        <v>2015</v>
      </c>
      <c r="B454" s="761">
        <v>5</v>
      </c>
      <c r="C454" s="796" t="s">
        <v>195</v>
      </c>
      <c r="D454" s="796"/>
      <c r="E454" s="796"/>
      <c r="F454" s="761">
        <v>2493</v>
      </c>
      <c r="G454" s="761" t="s">
        <v>1115</v>
      </c>
      <c r="H454" s="799">
        <v>0</v>
      </c>
      <c r="I454" s="799">
        <v>0</v>
      </c>
      <c r="J454" s="799">
        <v>0</v>
      </c>
      <c r="K454" s="799">
        <v>5696</v>
      </c>
      <c r="L454" s="799">
        <v>11459</v>
      </c>
      <c r="M454" s="799">
        <v>18182</v>
      </c>
      <c r="N454" s="799">
        <v>0</v>
      </c>
      <c r="O454" s="799">
        <v>0</v>
      </c>
      <c r="P454" s="799">
        <v>0</v>
      </c>
      <c r="Q454" s="799">
        <v>0</v>
      </c>
      <c r="R454" s="799">
        <v>0</v>
      </c>
      <c r="S454" s="799">
        <v>0</v>
      </c>
    </row>
    <row r="455" spans="1:19" x14ac:dyDescent="0.2">
      <c r="A455" s="761">
        <v>2015</v>
      </c>
      <c r="B455" s="761">
        <v>7</v>
      </c>
      <c r="C455" s="796" t="s">
        <v>196</v>
      </c>
      <c r="D455" s="796"/>
      <c r="E455" s="796"/>
      <c r="F455" s="761">
        <v>2502</v>
      </c>
      <c r="G455" s="761" t="s">
        <v>1116</v>
      </c>
      <c r="H455" s="799">
        <v>16007</v>
      </c>
      <c r="I455" s="799">
        <v>0</v>
      </c>
      <c r="J455" s="799">
        <v>34232</v>
      </c>
      <c r="K455" s="799">
        <v>6809</v>
      </c>
      <c r="L455" s="799">
        <v>0</v>
      </c>
      <c r="M455" s="799">
        <v>0</v>
      </c>
      <c r="N455" s="799">
        <v>1470</v>
      </c>
      <c r="O455" s="799">
        <v>25471</v>
      </c>
      <c r="P455" s="799">
        <v>49579</v>
      </c>
      <c r="Q455" s="799">
        <v>0</v>
      </c>
      <c r="R455" s="799">
        <v>1780</v>
      </c>
      <c r="S455" s="799">
        <v>30079</v>
      </c>
    </row>
    <row r="456" spans="1:19" x14ac:dyDescent="0.2">
      <c r="A456" s="761">
        <v>2015</v>
      </c>
      <c r="B456" s="761">
        <v>13</v>
      </c>
      <c r="C456" s="796" t="s">
        <v>197</v>
      </c>
      <c r="D456" s="796"/>
      <c r="E456" s="796"/>
      <c r="F456" s="761">
        <v>2511</v>
      </c>
      <c r="G456" s="761" t="s">
        <v>1117</v>
      </c>
      <c r="H456" s="799">
        <v>0</v>
      </c>
      <c r="I456" s="799">
        <v>0</v>
      </c>
      <c r="J456" s="799">
        <v>359229</v>
      </c>
      <c r="K456" s="799">
        <v>192243</v>
      </c>
      <c r="L456" s="799">
        <v>0</v>
      </c>
      <c r="M456" s="799">
        <v>110808</v>
      </c>
      <c r="N456" s="799">
        <v>137353</v>
      </c>
      <c r="O456" s="799">
        <v>97653</v>
      </c>
      <c r="P456" s="799">
        <v>60256</v>
      </c>
      <c r="Q456" s="799">
        <v>0</v>
      </c>
      <c r="R456" s="799">
        <v>0</v>
      </c>
      <c r="S456" s="799">
        <v>91220</v>
      </c>
    </row>
    <row r="457" spans="1:19" x14ac:dyDescent="0.2">
      <c r="A457" s="761">
        <v>2015</v>
      </c>
      <c r="B457" s="761">
        <v>11</v>
      </c>
      <c r="C457" s="796" t="s">
        <v>198</v>
      </c>
      <c r="D457" s="796"/>
      <c r="E457" s="796"/>
      <c r="F457" s="761">
        <v>2520</v>
      </c>
      <c r="G457" s="761" t="s">
        <v>1118</v>
      </c>
      <c r="H457" s="799">
        <v>1911</v>
      </c>
      <c r="I457" s="799">
        <v>0</v>
      </c>
      <c r="J457" s="799">
        <v>0</v>
      </c>
      <c r="K457" s="799">
        <v>0</v>
      </c>
      <c r="L457" s="799">
        <v>0</v>
      </c>
      <c r="M457" s="799">
        <v>0</v>
      </c>
      <c r="N457" s="799">
        <v>14585</v>
      </c>
      <c r="O457" s="799">
        <v>13352</v>
      </c>
      <c r="P457" s="799">
        <v>18580</v>
      </c>
      <c r="Q457" s="799">
        <v>0</v>
      </c>
      <c r="R457" s="799">
        <v>5892</v>
      </c>
      <c r="S457" s="799">
        <v>27507</v>
      </c>
    </row>
    <row r="458" spans="1:19" x14ac:dyDescent="0.2">
      <c r="A458" s="761">
        <v>2015</v>
      </c>
      <c r="B458" s="761">
        <v>5</v>
      </c>
      <c r="C458" s="796" t="s">
        <v>199</v>
      </c>
      <c r="D458" s="796"/>
      <c r="E458" s="796"/>
      <c r="F458" s="761">
        <v>2556</v>
      </c>
      <c r="G458" s="761" t="s">
        <v>630</v>
      </c>
      <c r="H458" s="799">
        <v>0</v>
      </c>
      <c r="I458" s="799">
        <v>1350</v>
      </c>
      <c r="J458" s="799">
        <v>72775</v>
      </c>
      <c r="K458" s="799">
        <v>76910</v>
      </c>
      <c r="L458" s="799">
        <v>0</v>
      </c>
      <c r="M458" s="799">
        <v>0</v>
      </c>
      <c r="N458" s="799">
        <v>27124</v>
      </c>
      <c r="O458" s="799">
        <v>10384</v>
      </c>
      <c r="P458" s="799">
        <v>5584</v>
      </c>
      <c r="Q458" s="799">
        <v>0</v>
      </c>
      <c r="R458" s="799">
        <v>6299</v>
      </c>
      <c r="S458" s="799">
        <v>54001</v>
      </c>
    </row>
    <row r="459" spans="1:19" x14ac:dyDescent="0.2">
      <c r="A459" s="761">
        <v>2015</v>
      </c>
      <c r="B459" s="761">
        <v>13</v>
      </c>
      <c r="C459" s="796" t="s">
        <v>200</v>
      </c>
      <c r="D459" s="796"/>
      <c r="E459" s="796"/>
      <c r="F459" s="761">
        <v>2673</v>
      </c>
      <c r="G459" s="761" t="s">
        <v>2009</v>
      </c>
      <c r="H459" s="799">
        <v>0</v>
      </c>
      <c r="I459" s="799">
        <v>0</v>
      </c>
      <c r="J459" s="799">
        <v>34795</v>
      </c>
      <c r="K459" s="799">
        <v>48651</v>
      </c>
      <c r="L459" s="799">
        <v>0</v>
      </c>
      <c r="M459" s="799">
        <v>2123</v>
      </c>
      <c r="N459" s="799">
        <v>32110</v>
      </c>
      <c r="O459" s="799">
        <v>24176</v>
      </c>
      <c r="P459" s="799">
        <v>35785</v>
      </c>
      <c r="Q459" s="799">
        <v>0</v>
      </c>
      <c r="R459" s="799">
        <v>1784</v>
      </c>
      <c r="S459" s="799">
        <v>26534</v>
      </c>
    </row>
    <row r="460" spans="1:19" x14ac:dyDescent="0.2">
      <c r="A460" s="761">
        <v>2015</v>
      </c>
      <c r="B460" s="761">
        <v>7</v>
      </c>
      <c r="C460" s="796" t="s">
        <v>201</v>
      </c>
      <c r="D460" s="796"/>
      <c r="E460" s="796"/>
      <c r="F460" s="761">
        <v>2682</v>
      </c>
      <c r="G460" s="761" t="s">
        <v>1119</v>
      </c>
      <c r="H460" s="799">
        <v>0</v>
      </c>
      <c r="I460" s="799">
        <v>0</v>
      </c>
      <c r="J460" s="799">
        <v>0</v>
      </c>
      <c r="K460" s="799">
        <v>10596</v>
      </c>
      <c r="L460" s="799">
        <v>0</v>
      </c>
      <c r="M460" s="799">
        <v>0</v>
      </c>
      <c r="N460" s="799">
        <v>5869</v>
      </c>
      <c r="O460" s="799">
        <v>3655</v>
      </c>
      <c r="P460" s="799">
        <v>14210</v>
      </c>
      <c r="Q460" s="799">
        <v>0</v>
      </c>
      <c r="R460" s="799">
        <v>2063</v>
      </c>
      <c r="S460" s="799">
        <v>12654</v>
      </c>
    </row>
    <row r="461" spans="1:19" x14ac:dyDescent="0.2">
      <c r="A461" s="761">
        <v>2015</v>
      </c>
      <c r="B461" s="761">
        <v>7</v>
      </c>
      <c r="C461" s="796" t="s">
        <v>202</v>
      </c>
      <c r="D461" s="796"/>
      <c r="E461" s="796"/>
      <c r="F461" s="761">
        <v>2709</v>
      </c>
      <c r="G461" s="761" t="s">
        <v>1120</v>
      </c>
      <c r="H461" s="799">
        <v>132115</v>
      </c>
      <c r="I461" s="799">
        <v>0</v>
      </c>
      <c r="J461" s="799">
        <v>339515</v>
      </c>
      <c r="K461" s="799">
        <v>31727</v>
      </c>
      <c r="L461" s="799">
        <v>0</v>
      </c>
      <c r="M461" s="799">
        <v>43907</v>
      </c>
      <c r="N461" s="799">
        <v>0</v>
      </c>
      <c r="O461" s="799">
        <v>107846</v>
      </c>
      <c r="P461" s="799">
        <v>32632</v>
      </c>
      <c r="Q461" s="799">
        <v>0</v>
      </c>
      <c r="R461" s="799">
        <v>1366</v>
      </c>
      <c r="S461" s="799">
        <v>43988</v>
      </c>
    </row>
    <row r="462" spans="1:19" x14ac:dyDescent="0.2">
      <c r="A462" s="761">
        <v>2015</v>
      </c>
      <c r="B462" s="761">
        <v>13</v>
      </c>
      <c r="C462" s="796" t="s">
        <v>203</v>
      </c>
      <c r="D462" s="796"/>
      <c r="E462" s="796"/>
      <c r="F462" s="761">
        <v>2718</v>
      </c>
      <c r="G462" s="761" t="s">
        <v>1121</v>
      </c>
      <c r="H462" s="799">
        <v>18781</v>
      </c>
      <c r="I462" s="799">
        <v>0</v>
      </c>
      <c r="J462" s="799">
        <v>0</v>
      </c>
      <c r="K462" s="799">
        <v>0</v>
      </c>
      <c r="L462" s="799">
        <v>0</v>
      </c>
      <c r="M462" s="799">
        <v>0</v>
      </c>
      <c r="N462" s="799">
        <v>106386</v>
      </c>
      <c r="O462" s="799">
        <v>143</v>
      </c>
      <c r="P462" s="799">
        <v>59688</v>
      </c>
      <c r="Q462" s="799">
        <v>31616</v>
      </c>
      <c r="R462" s="799">
        <v>6768</v>
      </c>
      <c r="S462" s="799">
        <v>33871</v>
      </c>
    </row>
    <row r="463" spans="1:19" x14ac:dyDescent="0.2">
      <c r="A463" s="761">
        <v>2015</v>
      </c>
      <c r="B463" s="761">
        <v>7</v>
      </c>
      <c r="C463" s="796" t="s">
        <v>204</v>
      </c>
      <c r="D463" s="796"/>
      <c r="E463" s="796"/>
      <c r="F463" s="761">
        <v>2727</v>
      </c>
      <c r="G463" s="761" t="s">
        <v>1122</v>
      </c>
      <c r="H463" s="799">
        <v>3707</v>
      </c>
      <c r="I463" s="799">
        <v>0</v>
      </c>
      <c r="J463" s="799">
        <v>42184</v>
      </c>
      <c r="K463" s="799">
        <v>0</v>
      </c>
      <c r="L463" s="799">
        <v>0</v>
      </c>
      <c r="M463" s="799">
        <v>0</v>
      </c>
      <c r="N463" s="799">
        <v>0</v>
      </c>
      <c r="O463" s="799">
        <v>17186</v>
      </c>
      <c r="P463" s="799">
        <v>2257</v>
      </c>
      <c r="Q463" s="799">
        <v>22390</v>
      </c>
      <c r="R463" s="799">
        <v>3038</v>
      </c>
      <c r="S463" s="799">
        <v>2914</v>
      </c>
    </row>
    <row r="464" spans="1:19" x14ac:dyDescent="0.2">
      <c r="A464" s="761">
        <v>2015</v>
      </c>
      <c r="B464" s="761">
        <v>11</v>
      </c>
      <c r="C464" s="796" t="s">
        <v>205</v>
      </c>
      <c r="D464" s="796"/>
      <c r="E464" s="796"/>
      <c r="F464" s="761">
        <v>2754</v>
      </c>
      <c r="G464" s="761" t="s">
        <v>1123</v>
      </c>
      <c r="H464" s="799">
        <v>2902</v>
      </c>
      <c r="I464" s="799">
        <v>0</v>
      </c>
      <c r="J464" s="799">
        <v>44679</v>
      </c>
      <c r="K464" s="799">
        <v>0</v>
      </c>
      <c r="L464" s="799">
        <v>0</v>
      </c>
      <c r="M464" s="799">
        <v>35886</v>
      </c>
      <c r="N464" s="799">
        <v>343</v>
      </c>
      <c r="O464" s="799">
        <v>5261</v>
      </c>
      <c r="P464" s="799">
        <v>0</v>
      </c>
      <c r="Q464" s="799">
        <v>0</v>
      </c>
      <c r="R464" s="799">
        <v>0</v>
      </c>
      <c r="S464" s="799">
        <v>15132</v>
      </c>
    </row>
    <row r="465" spans="1:19" x14ac:dyDescent="0.2">
      <c r="A465" s="761">
        <v>2015</v>
      </c>
      <c r="B465" s="761">
        <v>1</v>
      </c>
      <c r="C465" s="796" t="s">
        <v>206</v>
      </c>
      <c r="D465" s="796"/>
      <c r="E465" s="796"/>
      <c r="F465" s="761">
        <v>2763</v>
      </c>
      <c r="G465" s="761" t="s">
        <v>1056</v>
      </c>
      <c r="H465" s="799">
        <v>0</v>
      </c>
      <c r="I465" s="799">
        <v>0</v>
      </c>
      <c r="J465" s="799">
        <v>128179</v>
      </c>
      <c r="K465" s="799">
        <v>27891</v>
      </c>
      <c r="L465" s="799">
        <v>0</v>
      </c>
      <c r="M465" s="799">
        <v>0</v>
      </c>
      <c r="N465" s="799">
        <v>32821</v>
      </c>
      <c r="O465" s="799">
        <v>11985</v>
      </c>
      <c r="P465" s="799">
        <v>0</v>
      </c>
      <c r="Q465" s="799">
        <v>0</v>
      </c>
      <c r="R465" s="799">
        <v>0</v>
      </c>
      <c r="S465" s="799">
        <v>1735</v>
      </c>
    </row>
    <row r="466" spans="1:19" x14ac:dyDescent="0.2">
      <c r="A466" s="761">
        <v>2015</v>
      </c>
      <c r="B466" s="761">
        <v>10</v>
      </c>
      <c r="C466" s="796" t="s">
        <v>207</v>
      </c>
      <c r="D466" s="796"/>
      <c r="E466" s="796"/>
      <c r="F466" s="761">
        <v>2766</v>
      </c>
      <c r="G466" s="761" t="s">
        <v>920</v>
      </c>
      <c r="H466" s="799">
        <v>0</v>
      </c>
      <c r="I466" s="799">
        <v>0</v>
      </c>
      <c r="J466" s="799">
        <v>12201</v>
      </c>
      <c r="K466" s="799">
        <v>0</v>
      </c>
      <c r="L466" s="799">
        <v>0</v>
      </c>
      <c r="M466" s="799">
        <v>67506</v>
      </c>
      <c r="N466" s="799">
        <v>48260</v>
      </c>
      <c r="O466" s="799">
        <v>42983</v>
      </c>
      <c r="P466" s="799">
        <v>0</v>
      </c>
      <c r="Q466" s="799">
        <v>0</v>
      </c>
      <c r="R466" s="799">
        <v>4262</v>
      </c>
      <c r="S466" s="799">
        <v>24797</v>
      </c>
    </row>
    <row r="467" spans="1:19" x14ac:dyDescent="0.2">
      <c r="A467" s="761">
        <v>2015</v>
      </c>
      <c r="B467" s="761">
        <v>13</v>
      </c>
      <c r="C467" s="796" t="s">
        <v>208</v>
      </c>
      <c r="D467" s="796"/>
      <c r="E467" s="796"/>
      <c r="F467" s="761">
        <v>2772</v>
      </c>
      <c r="G467" s="761" t="s">
        <v>1124</v>
      </c>
      <c r="H467" s="799">
        <v>3525</v>
      </c>
      <c r="I467" s="799">
        <v>26942</v>
      </c>
      <c r="J467" s="799">
        <v>124309</v>
      </c>
      <c r="K467" s="799">
        <v>0</v>
      </c>
      <c r="L467" s="799">
        <v>0</v>
      </c>
      <c r="M467" s="799">
        <v>0</v>
      </c>
      <c r="N467" s="799">
        <v>0</v>
      </c>
      <c r="O467" s="799">
        <v>12625</v>
      </c>
      <c r="P467" s="799">
        <v>9044</v>
      </c>
      <c r="Q467" s="799">
        <v>12631</v>
      </c>
      <c r="R467" s="799">
        <v>5961</v>
      </c>
      <c r="S467" s="799">
        <v>36721</v>
      </c>
    </row>
    <row r="468" spans="1:19" x14ac:dyDescent="0.2">
      <c r="A468" s="761">
        <v>2015</v>
      </c>
      <c r="B468" s="761">
        <v>7</v>
      </c>
      <c r="C468" s="796" t="s">
        <v>209</v>
      </c>
      <c r="D468" s="796"/>
      <c r="E468" s="796"/>
      <c r="F468" s="761">
        <v>2781</v>
      </c>
      <c r="G468" s="761" t="s">
        <v>1125</v>
      </c>
      <c r="H468" s="799">
        <v>26025</v>
      </c>
      <c r="I468" s="799">
        <v>0</v>
      </c>
      <c r="J468" s="799">
        <v>0</v>
      </c>
      <c r="K468" s="799">
        <v>28786</v>
      </c>
      <c r="L468" s="799">
        <v>0</v>
      </c>
      <c r="M468" s="799">
        <v>0</v>
      </c>
      <c r="N468" s="799">
        <v>0</v>
      </c>
      <c r="O468" s="799">
        <v>0</v>
      </c>
      <c r="P468" s="799">
        <v>2673</v>
      </c>
      <c r="Q468" s="799">
        <v>0</v>
      </c>
      <c r="R468" s="799">
        <v>0</v>
      </c>
      <c r="S468" s="799">
        <v>4178</v>
      </c>
    </row>
    <row r="469" spans="1:19" x14ac:dyDescent="0.2">
      <c r="A469" s="761">
        <v>2015</v>
      </c>
      <c r="B469" s="761">
        <v>13</v>
      </c>
      <c r="C469" s="796" t="s">
        <v>210</v>
      </c>
      <c r="D469" s="796"/>
      <c r="E469" s="796"/>
      <c r="F469" s="761">
        <v>2826</v>
      </c>
      <c r="G469" s="761" t="s">
        <v>1126</v>
      </c>
      <c r="H469" s="799">
        <v>215657</v>
      </c>
      <c r="I469" s="799">
        <v>46280</v>
      </c>
      <c r="J469" s="799">
        <v>47820</v>
      </c>
      <c r="K469" s="799">
        <v>81897</v>
      </c>
      <c r="L469" s="799">
        <v>0</v>
      </c>
      <c r="M469" s="799">
        <v>0</v>
      </c>
      <c r="N469" s="799">
        <v>53</v>
      </c>
      <c r="O469" s="799">
        <v>12568</v>
      </c>
      <c r="P469" s="799">
        <v>0</v>
      </c>
      <c r="Q469" s="799">
        <v>0</v>
      </c>
      <c r="R469" s="799">
        <v>0</v>
      </c>
      <c r="S469" s="799">
        <v>3204</v>
      </c>
    </row>
    <row r="470" spans="1:19" x14ac:dyDescent="0.2">
      <c r="A470" s="761">
        <v>2015</v>
      </c>
      <c r="B470" s="761">
        <v>15</v>
      </c>
      <c r="C470" s="796" t="s">
        <v>211</v>
      </c>
      <c r="D470" s="796"/>
      <c r="E470" s="796"/>
      <c r="F470" s="761">
        <v>2834</v>
      </c>
      <c r="G470" s="761" t="s">
        <v>1127</v>
      </c>
      <c r="H470" s="799">
        <v>310180</v>
      </c>
      <c r="I470" s="799">
        <v>12668</v>
      </c>
      <c r="J470" s="799">
        <v>74813</v>
      </c>
      <c r="K470" s="799">
        <v>94821</v>
      </c>
      <c r="L470" s="799">
        <v>0</v>
      </c>
      <c r="M470" s="799">
        <v>3424</v>
      </c>
      <c r="N470" s="799">
        <v>0</v>
      </c>
      <c r="O470" s="799">
        <v>11469</v>
      </c>
      <c r="P470" s="799">
        <v>24070</v>
      </c>
      <c r="Q470" s="799">
        <v>22924</v>
      </c>
      <c r="R470" s="799">
        <v>0</v>
      </c>
      <c r="S470" s="799">
        <v>19868</v>
      </c>
    </row>
    <row r="471" spans="1:19" x14ac:dyDescent="0.2">
      <c r="A471" s="761">
        <v>2015</v>
      </c>
      <c r="B471" s="761">
        <v>5</v>
      </c>
      <c r="C471" s="796" t="s">
        <v>212</v>
      </c>
      <c r="D471" s="796"/>
      <c r="E471" s="796"/>
      <c r="F471" s="761">
        <v>2846</v>
      </c>
      <c r="G471" s="761" t="s">
        <v>1128</v>
      </c>
      <c r="H471" s="799">
        <v>0</v>
      </c>
      <c r="I471" s="799">
        <v>0</v>
      </c>
      <c r="J471" s="799">
        <v>0</v>
      </c>
      <c r="K471" s="799">
        <v>0</v>
      </c>
      <c r="L471" s="799">
        <v>10711</v>
      </c>
      <c r="M471" s="799">
        <v>0</v>
      </c>
      <c r="N471" s="799">
        <v>0</v>
      </c>
      <c r="O471" s="799">
        <v>25061</v>
      </c>
      <c r="P471" s="799">
        <v>0</v>
      </c>
      <c r="Q471" s="799">
        <v>0</v>
      </c>
      <c r="R471" s="799">
        <v>5714</v>
      </c>
      <c r="S471" s="799">
        <v>25879</v>
      </c>
    </row>
    <row r="472" spans="1:19" x14ac:dyDescent="0.2">
      <c r="A472" s="761">
        <v>2015</v>
      </c>
      <c r="B472" s="761">
        <v>12</v>
      </c>
      <c r="C472" s="796" t="s">
        <v>213</v>
      </c>
      <c r="D472" s="796"/>
      <c r="E472" s="796"/>
      <c r="F472" s="761">
        <v>2862</v>
      </c>
      <c r="G472" s="761" t="s">
        <v>1129</v>
      </c>
      <c r="H472" s="799">
        <v>0</v>
      </c>
      <c r="I472" s="799">
        <v>4747</v>
      </c>
      <c r="J472" s="799">
        <v>1884</v>
      </c>
      <c r="K472" s="799">
        <v>77072</v>
      </c>
      <c r="L472" s="799">
        <v>0</v>
      </c>
      <c r="M472" s="799">
        <v>42811</v>
      </c>
      <c r="N472" s="799">
        <v>36</v>
      </c>
      <c r="O472" s="799">
        <v>4062</v>
      </c>
      <c r="P472" s="799">
        <v>4853</v>
      </c>
      <c r="Q472" s="799">
        <v>0</v>
      </c>
      <c r="R472" s="799">
        <v>7315</v>
      </c>
      <c r="S472" s="799">
        <v>15363</v>
      </c>
    </row>
    <row r="473" spans="1:19" x14ac:dyDescent="0.2">
      <c r="A473" s="761">
        <v>2015</v>
      </c>
      <c r="B473" s="761">
        <v>10</v>
      </c>
      <c r="C473" s="796" t="s">
        <v>214</v>
      </c>
      <c r="D473" s="796"/>
      <c r="E473" s="796"/>
      <c r="F473" s="761">
        <v>2977</v>
      </c>
      <c r="G473" s="761" t="s">
        <v>1130</v>
      </c>
      <c r="H473" s="799">
        <v>0</v>
      </c>
      <c r="I473" s="799">
        <v>0</v>
      </c>
      <c r="J473" s="799">
        <v>0</v>
      </c>
      <c r="K473" s="799">
        <v>0</v>
      </c>
      <c r="L473" s="799">
        <v>0</v>
      </c>
      <c r="M473" s="799">
        <v>54016</v>
      </c>
      <c r="N473" s="799">
        <v>42705</v>
      </c>
      <c r="O473" s="799">
        <v>53872</v>
      </c>
      <c r="P473" s="799">
        <v>42486</v>
      </c>
      <c r="Q473" s="799">
        <v>0</v>
      </c>
      <c r="R473" s="799">
        <v>0</v>
      </c>
      <c r="S473" s="799">
        <v>9446</v>
      </c>
    </row>
    <row r="474" spans="1:19" x14ac:dyDescent="0.2">
      <c r="A474" s="761">
        <v>2015</v>
      </c>
      <c r="B474" s="761">
        <v>12</v>
      </c>
      <c r="C474" s="796" t="s">
        <v>215</v>
      </c>
      <c r="D474" s="796"/>
      <c r="E474" s="796"/>
      <c r="F474" s="761">
        <v>2988</v>
      </c>
      <c r="G474" s="761" t="s">
        <v>1131</v>
      </c>
      <c r="H474" s="799">
        <v>0</v>
      </c>
      <c r="I474" s="799">
        <v>530</v>
      </c>
      <c r="J474" s="799">
        <v>0</v>
      </c>
      <c r="K474" s="799">
        <v>0</v>
      </c>
      <c r="L474" s="799">
        <v>16950</v>
      </c>
      <c r="M474" s="799">
        <v>0</v>
      </c>
      <c r="N474" s="799">
        <v>4077</v>
      </c>
      <c r="O474" s="799">
        <v>0</v>
      </c>
      <c r="P474" s="799">
        <v>5402</v>
      </c>
      <c r="Q474" s="799">
        <v>0</v>
      </c>
      <c r="R474" s="799">
        <v>0</v>
      </c>
      <c r="S474" s="799">
        <v>2409</v>
      </c>
    </row>
    <row r="475" spans="1:19" x14ac:dyDescent="0.2">
      <c r="A475" s="761">
        <v>2015</v>
      </c>
      <c r="B475" s="761">
        <v>1</v>
      </c>
      <c r="C475" s="796" t="s">
        <v>216</v>
      </c>
      <c r="D475" s="796"/>
      <c r="E475" s="796"/>
      <c r="F475" s="761">
        <v>3029</v>
      </c>
      <c r="G475" s="761" t="s">
        <v>1132</v>
      </c>
      <c r="H475" s="799">
        <v>0</v>
      </c>
      <c r="I475" s="799">
        <v>3759</v>
      </c>
      <c r="J475" s="799">
        <v>279007</v>
      </c>
      <c r="K475" s="799">
        <v>0</v>
      </c>
      <c r="L475" s="799">
        <v>0</v>
      </c>
      <c r="M475" s="799">
        <v>0</v>
      </c>
      <c r="N475" s="799">
        <v>0</v>
      </c>
      <c r="O475" s="799">
        <v>27655</v>
      </c>
      <c r="P475" s="799">
        <v>137595</v>
      </c>
      <c r="Q475" s="799">
        <v>77621</v>
      </c>
      <c r="R475" s="799">
        <v>8192</v>
      </c>
      <c r="S475" s="799">
        <v>66053</v>
      </c>
    </row>
    <row r="476" spans="1:19" x14ac:dyDescent="0.2">
      <c r="A476" s="761">
        <v>2015</v>
      </c>
      <c r="B476" s="761">
        <v>7</v>
      </c>
      <c r="C476" s="796" t="s">
        <v>217</v>
      </c>
      <c r="D476" s="796"/>
      <c r="E476" s="796"/>
      <c r="F476" s="761">
        <v>3033</v>
      </c>
      <c r="G476" s="761" t="s">
        <v>640</v>
      </c>
      <c r="H476" s="799">
        <v>85131</v>
      </c>
      <c r="I476" s="799">
        <v>8462</v>
      </c>
      <c r="J476" s="799">
        <v>6393</v>
      </c>
      <c r="K476" s="799">
        <v>59546</v>
      </c>
      <c r="L476" s="799">
        <v>0</v>
      </c>
      <c r="M476" s="799">
        <v>26019</v>
      </c>
      <c r="N476" s="799">
        <v>347</v>
      </c>
      <c r="O476" s="799">
        <v>4224</v>
      </c>
      <c r="P476" s="799">
        <v>1360</v>
      </c>
      <c r="Q476" s="799">
        <v>0</v>
      </c>
      <c r="R476" s="799">
        <v>5088</v>
      </c>
      <c r="S476" s="799">
        <v>2310</v>
      </c>
    </row>
    <row r="477" spans="1:19" x14ac:dyDescent="0.2">
      <c r="A477" s="761">
        <v>2015</v>
      </c>
      <c r="B477" s="761">
        <v>7</v>
      </c>
      <c r="C477" s="796" t="s">
        <v>218</v>
      </c>
      <c r="D477" s="796"/>
      <c r="E477" s="796"/>
      <c r="F477" s="761">
        <v>3042</v>
      </c>
      <c r="G477" s="761" t="s">
        <v>1134</v>
      </c>
      <c r="H477" s="799">
        <v>0</v>
      </c>
      <c r="I477" s="799">
        <v>0</v>
      </c>
      <c r="J477" s="799">
        <v>98952</v>
      </c>
      <c r="K477" s="799">
        <v>44363</v>
      </c>
      <c r="L477" s="799">
        <v>0</v>
      </c>
      <c r="M477" s="799">
        <v>0</v>
      </c>
      <c r="N477" s="799">
        <v>0</v>
      </c>
      <c r="O477" s="799">
        <v>23720</v>
      </c>
      <c r="P477" s="799">
        <v>62609</v>
      </c>
      <c r="Q477" s="799">
        <v>0</v>
      </c>
      <c r="R477" s="799">
        <v>20031</v>
      </c>
      <c r="S477" s="799">
        <v>1347</v>
      </c>
    </row>
    <row r="478" spans="1:19" x14ac:dyDescent="0.2">
      <c r="A478" s="761">
        <v>2015</v>
      </c>
      <c r="B478" s="761">
        <v>5</v>
      </c>
      <c r="C478" s="796" t="s">
        <v>219</v>
      </c>
      <c r="D478" s="796"/>
      <c r="E478" s="796"/>
      <c r="F478" s="761">
        <v>3060</v>
      </c>
      <c r="G478" s="761" t="s">
        <v>1135</v>
      </c>
      <c r="H478" s="799">
        <v>4418</v>
      </c>
      <c r="I478" s="799">
        <v>0</v>
      </c>
      <c r="J478" s="799">
        <v>0</v>
      </c>
      <c r="K478" s="799">
        <v>86720</v>
      </c>
      <c r="L478" s="799">
        <v>0</v>
      </c>
      <c r="M478" s="799">
        <v>0</v>
      </c>
      <c r="N478" s="799">
        <v>2425</v>
      </c>
      <c r="O478" s="799">
        <v>3860</v>
      </c>
      <c r="P478" s="799">
        <v>20500</v>
      </c>
      <c r="Q478" s="799">
        <v>0</v>
      </c>
      <c r="R478" s="799">
        <v>93879</v>
      </c>
      <c r="S478" s="799">
        <v>25259</v>
      </c>
    </row>
    <row r="479" spans="1:19" x14ac:dyDescent="0.2">
      <c r="A479" s="761">
        <v>2015</v>
      </c>
      <c r="B479" s="761">
        <v>7</v>
      </c>
      <c r="C479" s="796" t="s">
        <v>220</v>
      </c>
      <c r="D479" s="796"/>
      <c r="E479" s="796"/>
      <c r="F479" s="761">
        <v>3105</v>
      </c>
      <c r="G479" s="761" t="s">
        <v>1136</v>
      </c>
      <c r="H479" s="799">
        <v>22260</v>
      </c>
      <c r="I479" s="799">
        <v>470</v>
      </c>
      <c r="J479" s="799">
        <v>99197</v>
      </c>
      <c r="K479" s="799">
        <v>142072</v>
      </c>
      <c r="L479" s="799">
        <v>0</v>
      </c>
      <c r="M479" s="799">
        <v>176113</v>
      </c>
      <c r="N479" s="799">
        <v>217806</v>
      </c>
      <c r="O479" s="799">
        <v>411</v>
      </c>
      <c r="P479" s="799">
        <v>73948</v>
      </c>
      <c r="Q479" s="799">
        <v>20826</v>
      </c>
      <c r="R479" s="799">
        <v>0</v>
      </c>
      <c r="S479" s="799">
        <v>40777</v>
      </c>
    </row>
    <row r="480" spans="1:19" x14ac:dyDescent="0.2">
      <c r="A480" s="761">
        <v>2015</v>
      </c>
      <c r="B480" s="761">
        <v>11</v>
      </c>
      <c r="C480" s="796" t="s">
        <v>221</v>
      </c>
      <c r="D480" s="796"/>
      <c r="E480" s="796"/>
      <c r="F480" s="761">
        <v>3114</v>
      </c>
      <c r="G480" s="761" t="s">
        <v>1137</v>
      </c>
      <c r="H480" s="799">
        <v>6885</v>
      </c>
      <c r="I480" s="799">
        <v>0</v>
      </c>
      <c r="J480" s="799">
        <v>0</v>
      </c>
      <c r="K480" s="799">
        <v>14177</v>
      </c>
      <c r="L480" s="799">
        <v>0</v>
      </c>
      <c r="M480" s="799">
        <v>0</v>
      </c>
      <c r="N480" s="799">
        <v>6603</v>
      </c>
      <c r="O480" s="799">
        <v>27474</v>
      </c>
      <c r="P480" s="799">
        <v>50330</v>
      </c>
      <c r="Q480" s="799">
        <v>0</v>
      </c>
      <c r="R480" s="799">
        <v>6</v>
      </c>
      <c r="S480" s="799">
        <v>32006</v>
      </c>
    </row>
    <row r="481" spans="1:19" x14ac:dyDescent="0.2">
      <c r="A481" s="761">
        <v>2015</v>
      </c>
      <c r="B481" s="761">
        <v>11</v>
      </c>
      <c r="C481" s="796" t="s">
        <v>222</v>
      </c>
      <c r="D481" s="796"/>
      <c r="E481" s="796"/>
      <c r="F481" s="761">
        <v>3119</v>
      </c>
      <c r="G481" s="761" t="s">
        <v>1138</v>
      </c>
      <c r="H481" s="799">
        <v>5173</v>
      </c>
      <c r="I481" s="799">
        <v>16700</v>
      </c>
      <c r="J481" s="799">
        <v>63637</v>
      </c>
      <c r="K481" s="799">
        <v>18855</v>
      </c>
      <c r="L481" s="799">
        <v>0</v>
      </c>
      <c r="M481" s="799">
        <v>128250</v>
      </c>
      <c r="N481" s="799">
        <v>23706</v>
      </c>
      <c r="O481" s="799">
        <v>97717</v>
      </c>
      <c r="P481" s="799">
        <v>77987</v>
      </c>
      <c r="Q481" s="799">
        <v>49210</v>
      </c>
      <c r="R481" s="799">
        <v>0</v>
      </c>
      <c r="S481" s="799">
        <v>43327</v>
      </c>
    </row>
    <row r="482" spans="1:19" x14ac:dyDescent="0.2">
      <c r="A482" s="761">
        <v>2015</v>
      </c>
      <c r="B482" s="761">
        <v>10</v>
      </c>
      <c r="C482" s="796" t="s">
        <v>223</v>
      </c>
      <c r="D482" s="796"/>
      <c r="E482" s="796"/>
      <c r="F482" s="761">
        <v>3141</v>
      </c>
      <c r="G482" s="761" t="s">
        <v>1139</v>
      </c>
      <c r="H482" s="799">
        <v>867903</v>
      </c>
      <c r="I482" s="799">
        <v>0</v>
      </c>
      <c r="J482" s="799">
        <v>364635</v>
      </c>
      <c r="K482" s="799">
        <v>534478</v>
      </c>
      <c r="L482" s="799">
        <v>0</v>
      </c>
      <c r="M482" s="799">
        <v>37806</v>
      </c>
      <c r="N482" s="799">
        <v>581173</v>
      </c>
      <c r="O482" s="799">
        <v>378692</v>
      </c>
      <c r="P482" s="799">
        <v>306430</v>
      </c>
      <c r="Q482" s="799">
        <v>27763</v>
      </c>
      <c r="R482" s="799">
        <v>0</v>
      </c>
      <c r="S482" s="799">
        <v>204988</v>
      </c>
    </row>
    <row r="483" spans="1:19" x14ac:dyDescent="0.2">
      <c r="A483" s="761">
        <v>2015</v>
      </c>
      <c r="B483" s="761">
        <v>7</v>
      </c>
      <c r="C483" s="796" t="s">
        <v>224</v>
      </c>
      <c r="D483" s="796"/>
      <c r="E483" s="796"/>
      <c r="F483" s="761">
        <v>3150</v>
      </c>
      <c r="G483" s="761" t="s">
        <v>1140</v>
      </c>
      <c r="H483" s="799">
        <v>92984</v>
      </c>
      <c r="I483" s="799">
        <v>0</v>
      </c>
      <c r="J483" s="799">
        <v>0</v>
      </c>
      <c r="K483" s="799">
        <v>57827</v>
      </c>
      <c r="L483" s="799">
        <v>0</v>
      </c>
      <c r="M483" s="799">
        <v>0</v>
      </c>
      <c r="N483" s="799">
        <v>18969</v>
      </c>
      <c r="O483" s="799">
        <v>12422</v>
      </c>
      <c r="P483" s="799">
        <v>68980</v>
      </c>
      <c r="Q483" s="799">
        <v>0</v>
      </c>
      <c r="R483" s="799">
        <v>0</v>
      </c>
      <c r="S483" s="799">
        <v>32589</v>
      </c>
    </row>
    <row r="484" spans="1:19" x14ac:dyDescent="0.2">
      <c r="A484" s="761">
        <v>2015</v>
      </c>
      <c r="B484" s="761">
        <v>10</v>
      </c>
      <c r="C484" s="796" t="s">
        <v>225</v>
      </c>
      <c r="D484" s="796"/>
      <c r="E484" s="796"/>
      <c r="F484" s="761">
        <v>3154</v>
      </c>
      <c r="G484" s="761" t="s">
        <v>1141</v>
      </c>
      <c r="H484" s="799">
        <v>945</v>
      </c>
      <c r="I484" s="799">
        <v>3421</v>
      </c>
      <c r="J484" s="799">
        <v>67224</v>
      </c>
      <c r="K484" s="799">
        <v>188846</v>
      </c>
      <c r="L484" s="799">
        <v>0</v>
      </c>
      <c r="M484" s="799">
        <v>87101</v>
      </c>
      <c r="N484" s="799">
        <v>13198</v>
      </c>
      <c r="O484" s="799">
        <v>53362</v>
      </c>
      <c r="P484" s="799">
        <v>4140</v>
      </c>
      <c r="Q484" s="799">
        <v>0</v>
      </c>
      <c r="R484" s="799">
        <v>468</v>
      </c>
      <c r="S484" s="799">
        <v>41098</v>
      </c>
    </row>
    <row r="485" spans="1:19" x14ac:dyDescent="0.2">
      <c r="A485" s="761">
        <v>2015</v>
      </c>
      <c r="B485" s="761">
        <v>13</v>
      </c>
      <c r="C485" s="796" t="s">
        <v>1484</v>
      </c>
      <c r="D485" s="796"/>
      <c r="E485" s="796"/>
      <c r="F485" s="761">
        <v>3168</v>
      </c>
      <c r="G485" s="761" t="s">
        <v>1481</v>
      </c>
      <c r="H485" s="799">
        <v>31283</v>
      </c>
      <c r="I485" s="799">
        <v>11114</v>
      </c>
      <c r="J485" s="799">
        <v>73114</v>
      </c>
      <c r="K485" s="799">
        <v>57225</v>
      </c>
      <c r="L485" s="799">
        <v>0</v>
      </c>
      <c r="M485" s="799">
        <v>0</v>
      </c>
      <c r="N485" s="799">
        <v>42038</v>
      </c>
      <c r="O485" s="799">
        <v>7045</v>
      </c>
      <c r="P485" s="799">
        <v>68778</v>
      </c>
      <c r="Q485" s="799">
        <v>0</v>
      </c>
      <c r="R485" s="799">
        <v>5338</v>
      </c>
      <c r="S485" s="799">
        <v>35876</v>
      </c>
    </row>
    <row r="486" spans="1:19" x14ac:dyDescent="0.2">
      <c r="A486" s="761">
        <v>2015</v>
      </c>
      <c r="B486" s="761">
        <v>7</v>
      </c>
      <c r="C486" s="796" t="s">
        <v>226</v>
      </c>
      <c r="D486" s="796"/>
      <c r="E486" s="796"/>
      <c r="F486" s="761">
        <v>3186</v>
      </c>
      <c r="G486" s="761" t="s">
        <v>1142</v>
      </c>
      <c r="H486" s="799">
        <v>0</v>
      </c>
      <c r="I486" s="799">
        <v>0</v>
      </c>
      <c r="J486" s="799">
        <v>30792</v>
      </c>
      <c r="K486" s="799">
        <v>66781</v>
      </c>
      <c r="L486" s="799">
        <v>16142</v>
      </c>
      <c r="M486" s="799">
        <v>0</v>
      </c>
      <c r="N486" s="799">
        <v>0</v>
      </c>
      <c r="O486" s="799">
        <v>526</v>
      </c>
      <c r="P486" s="799">
        <v>4680</v>
      </c>
      <c r="Q486" s="799">
        <v>0</v>
      </c>
      <c r="R486" s="799">
        <v>0</v>
      </c>
      <c r="S486" s="799">
        <v>19937</v>
      </c>
    </row>
    <row r="487" spans="1:19" x14ac:dyDescent="0.2">
      <c r="A487" s="761">
        <v>2015</v>
      </c>
      <c r="B487" s="761">
        <v>5</v>
      </c>
      <c r="C487" s="796" t="s">
        <v>227</v>
      </c>
      <c r="D487" s="761">
        <v>1967</v>
      </c>
      <c r="E487" s="796"/>
      <c r="F487" s="761">
        <v>3195</v>
      </c>
      <c r="G487" s="761" t="s">
        <v>1638</v>
      </c>
      <c r="H487" s="799">
        <v>26228</v>
      </c>
      <c r="I487" s="799">
        <v>916</v>
      </c>
      <c r="J487" s="799">
        <v>305</v>
      </c>
      <c r="K487" s="799">
        <v>15388</v>
      </c>
      <c r="L487" s="799">
        <v>0</v>
      </c>
      <c r="M487" s="799">
        <v>212076</v>
      </c>
      <c r="N487" s="799">
        <v>3</v>
      </c>
      <c r="O487" s="799">
        <v>18729</v>
      </c>
      <c r="P487" s="799">
        <v>7146</v>
      </c>
      <c r="Q487" s="799">
        <v>652</v>
      </c>
      <c r="R487" s="799">
        <v>72061</v>
      </c>
      <c r="S487" s="799">
        <v>21303</v>
      </c>
    </row>
    <row r="488" spans="1:19" x14ac:dyDescent="0.2">
      <c r="A488" s="761">
        <v>2015</v>
      </c>
      <c r="B488" s="761">
        <v>7</v>
      </c>
      <c r="C488" s="796" t="s">
        <v>228</v>
      </c>
      <c r="D488" s="796"/>
      <c r="E488" s="796"/>
      <c r="F488" s="761">
        <v>3204</v>
      </c>
      <c r="G488" s="761" t="s">
        <v>1146</v>
      </c>
      <c r="H488" s="799">
        <v>0</v>
      </c>
      <c r="I488" s="799">
        <v>22369</v>
      </c>
      <c r="J488" s="799">
        <v>30548</v>
      </c>
      <c r="K488" s="799">
        <v>685</v>
      </c>
      <c r="L488" s="799">
        <v>0</v>
      </c>
      <c r="M488" s="799">
        <v>0</v>
      </c>
      <c r="N488" s="799">
        <v>12201</v>
      </c>
      <c r="O488" s="799">
        <v>35328</v>
      </c>
      <c r="P488" s="799">
        <v>70811</v>
      </c>
      <c r="Q488" s="799">
        <v>0</v>
      </c>
      <c r="R488" s="799">
        <v>7679</v>
      </c>
      <c r="S488" s="799">
        <v>30110</v>
      </c>
    </row>
    <row r="489" spans="1:19" x14ac:dyDescent="0.2">
      <c r="A489" s="761">
        <v>2015</v>
      </c>
      <c r="B489" s="761">
        <v>11</v>
      </c>
      <c r="C489" s="796" t="s">
        <v>229</v>
      </c>
      <c r="D489" s="796"/>
      <c r="E489" s="796"/>
      <c r="F489" s="761">
        <v>3231</v>
      </c>
      <c r="G489" s="761" t="s">
        <v>1147</v>
      </c>
      <c r="H489" s="799">
        <v>120133</v>
      </c>
      <c r="I489" s="799">
        <v>0</v>
      </c>
      <c r="J489" s="799">
        <v>162034</v>
      </c>
      <c r="K489" s="799">
        <v>0</v>
      </c>
      <c r="L489" s="799">
        <v>0</v>
      </c>
      <c r="M489" s="799">
        <v>333423</v>
      </c>
      <c r="N489" s="799">
        <v>149026</v>
      </c>
      <c r="O489" s="799">
        <v>103520</v>
      </c>
      <c r="P489" s="799">
        <v>44259</v>
      </c>
      <c r="Q489" s="799">
        <v>0</v>
      </c>
      <c r="R489" s="799">
        <v>278777</v>
      </c>
      <c r="S489" s="799">
        <v>92194</v>
      </c>
    </row>
    <row r="490" spans="1:19" x14ac:dyDescent="0.2">
      <c r="A490" s="761">
        <v>2015</v>
      </c>
      <c r="B490" s="761">
        <v>15</v>
      </c>
      <c r="C490" s="796" t="s">
        <v>230</v>
      </c>
      <c r="D490" s="796"/>
      <c r="E490" s="796"/>
      <c r="F490" s="761">
        <v>3312</v>
      </c>
      <c r="G490" s="761" t="s">
        <v>1148</v>
      </c>
      <c r="H490" s="799">
        <v>332979</v>
      </c>
      <c r="I490" s="799">
        <v>0</v>
      </c>
      <c r="J490" s="799">
        <v>21831</v>
      </c>
      <c r="K490" s="799">
        <v>201938</v>
      </c>
      <c r="L490" s="799">
        <v>0</v>
      </c>
      <c r="M490" s="799">
        <v>90524</v>
      </c>
      <c r="N490" s="799">
        <v>82127</v>
      </c>
      <c r="O490" s="799">
        <v>233559</v>
      </c>
      <c r="P490" s="799">
        <v>167554</v>
      </c>
      <c r="Q490" s="799">
        <v>0</v>
      </c>
      <c r="R490" s="799">
        <v>6335</v>
      </c>
      <c r="S490" s="799">
        <v>42746</v>
      </c>
    </row>
    <row r="491" spans="1:19" x14ac:dyDescent="0.2">
      <c r="A491" s="761">
        <v>2015</v>
      </c>
      <c r="B491" s="761">
        <v>15</v>
      </c>
      <c r="C491" s="796" t="s">
        <v>231</v>
      </c>
      <c r="D491" s="796"/>
      <c r="E491" s="796"/>
      <c r="F491" s="761">
        <v>3330</v>
      </c>
      <c r="G491" s="761" t="s">
        <v>1149</v>
      </c>
      <c r="H491" s="799">
        <v>21638</v>
      </c>
      <c r="I491" s="799">
        <v>0</v>
      </c>
      <c r="J491" s="799">
        <v>2130</v>
      </c>
      <c r="K491" s="799">
        <v>12971</v>
      </c>
      <c r="L491" s="799">
        <v>0</v>
      </c>
      <c r="M491" s="799">
        <v>11875</v>
      </c>
      <c r="N491" s="799">
        <v>0</v>
      </c>
      <c r="O491" s="799">
        <v>19588</v>
      </c>
      <c r="P491" s="799">
        <v>26578</v>
      </c>
      <c r="Q491" s="799">
        <v>0</v>
      </c>
      <c r="R491" s="799">
        <v>0</v>
      </c>
      <c r="S491" s="799">
        <v>34016</v>
      </c>
    </row>
    <row r="492" spans="1:19" x14ac:dyDescent="0.2">
      <c r="A492" s="761">
        <v>2015</v>
      </c>
      <c r="B492" s="761">
        <v>12</v>
      </c>
      <c r="C492" s="796" t="s">
        <v>232</v>
      </c>
      <c r="D492" s="796"/>
      <c r="E492" s="796"/>
      <c r="F492" s="761">
        <v>3348</v>
      </c>
      <c r="G492" s="761" t="s">
        <v>1150</v>
      </c>
      <c r="H492" s="799">
        <v>1867</v>
      </c>
      <c r="I492" s="799">
        <v>0</v>
      </c>
      <c r="J492" s="799">
        <v>0</v>
      </c>
      <c r="K492" s="799">
        <v>15659</v>
      </c>
      <c r="L492" s="799">
        <v>9305</v>
      </c>
      <c r="M492" s="799">
        <v>0</v>
      </c>
      <c r="N492" s="799">
        <v>11018</v>
      </c>
      <c r="O492" s="799">
        <v>0</v>
      </c>
      <c r="P492" s="799">
        <v>38872</v>
      </c>
      <c r="Q492" s="799">
        <v>48641</v>
      </c>
      <c r="R492" s="799">
        <v>360</v>
      </c>
      <c r="S492" s="799">
        <v>19639</v>
      </c>
    </row>
    <row r="493" spans="1:19" x14ac:dyDescent="0.2">
      <c r="A493" s="761">
        <v>2015</v>
      </c>
      <c r="B493" s="761">
        <v>11</v>
      </c>
      <c r="C493" s="796" t="s">
        <v>233</v>
      </c>
      <c r="D493" s="796"/>
      <c r="E493" s="796"/>
      <c r="F493" s="761">
        <v>3375</v>
      </c>
      <c r="G493" s="761" t="s">
        <v>1151</v>
      </c>
      <c r="H493" s="799">
        <v>0</v>
      </c>
      <c r="I493" s="799">
        <v>0</v>
      </c>
      <c r="J493" s="799">
        <v>0</v>
      </c>
      <c r="K493" s="799">
        <v>118447</v>
      </c>
      <c r="L493" s="799">
        <v>0</v>
      </c>
      <c r="M493" s="799">
        <v>342634</v>
      </c>
      <c r="N493" s="799">
        <v>54977</v>
      </c>
      <c r="O493" s="799">
        <v>0</v>
      </c>
      <c r="P493" s="799">
        <v>0</v>
      </c>
      <c r="Q493" s="799">
        <v>0</v>
      </c>
      <c r="R493" s="799">
        <v>8951</v>
      </c>
      <c r="S493" s="799">
        <v>0</v>
      </c>
    </row>
    <row r="494" spans="1:19" x14ac:dyDescent="0.2">
      <c r="A494" s="761">
        <v>2015</v>
      </c>
      <c r="B494" s="761">
        <v>7</v>
      </c>
      <c r="C494" s="796" t="s">
        <v>234</v>
      </c>
      <c r="D494" s="796"/>
      <c r="E494" s="796"/>
      <c r="F494" s="761">
        <v>3420</v>
      </c>
      <c r="G494" s="761" t="s">
        <v>1152</v>
      </c>
      <c r="H494" s="799">
        <v>686</v>
      </c>
      <c r="I494" s="799">
        <v>28975</v>
      </c>
      <c r="J494" s="799">
        <v>0</v>
      </c>
      <c r="K494" s="799">
        <v>94955</v>
      </c>
      <c r="L494" s="799">
        <v>0</v>
      </c>
      <c r="M494" s="799">
        <v>49124</v>
      </c>
      <c r="N494" s="799">
        <v>688</v>
      </c>
      <c r="O494" s="799">
        <v>0</v>
      </c>
      <c r="P494" s="799">
        <v>0</v>
      </c>
      <c r="Q494" s="799">
        <v>38804</v>
      </c>
      <c r="R494" s="799">
        <v>4277</v>
      </c>
      <c r="S494" s="799">
        <v>9573</v>
      </c>
    </row>
    <row r="495" spans="1:19" x14ac:dyDescent="0.2">
      <c r="A495" s="761">
        <v>2015</v>
      </c>
      <c r="B495" s="761">
        <v>13</v>
      </c>
      <c r="C495" s="796" t="s">
        <v>235</v>
      </c>
      <c r="D495" s="796"/>
      <c r="E495" s="796"/>
      <c r="F495" s="761">
        <v>3465</v>
      </c>
      <c r="G495" s="761" t="s">
        <v>1153</v>
      </c>
      <c r="H495" s="799">
        <v>0</v>
      </c>
      <c r="I495" s="799">
        <v>0</v>
      </c>
      <c r="J495" s="799">
        <v>16063</v>
      </c>
      <c r="K495" s="799">
        <v>0</v>
      </c>
      <c r="L495" s="799">
        <v>0</v>
      </c>
      <c r="M495" s="799">
        <v>2944</v>
      </c>
      <c r="N495" s="799">
        <v>64804</v>
      </c>
      <c r="O495" s="799">
        <v>0</v>
      </c>
      <c r="P495" s="799">
        <v>8592</v>
      </c>
      <c r="Q495" s="799">
        <v>0</v>
      </c>
      <c r="R495" s="799">
        <v>4074</v>
      </c>
      <c r="S495" s="799">
        <v>23022</v>
      </c>
    </row>
    <row r="496" spans="1:19" x14ac:dyDescent="0.2">
      <c r="A496" s="761">
        <v>2015</v>
      </c>
      <c r="B496" s="761">
        <v>5</v>
      </c>
      <c r="C496" s="796" t="s">
        <v>236</v>
      </c>
      <c r="D496" s="796"/>
      <c r="E496" s="796"/>
      <c r="F496" s="761">
        <v>3537</v>
      </c>
      <c r="G496" s="761" t="s">
        <v>1154</v>
      </c>
      <c r="H496" s="799">
        <v>0</v>
      </c>
      <c r="I496" s="799">
        <v>0</v>
      </c>
      <c r="J496" s="799">
        <v>32402</v>
      </c>
      <c r="K496" s="799">
        <v>14791</v>
      </c>
      <c r="L496" s="799">
        <v>0</v>
      </c>
      <c r="M496" s="799">
        <v>47582</v>
      </c>
      <c r="N496" s="799">
        <v>5508</v>
      </c>
      <c r="O496" s="799">
        <v>3634</v>
      </c>
      <c r="P496" s="799">
        <v>2113</v>
      </c>
      <c r="Q496" s="799">
        <v>0</v>
      </c>
      <c r="R496" s="799">
        <v>4700</v>
      </c>
      <c r="S496" s="799">
        <v>32354</v>
      </c>
    </row>
    <row r="497" spans="1:19" x14ac:dyDescent="0.2">
      <c r="A497" s="761">
        <v>2015</v>
      </c>
      <c r="B497" s="761">
        <v>12</v>
      </c>
      <c r="C497" s="796" t="s">
        <v>237</v>
      </c>
      <c r="D497" s="796"/>
      <c r="E497" s="796"/>
      <c r="F497" s="761">
        <v>3555</v>
      </c>
      <c r="G497" s="761" t="s">
        <v>1155</v>
      </c>
      <c r="H497" s="799">
        <v>62002</v>
      </c>
      <c r="I497" s="799">
        <v>21229</v>
      </c>
      <c r="J497" s="799">
        <v>82481</v>
      </c>
      <c r="K497" s="799">
        <v>109589</v>
      </c>
      <c r="L497" s="799">
        <v>0</v>
      </c>
      <c r="M497" s="799">
        <v>158871</v>
      </c>
      <c r="N497" s="799">
        <v>37069</v>
      </c>
      <c r="O497" s="799">
        <v>0</v>
      </c>
      <c r="P497" s="799">
        <v>5476</v>
      </c>
      <c r="Q497" s="799">
        <v>0</v>
      </c>
      <c r="R497" s="799">
        <v>0</v>
      </c>
      <c r="S497" s="799">
        <v>15577</v>
      </c>
    </row>
    <row r="498" spans="1:19" x14ac:dyDescent="0.2">
      <c r="A498" s="761">
        <v>2015</v>
      </c>
      <c r="B498" s="761">
        <v>7</v>
      </c>
      <c r="C498" s="796" t="s">
        <v>238</v>
      </c>
      <c r="D498" s="796"/>
      <c r="E498" s="796"/>
      <c r="F498" s="761">
        <v>1968</v>
      </c>
      <c r="G498" s="761" t="s">
        <v>1157</v>
      </c>
      <c r="H498" s="799">
        <v>46527</v>
      </c>
      <c r="I498" s="799">
        <v>0</v>
      </c>
      <c r="J498" s="799">
        <v>40192</v>
      </c>
      <c r="K498" s="799">
        <v>0</v>
      </c>
      <c r="L498" s="799">
        <v>16896</v>
      </c>
      <c r="M498" s="799">
        <v>120823</v>
      </c>
      <c r="N498" s="799">
        <v>98</v>
      </c>
      <c r="O498" s="799">
        <v>4299</v>
      </c>
      <c r="P498" s="799">
        <v>7405</v>
      </c>
      <c r="Q498" s="799">
        <v>0</v>
      </c>
      <c r="R498" s="799">
        <v>68644</v>
      </c>
      <c r="S498" s="799">
        <v>21085</v>
      </c>
    </row>
    <row r="499" spans="1:19" x14ac:dyDescent="0.2">
      <c r="A499" s="761">
        <v>2015</v>
      </c>
      <c r="B499" s="761">
        <v>12</v>
      </c>
      <c r="C499" s="796" t="s">
        <v>239</v>
      </c>
      <c r="D499" s="796"/>
      <c r="E499" s="796"/>
      <c r="F499" s="761">
        <v>3600</v>
      </c>
      <c r="G499" s="761" t="s">
        <v>1158</v>
      </c>
      <c r="H499" s="799">
        <v>0</v>
      </c>
      <c r="I499" s="799">
        <v>0</v>
      </c>
      <c r="J499" s="799">
        <v>0</v>
      </c>
      <c r="K499" s="799">
        <v>0</v>
      </c>
      <c r="L499" s="799">
        <v>0</v>
      </c>
      <c r="M499" s="799">
        <v>0</v>
      </c>
      <c r="N499" s="799">
        <v>0</v>
      </c>
      <c r="O499" s="799">
        <v>0</v>
      </c>
      <c r="P499" s="799">
        <v>31774</v>
      </c>
      <c r="Q499" s="799">
        <v>0</v>
      </c>
      <c r="R499" s="799">
        <v>9012</v>
      </c>
      <c r="S499" s="799">
        <v>45592</v>
      </c>
    </row>
    <row r="500" spans="1:19" x14ac:dyDescent="0.2">
      <c r="A500" s="761">
        <v>2015</v>
      </c>
      <c r="B500" s="761">
        <v>13</v>
      </c>
      <c r="C500" s="796" t="s">
        <v>240</v>
      </c>
      <c r="D500" s="796"/>
      <c r="E500" s="796"/>
      <c r="F500" s="761">
        <v>3609</v>
      </c>
      <c r="G500" s="761" t="s">
        <v>1159</v>
      </c>
      <c r="H500" s="799">
        <v>17267</v>
      </c>
      <c r="I500" s="799">
        <v>0</v>
      </c>
      <c r="J500" s="799">
        <v>52431</v>
      </c>
      <c r="K500" s="799">
        <v>23810</v>
      </c>
      <c r="L500" s="799">
        <v>0</v>
      </c>
      <c r="M500" s="799">
        <v>4075</v>
      </c>
      <c r="N500" s="799">
        <v>14725</v>
      </c>
      <c r="O500" s="799">
        <v>8611</v>
      </c>
      <c r="P500" s="799">
        <v>35681</v>
      </c>
      <c r="Q500" s="799">
        <v>0</v>
      </c>
      <c r="R500" s="799">
        <v>2652</v>
      </c>
      <c r="S500" s="799">
        <v>9193</v>
      </c>
    </row>
    <row r="501" spans="1:19" x14ac:dyDescent="0.2">
      <c r="A501" s="761">
        <v>2015</v>
      </c>
      <c r="B501" s="761">
        <v>13</v>
      </c>
      <c r="C501" s="796" t="s">
        <v>241</v>
      </c>
      <c r="D501" s="796"/>
      <c r="E501" s="796"/>
      <c r="F501" s="761">
        <v>3645</v>
      </c>
      <c r="G501" s="761" t="s">
        <v>1160</v>
      </c>
      <c r="H501" s="799">
        <v>0</v>
      </c>
      <c r="I501" s="799">
        <v>0</v>
      </c>
      <c r="J501" s="799">
        <v>222195</v>
      </c>
      <c r="K501" s="799">
        <v>217638</v>
      </c>
      <c r="L501" s="799">
        <v>0</v>
      </c>
      <c r="M501" s="799">
        <v>424223</v>
      </c>
      <c r="N501" s="799">
        <v>97203</v>
      </c>
      <c r="O501" s="799">
        <v>103806</v>
      </c>
      <c r="P501" s="799">
        <v>122888</v>
      </c>
      <c r="Q501" s="799">
        <v>0</v>
      </c>
      <c r="R501" s="799">
        <v>0</v>
      </c>
      <c r="S501" s="799">
        <v>21423</v>
      </c>
    </row>
    <row r="502" spans="1:19" x14ac:dyDescent="0.2">
      <c r="A502" s="761">
        <v>2015</v>
      </c>
      <c r="B502" s="761">
        <v>10</v>
      </c>
      <c r="C502" s="796" t="s">
        <v>242</v>
      </c>
      <c r="D502" s="796"/>
      <c r="E502" s="796"/>
      <c r="F502" s="761">
        <v>3691</v>
      </c>
      <c r="G502" s="761" t="s">
        <v>1161</v>
      </c>
      <c r="H502" s="799">
        <v>4</v>
      </c>
      <c r="I502" s="799">
        <v>3717</v>
      </c>
      <c r="J502" s="799">
        <v>0</v>
      </c>
      <c r="K502" s="799">
        <v>15670</v>
      </c>
      <c r="L502" s="799">
        <v>0</v>
      </c>
      <c r="M502" s="799">
        <v>0</v>
      </c>
      <c r="N502" s="799">
        <v>47136</v>
      </c>
      <c r="O502" s="799">
        <v>25785</v>
      </c>
      <c r="P502" s="799">
        <v>32238</v>
      </c>
      <c r="Q502" s="799">
        <v>0</v>
      </c>
      <c r="R502" s="799">
        <v>0</v>
      </c>
      <c r="S502" s="799">
        <v>83944</v>
      </c>
    </row>
    <row r="503" spans="1:19" x14ac:dyDescent="0.2">
      <c r="A503" s="761">
        <v>2015</v>
      </c>
      <c r="B503" s="761">
        <v>10</v>
      </c>
      <c r="C503" s="796" t="s">
        <v>243</v>
      </c>
      <c r="D503" s="796"/>
      <c r="E503" s="796"/>
      <c r="F503" s="761">
        <v>3715</v>
      </c>
      <c r="G503" s="761" t="s">
        <v>1162</v>
      </c>
      <c r="H503" s="799">
        <v>60614</v>
      </c>
      <c r="I503" s="799">
        <v>0</v>
      </c>
      <c r="J503" s="799">
        <v>585153</v>
      </c>
      <c r="K503" s="799">
        <v>123780</v>
      </c>
      <c r="L503" s="799">
        <v>0</v>
      </c>
      <c r="M503" s="799">
        <v>0</v>
      </c>
      <c r="N503" s="799">
        <v>180236</v>
      </c>
      <c r="O503" s="799">
        <v>291255</v>
      </c>
      <c r="P503" s="799">
        <v>345814</v>
      </c>
      <c r="Q503" s="799">
        <v>0</v>
      </c>
      <c r="R503" s="799">
        <v>73425</v>
      </c>
      <c r="S503" s="799">
        <v>132766</v>
      </c>
    </row>
    <row r="504" spans="1:19" x14ac:dyDescent="0.2">
      <c r="A504" s="761">
        <v>2015</v>
      </c>
      <c r="B504" s="761">
        <v>10</v>
      </c>
      <c r="C504" s="796" t="s">
        <v>244</v>
      </c>
      <c r="D504" s="796"/>
      <c r="E504" s="796"/>
      <c r="F504" s="761">
        <v>3744</v>
      </c>
      <c r="G504" s="761" t="s">
        <v>1163</v>
      </c>
      <c r="H504" s="799">
        <v>15305</v>
      </c>
      <c r="I504" s="799">
        <v>0</v>
      </c>
      <c r="J504" s="799">
        <v>0</v>
      </c>
      <c r="K504" s="799">
        <v>29387</v>
      </c>
      <c r="L504" s="799">
        <v>0</v>
      </c>
      <c r="M504" s="799">
        <v>51370</v>
      </c>
      <c r="N504" s="799">
        <v>53414</v>
      </c>
      <c r="O504" s="799">
        <v>0</v>
      </c>
      <c r="P504" s="799">
        <v>4361</v>
      </c>
      <c r="Q504" s="799">
        <v>0</v>
      </c>
      <c r="R504" s="799">
        <v>7406</v>
      </c>
      <c r="S504" s="799">
        <v>27111</v>
      </c>
    </row>
    <row r="505" spans="1:19" x14ac:dyDescent="0.2">
      <c r="A505" s="761">
        <v>2015</v>
      </c>
      <c r="B505" s="761">
        <v>13</v>
      </c>
      <c r="C505" s="796" t="s">
        <v>245</v>
      </c>
      <c r="D505" s="796"/>
      <c r="E505" s="796"/>
      <c r="F505" s="761">
        <v>3798</v>
      </c>
      <c r="G505" s="761" t="s">
        <v>1164</v>
      </c>
      <c r="H505" s="799">
        <v>34051</v>
      </c>
      <c r="I505" s="799">
        <v>0</v>
      </c>
      <c r="J505" s="799">
        <v>0</v>
      </c>
      <c r="K505" s="799">
        <v>35890</v>
      </c>
      <c r="L505" s="799">
        <v>0</v>
      </c>
      <c r="M505" s="799">
        <v>0</v>
      </c>
      <c r="N505" s="799">
        <v>0</v>
      </c>
      <c r="O505" s="799">
        <v>0</v>
      </c>
      <c r="P505" s="799">
        <v>8966</v>
      </c>
      <c r="Q505" s="799">
        <v>0</v>
      </c>
      <c r="R505" s="799">
        <v>4542</v>
      </c>
      <c r="S505" s="799">
        <v>50458</v>
      </c>
    </row>
    <row r="506" spans="1:19" x14ac:dyDescent="0.2">
      <c r="A506" s="761">
        <v>2015</v>
      </c>
      <c r="B506" s="761">
        <v>10</v>
      </c>
      <c r="C506" s="796" t="s">
        <v>246</v>
      </c>
      <c r="D506" s="796"/>
      <c r="E506" s="796"/>
      <c r="F506" s="761">
        <v>3816</v>
      </c>
      <c r="G506" s="761" t="s">
        <v>1165</v>
      </c>
      <c r="H506" s="799">
        <v>1910</v>
      </c>
      <c r="I506" s="799">
        <v>0</v>
      </c>
      <c r="J506" s="799">
        <v>0</v>
      </c>
      <c r="K506" s="799">
        <v>0</v>
      </c>
      <c r="L506" s="799">
        <v>0</v>
      </c>
      <c r="M506" s="799">
        <v>27437</v>
      </c>
      <c r="N506" s="799">
        <v>1214</v>
      </c>
      <c r="O506" s="799">
        <v>0</v>
      </c>
      <c r="P506" s="799">
        <v>0</v>
      </c>
      <c r="Q506" s="799">
        <v>8972</v>
      </c>
      <c r="R506" s="799">
        <v>0</v>
      </c>
      <c r="S506" s="799">
        <v>29251</v>
      </c>
    </row>
    <row r="507" spans="1:19" x14ac:dyDescent="0.2">
      <c r="A507" s="761">
        <v>2015</v>
      </c>
      <c r="B507" s="761">
        <v>9</v>
      </c>
      <c r="C507" s="796" t="s">
        <v>247</v>
      </c>
      <c r="D507" s="796"/>
      <c r="E507" s="796"/>
      <c r="F507" s="761">
        <v>3841</v>
      </c>
      <c r="G507" s="761" t="s">
        <v>1166</v>
      </c>
      <c r="H507" s="799">
        <v>220</v>
      </c>
      <c r="I507" s="799">
        <v>0</v>
      </c>
      <c r="J507" s="799">
        <v>98374</v>
      </c>
      <c r="K507" s="799">
        <v>0</v>
      </c>
      <c r="L507" s="799">
        <v>0</v>
      </c>
      <c r="M507" s="799">
        <v>62739</v>
      </c>
      <c r="N507" s="799">
        <v>2219</v>
      </c>
      <c r="O507" s="799">
        <v>18628</v>
      </c>
      <c r="P507" s="799">
        <v>44</v>
      </c>
      <c r="Q507" s="799">
        <v>27402</v>
      </c>
      <c r="R507" s="799">
        <v>4202</v>
      </c>
      <c r="S507" s="799">
        <v>5157</v>
      </c>
    </row>
    <row r="508" spans="1:19" x14ac:dyDescent="0.2">
      <c r="A508" s="761">
        <v>2015</v>
      </c>
      <c r="B508" s="761">
        <v>5</v>
      </c>
      <c r="C508" s="796" t="s">
        <v>248</v>
      </c>
      <c r="D508" s="796"/>
      <c r="E508" s="796"/>
      <c r="F508" s="761">
        <v>3897</v>
      </c>
      <c r="G508" s="761" t="s">
        <v>1167</v>
      </c>
      <c r="H508" s="799">
        <v>0</v>
      </c>
      <c r="I508" s="799">
        <v>2744</v>
      </c>
      <c r="J508" s="799">
        <v>61916</v>
      </c>
      <c r="K508" s="799">
        <v>5893</v>
      </c>
      <c r="L508" s="799">
        <v>0</v>
      </c>
      <c r="M508" s="799">
        <v>15553</v>
      </c>
      <c r="N508" s="799">
        <v>4672</v>
      </c>
      <c r="O508" s="799">
        <v>4379</v>
      </c>
      <c r="P508" s="799">
        <v>8035</v>
      </c>
      <c r="Q508" s="799">
        <v>0</v>
      </c>
      <c r="R508" s="799">
        <v>5282</v>
      </c>
      <c r="S508" s="799">
        <v>24112</v>
      </c>
    </row>
    <row r="509" spans="1:19" x14ac:dyDescent="0.2">
      <c r="A509" s="761">
        <v>2015</v>
      </c>
      <c r="B509" s="761">
        <v>11</v>
      </c>
      <c r="C509" s="796" t="s">
        <v>249</v>
      </c>
      <c r="D509" s="796"/>
      <c r="E509" s="796"/>
      <c r="F509" s="761">
        <v>3906</v>
      </c>
      <c r="G509" s="761" t="s">
        <v>1168</v>
      </c>
      <c r="H509" s="799">
        <v>0</v>
      </c>
      <c r="I509" s="799">
        <v>0</v>
      </c>
      <c r="J509" s="799">
        <v>0</v>
      </c>
      <c r="K509" s="799">
        <v>0</v>
      </c>
      <c r="L509" s="799">
        <v>0</v>
      </c>
      <c r="M509" s="799">
        <v>103474</v>
      </c>
      <c r="N509" s="799">
        <v>12686</v>
      </c>
      <c r="O509" s="799">
        <v>0</v>
      </c>
      <c r="P509" s="799">
        <v>0</v>
      </c>
      <c r="Q509" s="799">
        <v>0</v>
      </c>
      <c r="R509" s="799">
        <v>4330</v>
      </c>
      <c r="S509" s="799">
        <v>12351</v>
      </c>
    </row>
    <row r="510" spans="1:19" x14ac:dyDescent="0.2">
      <c r="A510" s="761">
        <v>2015</v>
      </c>
      <c r="B510" s="761">
        <v>11</v>
      </c>
      <c r="C510" s="796" t="s">
        <v>250</v>
      </c>
      <c r="D510" s="796"/>
      <c r="E510" s="796"/>
      <c r="F510" s="761">
        <v>3942</v>
      </c>
      <c r="G510" s="761" t="s">
        <v>1169</v>
      </c>
      <c r="H510" s="799">
        <v>36747</v>
      </c>
      <c r="I510" s="799">
        <v>1294</v>
      </c>
      <c r="J510" s="799">
        <v>2009</v>
      </c>
      <c r="K510" s="799">
        <v>0</v>
      </c>
      <c r="L510" s="799">
        <v>0</v>
      </c>
      <c r="M510" s="799">
        <v>18123</v>
      </c>
      <c r="N510" s="799">
        <v>2361</v>
      </c>
      <c r="O510" s="799">
        <v>25563</v>
      </c>
      <c r="P510" s="799">
        <v>44198</v>
      </c>
      <c r="Q510" s="799">
        <v>0</v>
      </c>
      <c r="R510" s="799">
        <v>6715</v>
      </c>
      <c r="S510" s="799">
        <v>39294</v>
      </c>
    </row>
    <row r="511" spans="1:19" x14ac:dyDescent="0.2">
      <c r="A511" s="761">
        <v>2015</v>
      </c>
      <c r="B511" s="761">
        <v>13</v>
      </c>
      <c r="C511" s="796" t="s">
        <v>251</v>
      </c>
      <c r="D511" s="796"/>
      <c r="E511" s="796"/>
      <c r="F511" s="761">
        <v>3978</v>
      </c>
      <c r="G511" s="761" t="s">
        <v>1480</v>
      </c>
      <c r="H511" s="799">
        <v>0</v>
      </c>
      <c r="I511" s="799">
        <v>1334</v>
      </c>
      <c r="J511" s="799">
        <v>5195</v>
      </c>
      <c r="K511" s="799">
        <v>0</v>
      </c>
      <c r="L511" s="799">
        <v>0</v>
      </c>
      <c r="M511" s="799">
        <v>161675</v>
      </c>
      <c r="N511" s="799">
        <v>0</v>
      </c>
      <c r="O511" s="799">
        <v>15244</v>
      </c>
      <c r="P511" s="799">
        <v>48589</v>
      </c>
      <c r="Q511" s="799">
        <v>313</v>
      </c>
      <c r="R511" s="799">
        <v>6756</v>
      </c>
      <c r="S511" s="799">
        <v>44109</v>
      </c>
    </row>
    <row r="512" spans="1:19" x14ac:dyDescent="0.2">
      <c r="A512" s="761">
        <v>2015</v>
      </c>
      <c r="B512" s="761">
        <v>5</v>
      </c>
      <c r="C512" s="796" t="s">
        <v>252</v>
      </c>
      <c r="D512" s="796"/>
      <c r="E512" s="796"/>
      <c r="F512" s="761">
        <v>4023</v>
      </c>
      <c r="G512" s="761" t="s">
        <v>1170</v>
      </c>
      <c r="H512" s="799">
        <v>0</v>
      </c>
      <c r="I512" s="799">
        <v>0</v>
      </c>
      <c r="J512" s="799">
        <v>0</v>
      </c>
      <c r="K512" s="799">
        <v>0</v>
      </c>
      <c r="L512" s="799">
        <v>0</v>
      </c>
      <c r="M512" s="799">
        <v>0</v>
      </c>
      <c r="N512" s="799">
        <v>32379</v>
      </c>
      <c r="O512" s="799">
        <v>31231</v>
      </c>
      <c r="P512" s="799">
        <v>34770</v>
      </c>
      <c r="Q512" s="799">
        <v>0</v>
      </c>
      <c r="R512" s="799">
        <v>5981</v>
      </c>
      <c r="S512" s="799">
        <v>42652</v>
      </c>
    </row>
    <row r="513" spans="1:19" x14ac:dyDescent="0.2">
      <c r="A513" s="761">
        <v>2015</v>
      </c>
      <c r="B513" s="761">
        <v>12</v>
      </c>
      <c r="C513" s="796" t="s">
        <v>253</v>
      </c>
      <c r="D513" s="796"/>
      <c r="E513" s="796"/>
      <c r="F513" s="761">
        <v>4033</v>
      </c>
      <c r="G513" s="761" t="s">
        <v>1494</v>
      </c>
      <c r="H513" s="799">
        <v>0</v>
      </c>
      <c r="I513" s="799">
        <v>0</v>
      </c>
      <c r="J513" s="799">
        <v>0</v>
      </c>
      <c r="K513" s="799">
        <v>0</v>
      </c>
      <c r="L513" s="799">
        <v>0</v>
      </c>
      <c r="M513" s="799">
        <v>344675</v>
      </c>
      <c r="N513" s="799">
        <v>0</v>
      </c>
      <c r="O513" s="799">
        <v>11710</v>
      </c>
      <c r="P513" s="799">
        <v>79338</v>
      </c>
      <c r="Q513" s="799">
        <v>0</v>
      </c>
      <c r="R513" s="799">
        <v>7464</v>
      </c>
      <c r="S513" s="799">
        <v>29459</v>
      </c>
    </row>
    <row r="514" spans="1:19" x14ac:dyDescent="0.2">
      <c r="A514" s="761">
        <v>2015</v>
      </c>
      <c r="B514" s="761">
        <v>9</v>
      </c>
      <c r="C514" s="796" t="s">
        <v>254</v>
      </c>
      <c r="D514" s="796"/>
      <c r="E514" s="796"/>
      <c r="F514" s="761">
        <v>4041</v>
      </c>
      <c r="G514" s="761" t="s">
        <v>1171</v>
      </c>
      <c r="H514" s="799">
        <v>25903</v>
      </c>
      <c r="I514" s="799">
        <v>15400</v>
      </c>
      <c r="J514" s="799">
        <v>5596</v>
      </c>
      <c r="K514" s="799">
        <v>1048</v>
      </c>
      <c r="L514" s="799">
        <v>23784</v>
      </c>
      <c r="M514" s="799">
        <v>88056</v>
      </c>
      <c r="N514" s="799">
        <v>688</v>
      </c>
      <c r="O514" s="799">
        <v>28441</v>
      </c>
      <c r="P514" s="799">
        <v>66446</v>
      </c>
      <c r="Q514" s="799">
        <v>0</v>
      </c>
      <c r="R514" s="799">
        <v>6025</v>
      </c>
      <c r="S514" s="799">
        <v>44796</v>
      </c>
    </row>
    <row r="515" spans="1:19" x14ac:dyDescent="0.2">
      <c r="A515" s="761">
        <v>2015</v>
      </c>
      <c r="B515" s="761">
        <v>1</v>
      </c>
      <c r="C515" s="796" t="s">
        <v>255</v>
      </c>
      <c r="D515" s="796"/>
      <c r="E515" s="796"/>
      <c r="F515" s="761">
        <v>4043</v>
      </c>
      <c r="G515" s="761" t="s">
        <v>1172</v>
      </c>
      <c r="H515" s="799">
        <v>20322</v>
      </c>
      <c r="I515" s="799">
        <v>10997</v>
      </c>
      <c r="J515" s="799">
        <v>17096</v>
      </c>
      <c r="K515" s="799">
        <v>0</v>
      </c>
      <c r="L515" s="799">
        <v>0</v>
      </c>
      <c r="M515" s="799">
        <v>160306</v>
      </c>
      <c r="N515" s="799">
        <v>138179</v>
      </c>
      <c r="O515" s="799">
        <v>27884</v>
      </c>
      <c r="P515" s="799">
        <v>24654</v>
      </c>
      <c r="Q515" s="799">
        <v>0</v>
      </c>
      <c r="R515" s="799">
        <v>0</v>
      </c>
      <c r="S515" s="799">
        <v>9061</v>
      </c>
    </row>
    <row r="516" spans="1:19" x14ac:dyDescent="0.2">
      <c r="A516" s="761">
        <v>2015</v>
      </c>
      <c r="B516" s="761">
        <v>12</v>
      </c>
      <c r="C516" s="796" t="s">
        <v>256</v>
      </c>
      <c r="D516" s="796"/>
      <c r="E516" s="796"/>
      <c r="F516" s="761">
        <v>4068</v>
      </c>
      <c r="G516" s="761" t="s">
        <v>1173</v>
      </c>
      <c r="H516" s="799">
        <v>78019</v>
      </c>
      <c r="I516" s="799">
        <v>0</v>
      </c>
      <c r="J516" s="799">
        <v>20491</v>
      </c>
      <c r="K516" s="799">
        <v>30567</v>
      </c>
      <c r="L516" s="799">
        <v>0</v>
      </c>
      <c r="M516" s="799">
        <v>0</v>
      </c>
      <c r="N516" s="799">
        <v>24583</v>
      </c>
      <c r="O516" s="799">
        <v>42263</v>
      </c>
      <c r="P516" s="799">
        <v>30945</v>
      </c>
      <c r="Q516" s="799">
        <v>0</v>
      </c>
      <c r="R516" s="799">
        <v>6675</v>
      </c>
      <c r="S516" s="799">
        <v>26102</v>
      </c>
    </row>
    <row r="517" spans="1:19" x14ac:dyDescent="0.2">
      <c r="A517" s="761">
        <v>2015</v>
      </c>
      <c r="B517" s="761">
        <v>10</v>
      </c>
      <c r="C517" s="796" t="s">
        <v>257</v>
      </c>
      <c r="D517" s="796"/>
      <c r="E517" s="796"/>
      <c r="F517" s="761">
        <v>4086</v>
      </c>
      <c r="G517" s="761" t="s">
        <v>1174</v>
      </c>
      <c r="H517" s="799">
        <v>1043944</v>
      </c>
      <c r="I517" s="799">
        <v>0</v>
      </c>
      <c r="J517" s="799">
        <v>2569</v>
      </c>
      <c r="K517" s="799">
        <v>83949</v>
      </c>
      <c r="L517" s="799">
        <v>0</v>
      </c>
      <c r="M517" s="799">
        <v>65486</v>
      </c>
      <c r="N517" s="799">
        <v>96819</v>
      </c>
      <c r="O517" s="799">
        <v>77249</v>
      </c>
      <c r="P517" s="799">
        <v>97431</v>
      </c>
      <c r="Q517" s="799">
        <v>0</v>
      </c>
      <c r="R517" s="799">
        <v>2503</v>
      </c>
      <c r="S517" s="799">
        <v>25002</v>
      </c>
    </row>
    <row r="518" spans="1:19" x14ac:dyDescent="0.2">
      <c r="A518" s="761">
        <v>2015</v>
      </c>
      <c r="B518" s="761">
        <v>7</v>
      </c>
      <c r="C518" s="796" t="s">
        <v>258</v>
      </c>
      <c r="D518" s="796"/>
      <c r="E518" s="796"/>
      <c r="F518" s="761">
        <v>4104</v>
      </c>
      <c r="G518" s="761" t="s">
        <v>1175</v>
      </c>
      <c r="H518" s="799">
        <v>0</v>
      </c>
      <c r="I518" s="799">
        <v>0</v>
      </c>
      <c r="J518" s="799">
        <v>0</v>
      </c>
      <c r="K518" s="799">
        <v>0</v>
      </c>
      <c r="L518" s="799">
        <v>0</v>
      </c>
      <c r="M518" s="799">
        <v>384217</v>
      </c>
      <c r="N518" s="799">
        <v>24230</v>
      </c>
      <c r="O518" s="799">
        <v>62768</v>
      </c>
      <c r="P518" s="799">
        <v>597206</v>
      </c>
      <c r="Q518" s="799">
        <v>0</v>
      </c>
      <c r="R518" s="799">
        <v>176398</v>
      </c>
      <c r="S518" s="799">
        <v>225781</v>
      </c>
    </row>
    <row r="519" spans="1:19" x14ac:dyDescent="0.2">
      <c r="A519" s="761">
        <v>2015</v>
      </c>
      <c r="B519" s="761">
        <v>11</v>
      </c>
      <c r="C519" s="796" t="s">
        <v>259</v>
      </c>
      <c r="D519" s="796"/>
      <c r="E519" s="796"/>
      <c r="F519" s="761">
        <v>4122</v>
      </c>
      <c r="G519" s="761" t="s">
        <v>1176</v>
      </c>
      <c r="H519" s="799">
        <v>0</v>
      </c>
      <c r="I519" s="799">
        <v>0</v>
      </c>
      <c r="J519" s="799">
        <v>44083</v>
      </c>
      <c r="K519" s="799">
        <v>0</v>
      </c>
      <c r="L519" s="799">
        <v>0</v>
      </c>
      <c r="M519" s="799">
        <v>0</v>
      </c>
      <c r="N519" s="799">
        <v>24941</v>
      </c>
      <c r="O519" s="799">
        <v>56087</v>
      </c>
      <c r="P519" s="799">
        <v>7866</v>
      </c>
      <c r="Q519" s="799">
        <v>14412</v>
      </c>
      <c r="R519" s="799">
        <v>5198</v>
      </c>
      <c r="S519" s="799">
        <v>34723</v>
      </c>
    </row>
    <row r="520" spans="1:19" x14ac:dyDescent="0.2">
      <c r="A520" s="761">
        <v>2015</v>
      </c>
      <c r="B520" s="761">
        <v>7</v>
      </c>
      <c r="C520" s="796" t="s">
        <v>260</v>
      </c>
      <c r="D520" s="796"/>
      <c r="E520" s="796"/>
      <c r="F520" s="761">
        <v>4131</v>
      </c>
      <c r="G520" s="761" t="s">
        <v>1177</v>
      </c>
      <c r="H520" s="799">
        <v>0</v>
      </c>
      <c r="I520" s="799">
        <v>31599</v>
      </c>
      <c r="J520" s="799">
        <v>0</v>
      </c>
      <c r="K520" s="799">
        <v>0</v>
      </c>
      <c r="L520" s="799">
        <v>0</v>
      </c>
      <c r="M520" s="799">
        <v>188127</v>
      </c>
      <c r="N520" s="799">
        <v>177921</v>
      </c>
      <c r="O520" s="799">
        <v>15185</v>
      </c>
      <c r="P520" s="799">
        <v>0</v>
      </c>
      <c r="Q520" s="799">
        <v>0</v>
      </c>
      <c r="R520" s="799">
        <v>7565</v>
      </c>
      <c r="S520" s="799">
        <v>126302</v>
      </c>
    </row>
    <row r="521" spans="1:19" x14ac:dyDescent="0.2">
      <c r="A521" s="761">
        <v>2015</v>
      </c>
      <c r="B521" s="761">
        <v>12</v>
      </c>
      <c r="C521" s="796" t="s">
        <v>261</v>
      </c>
      <c r="D521" s="796"/>
      <c r="E521" s="796"/>
      <c r="F521" s="761">
        <v>4149</v>
      </c>
      <c r="G521" s="761" t="s">
        <v>641</v>
      </c>
      <c r="H521" s="799">
        <v>0</v>
      </c>
      <c r="I521" s="799">
        <v>0</v>
      </c>
      <c r="J521" s="799">
        <v>0</v>
      </c>
      <c r="K521" s="799">
        <v>0</v>
      </c>
      <c r="L521" s="799">
        <v>65664</v>
      </c>
      <c r="M521" s="799">
        <v>143757</v>
      </c>
      <c r="N521" s="799">
        <v>0</v>
      </c>
      <c r="O521" s="799">
        <v>24320</v>
      </c>
      <c r="P521" s="799">
        <v>59406</v>
      </c>
      <c r="Q521" s="799">
        <v>0</v>
      </c>
      <c r="R521" s="799">
        <v>0</v>
      </c>
      <c r="S521" s="799">
        <v>36006</v>
      </c>
    </row>
    <row r="522" spans="1:19" x14ac:dyDescent="0.2">
      <c r="A522" s="761">
        <v>2015</v>
      </c>
      <c r="B522" s="761">
        <v>15</v>
      </c>
      <c r="C522" s="796" t="s">
        <v>262</v>
      </c>
      <c r="D522" s="796"/>
      <c r="E522" s="796"/>
      <c r="F522" s="761">
        <v>4203</v>
      </c>
      <c r="G522" s="761" t="s">
        <v>1178</v>
      </c>
      <c r="H522" s="799">
        <v>50856</v>
      </c>
      <c r="I522" s="799">
        <v>0</v>
      </c>
      <c r="J522" s="799">
        <v>84518</v>
      </c>
      <c r="K522" s="799">
        <v>0</v>
      </c>
      <c r="L522" s="799">
        <v>36602</v>
      </c>
      <c r="M522" s="799">
        <v>0</v>
      </c>
      <c r="N522" s="799">
        <v>27293</v>
      </c>
      <c r="O522" s="799">
        <v>62706</v>
      </c>
      <c r="P522" s="799">
        <v>49087</v>
      </c>
      <c r="Q522" s="799">
        <v>0</v>
      </c>
      <c r="R522" s="799">
        <v>3572</v>
      </c>
      <c r="S522" s="799">
        <v>30609</v>
      </c>
    </row>
    <row r="523" spans="1:19" x14ac:dyDescent="0.2">
      <c r="A523" s="761">
        <v>2015</v>
      </c>
      <c r="B523" s="761">
        <v>11</v>
      </c>
      <c r="C523" s="796" t="s">
        <v>263</v>
      </c>
      <c r="D523" s="796"/>
      <c r="E523" s="796"/>
      <c r="F523" s="761">
        <v>4212</v>
      </c>
      <c r="G523" s="761" t="s">
        <v>1179</v>
      </c>
      <c r="H523" s="799">
        <v>0</v>
      </c>
      <c r="I523" s="799">
        <v>0</v>
      </c>
      <c r="J523" s="799">
        <v>84424</v>
      </c>
      <c r="K523" s="799">
        <v>15615</v>
      </c>
      <c r="L523" s="799">
        <v>0</v>
      </c>
      <c r="M523" s="799">
        <v>1463</v>
      </c>
      <c r="N523" s="799">
        <v>6008</v>
      </c>
      <c r="O523" s="799">
        <v>262</v>
      </c>
      <c r="P523" s="799">
        <v>20686</v>
      </c>
      <c r="Q523" s="799">
        <v>0</v>
      </c>
      <c r="R523" s="799">
        <v>5980</v>
      </c>
      <c r="S523" s="799">
        <v>9128</v>
      </c>
    </row>
    <row r="524" spans="1:19" x14ac:dyDescent="0.2">
      <c r="A524" s="761">
        <v>2015</v>
      </c>
      <c r="B524" s="761">
        <v>10</v>
      </c>
      <c r="C524" s="796" t="s">
        <v>264</v>
      </c>
      <c r="D524" s="796"/>
      <c r="E524" s="796"/>
      <c r="F524" s="761">
        <v>4269</v>
      </c>
      <c r="G524" s="761" t="s">
        <v>642</v>
      </c>
      <c r="H524" s="799">
        <v>9135</v>
      </c>
      <c r="I524" s="799">
        <v>0</v>
      </c>
      <c r="J524" s="799">
        <v>0</v>
      </c>
      <c r="K524" s="799">
        <v>0</v>
      </c>
      <c r="L524" s="799">
        <v>0</v>
      </c>
      <c r="M524" s="799">
        <v>0</v>
      </c>
      <c r="N524" s="799">
        <v>0</v>
      </c>
      <c r="O524" s="799">
        <v>0</v>
      </c>
      <c r="P524" s="799">
        <v>0</v>
      </c>
      <c r="Q524" s="799">
        <v>0</v>
      </c>
      <c r="R524" s="799">
        <v>228</v>
      </c>
      <c r="S524" s="799">
        <v>8630</v>
      </c>
    </row>
    <row r="525" spans="1:19" x14ac:dyDescent="0.2">
      <c r="A525" s="761">
        <v>2015</v>
      </c>
      <c r="B525" s="761">
        <v>10</v>
      </c>
      <c r="C525" s="796" t="s">
        <v>265</v>
      </c>
      <c r="D525" s="796"/>
      <c r="E525" s="796"/>
      <c r="F525" s="761">
        <v>4271</v>
      </c>
      <c r="G525" s="761" t="s">
        <v>1180</v>
      </c>
      <c r="H525" s="799">
        <v>0</v>
      </c>
      <c r="I525" s="799">
        <v>11047</v>
      </c>
      <c r="J525" s="799">
        <v>0</v>
      </c>
      <c r="K525" s="799">
        <v>33835</v>
      </c>
      <c r="L525" s="799">
        <v>0</v>
      </c>
      <c r="M525" s="799">
        <v>0</v>
      </c>
      <c r="N525" s="799">
        <v>0</v>
      </c>
      <c r="O525" s="799">
        <v>0</v>
      </c>
      <c r="P525" s="799">
        <v>0</v>
      </c>
      <c r="Q525" s="799">
        <v>0</v>
      </c>
      <c r="R525" s="799">
        <v>0</v>
      </c>
      <c r="S525" s="799">
        <v>93560</v>
      </c>
    </row>
    <row r="526" spans="1:19" x14ac:dyDescent="0.2">
      <c r="A526" s="761">
        <v>2015</v>
      </c>
      <c r="B526" s="761">
        <v>13</v>
      </c>
      <c r="C526" s="796" t="s">
        <v>266</v>
      </c>
      <c r="D526" s="796"/>
      <c r="E526" s="796"/>
      <c r="F526" s="761">
        <v>4356</v>
      </c>
      <c r="G526" s="761" t="s">
        <v>1181</v>
      </c>
      <c r="H526" s="799">
        <v>0</v>
      </c>
      <c r="I526" s="799">
        <v>0</v>
      </c>
      <c r="J526" s="799">
        <v>85541</v>
      </c>
      <c r="K526" s="799">
        <v>0</v>
      </c>
      <c r="L526" s="799">
        <v>0</v>
      </c>
      <c r="M526" s="799">
        <v>51504</v>
      </c>
      <c r="N526" s="799">
        <v>74902</v>
      </c>
      <c r="O526" s="799">
        <v>9162</v>
      </c>
      <c r="P526" s="799">
        <v>12311</v>
      </c>
      <c r="Q526" s="799">
        <v>0</v>
      </c>
      <c r="R526" s="799">
        <v>2473</v>
      </c>
      <c r="S526" s="799">
        <v>37397</v>
      </c>
    </row>
    <row r="527" spans="1:19" x14ac:dyDescent="0.2">
      <c r="A527" s="761">
        <v>2015</v>
      </c>
      <c r="B527" s="761">
        <v>1</v>
      </c>
      <c r="C527" s="796" t="s">
        <v>267</v>
      </c>
      <c r="D527" s="796"/>
      <c r="E527" s="796"/>
      <c r="F527" s="761">
        <v>4419</v>
      </c>
      <c r="G527" s="761" t="s">
        <v>643</v>
      </c>
      <c r="H527" s="799">
        <v>0</v>
      </c>
      <c r="I527" s="799">
        <v>0</v>
      </c>
      <c r="J527" s="799">
        <v>0</v>
      </c>
      <c r="K527" s="799">
        <v>47010</v>
      </c>
      <c r="L527" s="799">
        <v>0</v>
      </c>
      <c r="M527" s="799">
        <v>0</v>
      </c>
      <c r="N527" s="799">
        <v>105346</v>
      </c>
      <c r="O527" s="799">
        <v>116857</v>
      </c>
      <c r="P527" s="799">
        <v>10569</v>
      </c>
      <c r="Q527" s="799">
        <v>0</v>
      </c>
      <c r="R527" s="799">
        <v>0</v>
      </c>
      <c r="S527" s="799">
        <v>32244</v>
      </c>
    </row>
    <row r="528" spans="1:19" x14ac:dyDescent="0.2">
      <c r="A528" s="761">
        <v>2015</v>
      </c>
      <c r="B528" s="761">
        <v>7</v>
      </c>
      <c r="C528" s="796" t="s">
        <v>268</v>
      </c>
      <c r="D528" s="796"/>
      <c r="E528" s="796"/>
      <c r="F528" s="761">
        <v>4437</v>
      </c>
      <c r="G528" s="761" t="s">
        <v>1182</v>
      </c>
      <c r="H528" s="799">
        <v>0</v>
      </c>
      <c r="I528" s="799">
        <v>0</v>
      </c>
      <c r="J528" s="799">
        <v>0</v>
      </c>
      <c r="K528" s="799">
        <v>0</v>
      </c>
      <c r="L528" s="799">
        <v>0</v>
      </c>
      <c r="M528" s="799">
        <v>13583</v>
      </c>
      <c r="N528" s="799">
        <v>0</v>
      </c>
      <c r="O528" s="799">
        <v>2119</v>
      </c>
      <c r="P528" s="799">
        <v>0</v>
      </c>
      <c r="Q528" s="799">
        <v>0</v>
      </c>
      <c r="R528" s="799">
        <v>0</v>
      </c>
      <c r="S528" s="799">
        <v>17001</v>
      </c>
    </row>
    <row r="529" spans="1:19" x14ac:dyDescent="0.2">
      <c r="A529" s="761">
        <v>2015</v>
      </c>
      <c r="B529" s="761">
        <v>10</v>
      </c>
      <c r="C529" s="796" t="s">
        <v>269</v>
      </c>
      <c r="D529" s="796"/>
      <c r="E529" s="796"/>
      <c r="F529" s="761">
        <v>4446</v>
      </c>
      <c r="G529" s="761" t="s">
        <v>1183</v>
      </c>
      <c r="H529" s="799">
        <v>0</v>
      </c>
      <c r="I529" s="799">
        <v>0</v>
      </c>
      <c r="J529" s="799">
        <v>0</v>
      </c>
      <c r="K529" s="799">
        <v>4185</v>
      </c>
      <c r="L529" s="799">
        <v>0</v>
      </c>
      <c r="M529" s="799">
        <v>84049</v>
      </c>
      <c r="N529" s="799">
        <v>56619</v>
      </c>
      <c r="O529" s="799">
        <v>28298</v>
      </c>
      <c r="P529" s="799">
        <v>0</v>
      </c>
      <c r="Q529" s="799">
        <v>0</v>
      </c>
      <c r="R529" s="799">
        <v>0</v>
      </c>
      <c r="S529" s="799">
        <v>33887</v>
      </c>
    </row>
    <row r="530" spans="1:19" x14ac:dyDescent="0.2">
      <c r="A530" s="761">
        <v>2015</v>
      </c>
      <c r="B530" s="761">
        <v>15</v>
      </c>
      <c r="C530" s="796" t="s">
        <v>270</v>
      </c>
      <c r="D530" s="796"/>
      <c r="E530" s="796"/>
      <c r="F530" s="761">
        <v>4491</v>
      </c>
      <c r="G530" s="761" t="s">
        <v>1184</v>
      </c>
      <c r="H530" s="799">
        <v>0</v>
      </c>
      <c r="I530" s="799">
        <v>0</v>
      </c>
      <c r="J530" s="799">
        <v>5273</v>
      </c>
      <c r="K530" s="799">
        <v>0</v>
      </c>
      <c r="L530" s="799">
        <v>0</v>
      </c>
      <c r="M530" s="799">
        <v>0</v>
      </c>
      <c r="N530" s="799">
        <v>0</v>
      </c>
      <c r="O530" s="799">
        <v>21628</v>
      </c>
      <c r="P530" s="799">
        <v>8687</v>
      </c>
      <c r="Q530" s="799">
        <v>0</v>
      </c>
      <c r="R530" s="799">
        <v>1005</v>
      </c>
      <c r="S530" s="799">
        <v>8363</v>
      </c>
    </row>
    <row r="531" spans="1:19" x14ac:dyDescent="0.2">
      <c r="A531" s="761">
        <v>2015</v>
      </c>
      <c r="B531" s="761">
        <v>13</v>
      </c>
      <c r="C531" s="796" t="s">
        <v>271</v>
      </c>
      <c r="D531" s="796"/>
      <c r="E531" s="796"/>
      <c r="F531" s="761">
        <v>4505</v>
      </c>
      <c r="G531" s="761" t="s">
        <v>1185</v>
      </c>
      <c r="H531" s="799">
        <v>154</v>
      </c>
      <c r="I531" s="799">
        <v>0</v>
      </c>
      <c r="J531" s="799">
        <v>4297</v>
      </c>
      <c r="K531" s="799">
        <v>3152</v>
      </c>
      <c r="L531" s="799">
        <v>0</v>
      </c>
      <c r="M531" s="799">
        <v>22997</v>
      </c>
      <c r="N531" s="799">
        <v>58849</v>
      </c>
      <c r="O531" s="799">
        <v>11871</v>
      </c>
      <c r="P531" s="799">
        <v>552</v>
      </c>
      <c r="Q531" s="799">
        <v>0</v>
      </c>
      <c r="R531" s="799">
        <v>5887</v>
      </c>
      <c r="S531" s="799">
        <v>12021</v>
      </c>
    </row>
    <row r="532" spans="1:19" x14ac:dyDescent="0.2">
      <c r="A532" s="761">
        <v>2015</v>
      </c>
      <c r="B532" s="761">
        <v>15</v>
      </c>
      <c r="C532" s="796" t="s">
        <v>272</v>
      </c>
      <c r="D532" s="796"/>
      <c r="E532" s="796"/>
      <c r="F532" s="761">
        <v>4509</v>
      </c>
      <c r="G532" s="761" t="s">
        <v>1186</v>
      </c>
      <c r="H532" s="799">
        <v>0</v>
      </c>
      <c r="I532" s="799">
        <v>0</v>
      </c>
      <c r="J532" s="799">
        <v>0</v>
      </c>
      <c r="K532" s="799">
        <v>0</v>
      </c>
      <c r="L532" s="799">
        <v>0</v>
      </c>
      <c r="M532" s="799">
        <v>0</v>
      </c>
      <c r="N532" s="799">
        <v>0</v>
      </c>
      <c r="O532" s="799">
        <v>0</v>
      </c>
      <c r="P532" s="799">
        <v>0</v>
      </c>
      <c r="Q532" s="799">
        <v>0</v>
      </c>
      <c r="R532" s="799">
        <v>0</v>
      </c>
      <c r="S532" s="799">
        <v>0</v>
      </c>
    </row>
    <row r="533" spans="1:19" x14ac:dyDescent="0.2">
      <c r="A533" s="761">
        <v>2015</v>
      </c>
      <c r="B533" s="761">
        <v>15</v>
      </c>
      <c r="C533" s="796" t="s">
        <v>273</v>
      </c>
      <c r="D533" s="796"/>
      <c r="E533" s="796"/>
      <c r="F533" s="761">
        <v>4518</v>
      </c>
      <c r="G533" s="761" t="s">
        <v>1187</v>
      </c>
      <c r="H533" s="799">
        <v>0</v>
      </c>
      <c r="I533" s="799">
        <v>0</v>
      </c>
      <c r="J533" s="799">
        <v>71300</v>
      </c>
      <c r="K533" s="799">
        <v>7044</v>
      </c>
      <c r="L533" s="799">
        <v>0</v>
      </c>
      <c r="M533" s="799">
        <v>75514</v>
      </c>
      <c r="N533" s="799">
        <v>41863</v>
      </c>
      <c r="O533" s="799">
        <v>12564</v>
      </c>
      <c r="P533" s="799">
        <v>23516</v>
      </c>
      <c r="Q533" s="799">
        <v>0</v>
      </c>
      <c r="R533" s="799">
        <v>5831</v>
      </c>
      <c r="S533" s="799">
        <v>31382</v>
      </c>
    </row>
    <row r="534" spans="1:19" x14ac:dyDescent="0.2">
      <c r="A534" s="761">
        <v>2015</v>
      </c>
      <c r="B534" s="761">
        <v>13</v>
      </c>
      <c r="C534" s="796" t="s">
        <v>274</v>
      </c>
      <c r="D534" s="796"/>
      <c r="E534" s="796"/>
      <c r="F534" s="761">
        <v>4527</v>
      </c>
      <c r="G534" s="761" t="s">
        <v>1189</v>
      </c>
      <c r="H534" s="799">
        <v>0</v>
      </c>
      <c r="I534" s="799">
        <v>0</v>
      </c>
      <c r="J534" s="799">
        <v>6611</v>
      </c>
      <c r="K534" s="799">
        <v>5663</v>
      </c>
      <c r="L534" s="799">
        <v>0</v>
      </c>
      <c r="M534" s="799">
        <v>111365</v>
      </c>
      <c r="N534" s="799">
        <v>0</v>
      </c>
      <c r="O534" s="799">
        <v>29825</v>
      </c>
      <c r="P534" s="799">
        <v>47499</v>
      </c>
      <c r="Q534" s="799">
        <v>0</v>
      </c>
      <c r="R534" s="799">
        <v>8880</v>
      </c>
      <c r="S534" s="799">
        <v>79723</v>
      </c>
    </row>
    <row r="535" spans="1:19" x14ac:dyDescent="0.2">
      <c r="A535" s="761">
        <v>2015</v>
      </c>
      <c r="B535" s="761">
        <v>15</v>
      </c>
      <c r="C535" s="796" t="s">
        <v>275</v>
      </c>
      <c r="D535" s="796"/>
      <c r="E535" s="796"/>
      <c r="F535" s="761">
        <v>4536</v>
      </c>
      <c r="G535" s="761" t="s">
        <v>1190</v>
      </c>
      <c r="H535" s="799">
        <v>109585</v>
      </c>
      <c r="I535" s="799">
        <v>0</v>
      </c>
      <c r="J535" s="799">
        <v>0</v>
      </c>
      <c r="K535" s="799">
        <v>0</v>
      </c>
      <c r="L535" s="799">
        <v>19198</v>
      </c>
      <c r="M535" s="799">
        <v>0</v>
      </c>
      <c r="N535" s="799">
        <v>88225</v>
      </c>
      <c r="O535" s="799">
        <v>36279</v>
      </c>
      <c r="P535" s="799">
        <v>28781</v>
      </c>
      <c r="Q535" s="799">
        <v>0</v>
      </c>
      <c r="R535" s="799">
        <v>275898</v>
      </c>
      <c r="S535" s="799">
        <v>25224</v>
      </c>
    </row>
    <row r="536" spans="1:19" x14ac:dyDescent="0.2">
      <c r="A536" s="761">
        <v>2015</v>
      </c>
      <c r="B536" s="761">
        <v>10</v>
      </c>
      <c r="C536" s="796" t="s">
        <v>276</v>
      </c>
      <c r="D536" s="796"/>
      <c r="E536" s="796"/>
      <c r="F536" s="761">
        <v>4554</v>
      </c>
      <c r="G536" s="761" t="s">
        <v>1191</v>
      </c>
      <c r="H536" s="799">
        <v>0</v>
      </c>
      <c r="I536" s="799">
        <v>0</v>
      </c>
      <c r="J536" s="799">
        <v>0</v>
      </c>
      <c r="K536" s="799">
        <v>5239</v>
      </c>
      <c r="L536" s="799">
        <v>0</v>
      </c>
      <c r="M536" s="799">
        <v>0</v>
      </c>
      <c r="N536" s="799">
        <v>0</v>
      </c>
      <c r="O536" s="799">
        <v>47272</v>
      </c>
      <c r="P536" s="799">
        <v>0</v>
      </c>
      <c r="Q536" s="799">
        <v>0</v>
      </c>
      <c r="R536" s="799">
        <v>5552</v>
      </c>
      <c r="S536" s="799">
        <v>34163</v>
      </c>
    </row>
    <row r="537" spans="1:19" x14ac:dyDescent="0.2">
      <c r="A537" s="761">
        <v>2015</v>
      </c>
      <c r="B537" s="761">
        <v>13</v>
      </c>
      <c r="C537" s="796" t="s">
        <v>277</v>
      </c>
      <c r="D537" s="796"/>
      <c r="E537" s="796"/>
      <c r="F537" s="761">
        <v>4572</v>
      </c>
      <c r="G537" s="761" t="s">
        <v>1192</v>
      </c>
      <c r="H537" s="799">
        <v>0</v>
      </c>
      <c r="I537" s="799">
        <v>0</v>
      </c>
      <c r="J537" s="799">
        <v>48754</v>
      </c>
      <c r="K537" s="799">
        <v>0</v>
      </c>
      <c r="L537" s="799">
        <v>21880</v>
      </c>
      <c r="M537" s="799">
        <v>46932</v>
      </c>
      <c r="N537" s="799">
        <v>11420</v>
      </c>
      <c r="O537" s="799">
        <v>35998</v>
      </c>
      <c r="P537" s="799">
        <v>15463</v>
      </c>
      <c r="Q537" s="799">
        <v>0</v>
      </c>
      <c r="R537" s="799">
        <v>346</v>
      </c>
      <c r="S537" s="799">
        <v>28807</v>
      </c>
    </row>
    <row r="538" spans="1:19" x14ac:dyDescent="0.2">
      <c r="A538" s="761">
        <v>2015</v>
      </c>
      <c r="B538" s="761">
        <v>9</v>
      </c>
      <c r="C538" s="796" t="s">
        <v>278</v>
      </c>
      <c r="D538" s="796"/>
      <c r="E538" s="796"/>
      <c r="F538" s="761">
        <v>4581</v>
      </c>
      <c r="G538" s="761" t="s">
        <v>1193</v>
      </c>
      <c r="H538" s="799">
        <v>59348</v>
      </c>
      <c r="I538" s="799">
        <v>0</v>
      </c>
      <c r="J538" s="799">
        <v>440341</v>
      </c>
      <c r="K538" s="799">
        <v>246782</v>
      </c>
      <c r="L538" s="799">
        <v>238875</v>
      </c>
      <c r="M538" s="799">
        <v>151472</v>
      </c>
      <c r="N538" s="799">
        <v>222731</v>
      </c>
      <c r="O538" s="799">
        <v>20987</v>
      </c>
      <c r="P538" s="799">
        <v>0</v>
      </c>
      <c r="Q538" s="799">
        <v>0</v>
      </c>
      <c r="R538" s="799">
        <v>457516</v>
      </c>
      <c r="S538" s="799">
        <v>73334</v>
      </c>
    </row>
    <row r="539" spans="1:19" x14ac:dyDescent="0.2">
      <c r="A539" s="761">
        <v>2015</v>
      </c>
      <c r="B539" s="761">
        <v>7</v>
      </c>
      <c r="C539" s="796" t="s">
        <v>279</v>
      </c>
      <c r="D539" s="796"/>
      <c r="E539" s="796"/>
      <c r="F539" s="761">
        <v>4599</v>
      </c>
      <c r="G539" s="761" t="s">
        <v>644</v>
      </c>
      <c r="H539" s="799">
        <v>0</v>
      </c>
      <c r="I539" s="799">
        <v>913</v>
      </c>
      <c r="J539" s="799">
        <v>136512</v>
      </c>
      <c r="K539" s="799">
        <v>36593</v>
      </c>
      <c r="L539" s="799">
        <v>37659</v>
      </c>
      <c r="M539" s="799">
        <v>93198</v>
      </c>
      <c r="N539" s="799">
        <v>0</v>
      </c>
      <c r="O539" s="799">
        <v>21195</v>
      </c>
      <c r="P539" s="799">
        <v>20263</v>
      </c>
      <c r="Q539" s="799">
        <v>0</v>
      </c>
      <c r="R539" s="799">
        <v>7280</v>
      </c>
      <c r="S539" s="799">
        <v>30148</v>
      </c>
    </row>
    <row r="540" spans="1:19" x14ac:dyDescent="0.2">
      <c r="A540" s="761">
        <v>2015</v>
      </c>
      <c r="B540" s="761">
        <v>11</v>
      </c>
      <c r="C540" s="796" t="s">
        <v>280</v>
      </c>
      <c r="D540" s="796"/>
      <c r="E540" s="796"/>
      <c r="F540" s="761">
        <v>4617</v>
      </c>
      <c r="G540" s="761" t="s">
        <v>1194</v>
      </c>
      <c r="H540" s="799">
        <v>130718</v>
      </c>
      <c r="I540" s="799">
        <v>0</v>
      </c>
      <c r="J540" s="799">
        <v>0</v>
      </c>
      <c r="K540" s="799">
        <v>21844</v>
      </c>
      <c r="L540" s="799">
        <v>0</v>
      </c>
      <c r="M540" s="799">
        <v>174105</v>
      </c>
      <c r="N540" s="799">
        <v>612</v>
      </c>
      <c r="O540" s="799">
        <v>80289</v>
      </c>
      <c r="P540" s="799">
        <v>0</v>
      </c>
      <c r="Q540" s="799">
        <v>0</v>
      </c>
      <c r="R540" s="799">
        <v>164</v>
      </c>
      <c r="S540" s="799">
        <v>36007</v>
      </c>
    </row>
    <row r="541" spans="1:19" x14ac:dyDescent="0.2">
      <c r="A541" s="761">
        <v>2015</v>
      </c>
      <c r="B541" s="761">
        <v>5</v>
      </c>
      <c r="C541" s="796" t="s">
        <v>281</v>
      </c>
      <c r="D541" s="796"/>
      <c r="E541" s="796"/>
      <c r="F541" s="761">
        <v>4644</v>
      </c>
      <c r="G541" s="761" t="s">
        <v>645</v>
      </c>
      <c r="H541" s="799">
        <v>14346</v>
      </c>
      <c r="I541" s="799">
        <v>100</v>
      </c>
      <c r="J541" s="799">
        <v>0</v>
      </c>
      <c r="K541" s="799">
        <v>0</v>
      </c>
      <c r="L541" s="799">
        <v>27589</v>
      </c>
      <c r="M541" s="799">
        <v>267419</v>
      </c>
      <c r="N541" s="799">
        <v>24808</v>
      </c>
      <c r="O541" s="799">
        <v>24334</v>
      </c>
      <c r="P541" s="799">
        <v>35649</v>
      </c>
      <c r="Q541" s="799">
        <v>0</v>
      </c>
      <c r="R541" s="799">
        <v>6693</v>
      </c>
      <c r="S541" s="799">
        <v>30076</v>
      </c>
    </row>
    <row r="542" spans="1:19" x14ac:dyDescent="0.2">
      <c r="A542" s="761">
        <v>2015</v>
      </c>
      <c r="B542" s="761">
        <v>1</v>
      </c>
      <c r="C542" s="796" t="s">
        <v>282</v>
      </c>
      <c r="D542" s="796"/>
      <c r="E542" s="796"/>
      <c r="F542" s="761">
        <v>4662</v>
      </c>
      <c r="G542" s="761" t="s">
        <v>1195</v>
      </c>
      <c r="H542" s="799">
        <v>0</v>
      </c>
      <c r="I542" s="799">
        <v>0</v>
      </c>
      <c r="J542" s="799">
        <v>0</v>
      </c>
      <c r="K542" s="799">
        <v>79946</v>
      </c>
      <c r="L542" s="799">
        <v>0</v>
      </c>
      <c r="M542" s="799">
        <v>0</v>
      </c>
      <c r="N542" s="799">
        <v>70702</v>
      </c>
      <c r="O542" s="799">
        <v>6365</v>
      </c>
      <c r="P542" s="799">
        <v>14330</v>
      </c>
      <c r="Q542" s="799">
        <v>0</v>
      </c>
      <c r="R542" s="799">
        <v>4759</v>
      </c>
      <c r="S542" s="799">
        <v>32137</v>
      </c>
    </row>
    <row r="543" spans="1:19" x14ac:dyDescent="0.2">
      <c r="A543" s="761">
        <v>2015</v>
      </c>
      <c r="B543" s="761">
        <v>15</v>
      </c>
      <c r="C543" s="796" t="s">
        <v>283</v>
      </c>
      <c r="D543" s="796"/>
      <c r="E543" s="796"/>
      <c r="F543" s="761">
        <v>4689</v>
      </c>
      <c r="G543" s="761" t="s">
        <v>1196</v>
      </c>
      <c r="H543" s="799">
        <v>0</v>
      </c>
      <c r="I543" s="799">
        <v>0</v>
      </c>
      <c r="J543" s="799">
        <v>38274</v>
      </c>
      <c r="K543" s="799">
        <v>0</v>
      </c>
      <c r="L543" s="799">
        <v>49661</v>
      </c>
      <c r="M543" s="799">
        <v>0</v>
      </c>
      <c r="N543" s="799">
        <v>20268</v>
      </c>
      <c r="O543" s="799">
        <v>0</v>
      </c>
      <c r="P543" s="799">
        <v>9155</v>
      </c>
      <c r="Q543" s="799">
        <v>0</v>
      </c>
      <c r="R543" s="799">
        <v>0</v>
      </c>
      <c r="S543" s="799">
        <v>33537</v>
      </c>
    </row>
    <row r="544" spans="1:19" x14ac:dyDescent="0.2">
      <c r="A544" s="761">
        <v>2015</v>
      </c>
      <c r="B544" s="761">
        <v>11</v>
      </c>
      <c r="C544" s="796" t="s">
        <v>284</v>
      </c>
      <c r="D544" s="796"/>
      <c r="E544" s="796"/>
      <c r="F544" s="761">
        <v>4725</v>
      </c>
      <c r="G544" s="761" t="s">
        <v>1197</v>
      </c>
      <c r="H544" s="799">
        <v>59974</v>
      </c>
      <c r="I544" s="799">
        <v>0</v>
      </c>
      <c r="J544" s="799">
        <v>357112</v>
      </c>
      <c r="K544" s="799">
        <v>70473</v>
      </c>
      <c r="L544" s="799">
        <v>0</v>
      </c>
      <c r="M544" s="799">
        <v>118827</v>
      </c>
      <c r="N544" s="799">
        <v>117664</v>
      </c>
      <c r="O544" s="799">
        <v>33471</v>
      </c>
      <c r="P544" s="799">
        <v>76187</v>
      </c>
      <c r="Q544" s="799">
        <v>0</v>
      </c>
      <c r="R544" s="799">
        <v>7690</v>
      </c>
      <c r="S544" s="799">
        <v>223745</v>
      </c>
    </row>
    <row r="545" spans="1:19" x14ac:dyDescent="0.2">
      <c r="A545" s="761">
        <v>2015</v>
      </c>
      <c r="B545" s="761">
        <v>7</v>
      </c>
      <c r="C545" s="796" t="s">
        <v>285</v>
      </c>
      <c r="D545" s="796"/>
      <c r="E545" s="796"/>
      <c r="F545" s="761">
        <v>4772</v>
      </c>
      <c r="G545" s="761" t="s">
        <v>1479</v>
      </c>
      <c r="H545" s="799">
        <v>0</v>
      </c>
      <c r="I545" s="799">
        <v>0</v>
      </c>
      <c r="J545" s="799">
        <v>21991</v>
      </c>
      <c r="K545" s="799">
        <v>81587</v>
      </c>
      <c r="L545" s="799">
        <v>0</v>
      </c>
      <c r="M545" s="799">
        <v>0</v>
      </c>
      <c r="N545" s="799">
        <v>801</v>
      </c>
      <c r="O545" s="799">
        <v>68759</v>
      </c>
      <c r="P545" s="799">
        <v>29920</v>
      </c>
      <c r="Q545" s="799">
        <v>0</v>
      </c>
      <c r="R545" s="799">
        <v>8210</v>
      </c>
      <c r="S545" s="799">
        <v>15374</v>
      </c>
    </row>
    <row r="546" spans="1:19" x14ac:dyDescent="0.2">
      <c r="A546" s="761">
        <v>2015</v>
      </c>
      <c r="B546" s="761">
        <v>9</v>
      </c>
      <c r="C546" s="796" t="s">
        <v>286</v>
      </c>
      <c r="D546" s="796"/>
      <c r="E546" s="796"/>
      <c r="F546" s="761">
        <v>4773</v>
      </c>
      <c r="G546" s="761" t="s">
        <v>1198</v>
      </c>
      <c r="H546" s="799">
        <v>1727</v>
      </c>
      <c r="I546" s="799">
        <v>12282</v>
      </c>
      <c r="J546" s="799">
        <v>0</v>
      </c>
      <c r="K546" s="799">
        <v>48826</v>
      </c>
      <c r="L546" s="799">
        <v>0</v>
      </c>
      <c r="M546" s="799">
        <v>1403</v>
      </c>
      <c r="N546" s="799">
        <v>15799</v>
      </c>
      <c r="O546" s="799">
        <v>0</v>
      </c>
      <c r="P546" s="799">
        <v>0</v>
      </c>
      <c r="Q546" s="799">
        <v>0</v>
      </c>
      <c r="R546" s="799">
        <v>0</v>
      </c>
      <c r="S546" s="799">
        <v>39738</v>
      </c>
    </row>
    <row r="547" spans="1:19" x14ac:dyDescent="0.2">
      <c r="A547" s="761">
        <v>2015</v>
      </c>
      <c r="B547" s="761">
        <v>1</v>
      </c>
      <c r="C547" s="796" t="s">
        <v>287</v>
      </c>
      <c r="D547" s="796"/>
      <c r="E547" s="796"/>
      <c r="F547" s="761">
        <v>4774</v>
      </c>
      <c r="G547" s="761" t="s">
        <v>1199</v>
      </c>
      <c r="H547" s="799">
        <v>4354</v>
      </c>
      <c r="I547" s="799">
        <v>6362</v>
      </c>
      <c r="J547" s="799">
        <v>0</v>
      </c>
      <c r="K547" s="799">
        <v>155961</v>
      </c>
      <c r="L547" s="799">
        <v>0</v>
      </c>
      <c r="M547" s="799">
        <v>121628</v>
      </c>
      <c r="N547" s="799">
        <v>74587</v>
      </c>
      <c r="O547" s="799">
        <v>0</v>
      </c>
      <c r="P547" s="799">
        <v>8296</v>
      </c>
      <c r="Q547" s="799">
        <v>542</v>
      </c>
      <c r="R547" s="799">
        <v>4534</v>
      </c>
      <c r="S547" s="799">
        <v>26882</v>
      </c>
    </row>
    <row r="548" spans="1:19" x14ac:dyDescent="0.2">
      <c r="A548" s="761">
        <v>2015</v>
      </c>
      <c r="B548" s="761">
        <v>5</v>
      </c>
      <c r="C548" s="796" t="s">
        <v>288</v>
      </c>
      <c r="D548" s="796"/>
      <c r="E548" s="796"/>
      <c r="F548" s="761">
        <v>4775</v>
      </c>
      <c r="G548" s="761" t="s">
        <v>1200</v>
      </c>
      <c r="H548" s="799">
        <v>0</v>
      </c>
      <c r="I548" s="799">
        <v>0</v>
      </c>
      <c r="J548" s="799">
        <v>0</v>
      </c>
      <c r="K548" s="799">
        <v>0</v>
      </c>
      <c r="L548" s="799">
        <v>18203</v>
      </c>
      <c r="M548" s="799">
        <v>10701</v>
      </c>
      <c r="N548" s="799">
        <v>0</v>
      </c>
      <c r="O548" s="799">
        <v>13899</v>
      </c>
      <c r="P548" s="799">
        <v>7698</v>
      </c>
      <c r="Q548" s="799">
        <v>0</v>
      </c>
      <c r="R548" s="799">
        <v>1818</v>
      </c>
      <c r="S548" s="799">
        <v>25049</v>
      </c>
    </row>
    <row r="549" spans="1:19" x14ac:dyDescent="0.2">
      <c r="A549" s="761">
        <v>2015</v>
      </c>
      <c r="B549" s="761">
        <v>15</v>
      </c>
      <c r="C549" s="796" t="s">
        <v>289</v>
      </c>
      <c r="D549" s="796"/>
      <c r="E549" s="796"/>
      <c r="F549" s="761">
        <v>4776</v>
      </c>
      <c r="G549" s="761" t="s">
        <v>1201</v>
      </c>
      <c r="H549" s="799">
        <v>35117</v>
      </c>
      <c r="I549" s="799">
        <v>0</v>
      </c>
      <c r="J549" s="799">
        <v>7668</v>
      </c>
      <c r="K549" s="799">
        <v>0</v>
      </c>
      <c r="L549" s="799">
        <v>0</v>
      </c>
      <c r="M549" s="799">
        <v>83982</v>
      </c>
      <c r="N549" s="799">
        <v>27902</v>
      </c>
      <c r="O549" s="799">
        <v>2083</v>
      </c>
      <c r="P549" s="799">
        <v>0</v>
      </c>
      <c r="Q549" s="799">
        <v>0</v>
      </c>
      <c r="R549" s="799">
        <v>0</v>
      </c>
      <c r="S549" s="799">
        <v>23823</v>
      </c>
    </row>
    <row r="550" spans="1:19" x14ac:dyDescent="0.2">
      <c r="A550" s="761">
        <v>2015</v>
      </c>
      <c r="B550" s="761">
        <v>10</v>
      </c>
      <c r="C550" s="796" t="s">
        <v>290</v>
      </c>
      <c r="D550" s="796"/>
      <c r="E550" s="796"/>
      <c r="F550" s="761">
        <v>4777</v>
      </c>
      <c r="G550" s="761" t="s">
        <v>1237</v>
      </c>
      <c r="H550" s="799">
        <v>11381</v>
      </c>
      <c r="I550" s="799">
        <v>3959</v>
      </c>
      <c r="J550" s="799">
        <v>0</v>
      </c>
      <c r="K550" s="799">
        <v>0</v>
      </c>
      <c r="L550" s="799">
        <v>0</v>
      </c>
      <c r="M550" s="799">
        <v>79861</v>
      </c>
      <c r="N550" s="799">
        <v>48627</v>
      </c>
      <c r="O550" s="799">
        <v>0</v>
      </c>
      <c r="P550" s="799">
        <v>0</v>
      </c>
      <c r="Q550" s="799">
        <v>0</v>
      </c>
      <c r="R550" s="799">
        <v>0</v>
      </c>
      <c r="S550" s="799">
        <v>24376</v>
      </c>
    </row>
    <row r="551" spans="1:19" x14ac:dyDescent="0.2">
      <c r="A551" s="761">
        <v>2015</v>
      </c>
      <c r="B551" s="761">
        <v>5</v>
      </c>
      <c r="C551" s="796" t="s">
        <v>291</v>
      </c>
      <c r="D551" s="796"/>
      <c r="E551" s="796"/>
      <c r="F551" s="761">
        <v>4778</v>
      </c>
      <c r="G551" s="761" t="s">
        <v>1238</v>
      </c>
      <c r="H551" s="799">
        <v>0</v>
      </c>
      <c r="I551" s="799">
        <v>0</v>
      </c>
      <c r="J551" s="799">
        <v>69399</v>
      </c>
      <c r="K551" s="799">
        <v>11331</v>
      </c>
      <c r="L551" s="799">
        <v>0</v>
      </c>
      <c r="M551" s="799">
        <v>0</v>
      </c>
      <c r="N551" s="799">
        <v>30825</v>
      </c>
      <c r="O551" s="799">
        <v>15200</v>
      </c>
      <c r="P551" s="799">
        <v>10519</v>
      </c>
      <c r="Q551" s="799">
        <v>0</v>
      </c>
      <c r="R551" s="799">
        <v>6117</v>
      </c>
      <c r="S551" s="799">
        <v>12515</v>
      </c>
    </row>
    <row r="552" spans="1:19" x14ac:dyDescent="0.2">
      <c r="A552" s="761">
        <v>2015</v>
      </c>
      <c r="B552" s="761">
        <v>11</v>
      </c>
      <c r="C552" s="796" t="s">
        <v>292</v>
      </c>
      <c r="D552" s="796"/>
      <c r="E552" s="796"/>
      <c r="F552" s="761">
        <v>4779</v>
      </c>
      <c r="G552" s="761" t="s">
        <v>1239</v>
      </c>
      <c r="H552" s="799">
        <v>104948</v>
      </c>
      <c r="I552" s="799">
        <v>3515</v>
      </c>
      <c r="J552" s="799">
        <v>46196</v>
      </c>
      <c r="K552" s="799">
        <v>0</v>
      </c>
      <c r="L552" s="799">
        <v>0</v>
      </c>
      <c r="M552" s="799">
        <v>175506</v>
      </c>
      <c r="N552" s="799">
        <v>5374</v>
      </c>
      <c r="O552" s="799">
        <v>32096</v>
      </c>
      <c r="P552" s="799">
        <v>43844</v>
      </c>
      <c r="Q552" s="799">
        <v>0</v>
      </c>
      <c r="R552" s="799">
        <v>42208</v>
      </c>
      <c r="S552" s="799">
        <v>23312</v>
      </c>
    </row>
    <row r="553" spans="1:19" x14ac:dyDescent="0.2">
      <c r="A553" s="761">
        <v>2015</v>
      </c>
      <c r="B553" s="761">
        <v>9</v>
      </c>
      <c r="C553" s="796" t="s">
        <v>293</v>
      </c>
      <c r="D553" s="796"/>
      <c r="E553" s="796"/>
      <c r="F553" s="761">
        <v>4784</v>
      </c>
      <c r="G553" s="761" t="s">
        <v>1243</v>
      </c>
      <c r="H553" s="799">
        <v>16543</v>
      </c>
      <c r="I553" s="799">
        <v>0</v>
      </c>
      <c r="J553" s="799">
        <v>515</v>
      </c>
      <c r="K553" s="799">
        <v>85188</v>
      </c>
      <c r="L553" s="799">
        <v>0</v>
      </c>
      <c r="M553" s="799">
        <v>178443</v>
      </c>
      <c r="N553" s="799">
        <v>11852</v>
      </c>
      <c r="O553" s="799">
        <v>47092</v>
      </c>
      <c r="P553" s="799">
        <v>19892</v>
      </c>
      <c r="Q553" s="799">
        <v>27705</v>
      </c>
      <c r="R553" s="799">
        <v>0</v>
      </c>
      <c r="S553" s="799">
        <v>79700</v>
      </c>
    </row>
    <row r="554" spans="1:19" x14ac:dyDescent="0.2">
      <c r="A554" s="761">
        <v>2015</v>
      </c>
      <c r="B554" s="761">
        <v>7</v>
      </c>
      <c r="C554" s="796" t="s">
        <v>294</v>
      </c>
      <c r="D554" s="796"/>
      <c r="E554" s="796"/>
      <c r="F554" s="761">
        <v>4785</v>
      </c>
      <c r="G554" s="761" t="s">
        <v>1244</v>
      </c>
      <c r="H554" s="799">
        <v>848</v>
      </c>
      <c r="I554" s="799">
        <v>0</v>
      </c>
      <c r="J554" s="799">
        <v>86344</v>
      </c>
      <c r="K554" s="799">
        <v>76467</v>
      </c>
      <c r="L554" s="799">
        <v>0</v>
      </c>
      <c r="M554" s="799">
        <v>0</v>
      </c>
      <c r="N554" s="799">
        <v>14388</v>
      </c>
      <c r="O554" s="799">
        <v>20799</v>
      </c>
      <c r="P554" s="799">
        <v>43146</v>
      </c>
      <c r="Q554" s="799">
        <v>0</v>
      </c>
      <c r="R554" s="799">
        <v>6385</v>
      </c>
      <c r="S554" s="799">
        <v>27889</v>
      </c>
    </row>
    <row r="555" spans="1:19" x14ac:dyDescent="0.2">
      <c r="A555" s="761">
        <v>2015</v>
      </c>
      <c r="B555" s="761">
        <v>1</v>
      </c>
      <c r="C555" s="796" t="s">
        <v>295</v>
      </c>
      <c r="D555" s="796"/>
      <c r="E555" s="796"/>
      <c r="F555" s="761">
        <v>4787</v>
      </c>
      <c r="G555" s="761" t="s">
        <v>1245</v>
      </c>
      <c r="H555" s="799">
        <v>0</v>
      </c>
      <c r="I555" s="799">
        <v>0</v>
      </c>
      <c r="J555" s="799">
        <v>0</v>
      </c>
      <c r="K555" s="799">
        <v>0</v>
      </c>
      <c r="L555" s="799">
        <v>0</v>
      </c>
      <c r="M555" s="799">
        <v>0</v>
      </c>
      <c r="N555" s="799">
        <v>0</v>
      </c>
      <c r="O555" s="799">
        <v>0</v>
      </c>
      <c r="P555" s="799">
        <v>0</v>
      </c>
      <c r="Q555" s="799">
        <v>0</v>
      </c>
      <c r="R555" s="799">
        <v>0</v>
      </c>
      <c r="S555" s="799">
        <v>0</v>
      </c>
    </row>
    <row r="556" spans="1:19" x14ac:dyDescent="0.2">
      <c r="A556" s="761">
        <v>2015</v>
      </c>
      <c r="B556" s="761">
        <v>7</v>
      </c>
      <c r="C556" s="796" t="s">
        <v>296</v>
      </c>
      <c r="D556" s="796"/>
      <c r="E556" s="796"/>
      <c r="F556" s="761">
        <v>4788</v>
      </c>
      <c r="G556" s="761" t="s">
        <v>1246</v>
      </c>
      <c r="H556" s="799">
        <v>0</v>
      </c>
      <c r="I556" s="799">
        <v>0</v>
      </c>
      <c r="J556" s="799">
        <v>0</v>
      </c>
      <c r="K556" s="799">
        <v>0</v>
      </c>
      <c r="L556" s="799">
        <v>0</v>
      </c>
      <c r="M556" s="799">
        <v>47149</v>
      </c>
      <c r="N556" s="799">
        <v>26474</v>
      </c>
      <c r="O556" s="799">
        <v>35511</v>
      </c>
      <c r="P556" s="799">
        <v>20701</v>
      </c>
      <c r="Q556" s="799">
        <v>0</v>
      </c>
      <c r="R556" s="799">
        <v>2401</v>
      </c>
      <c r="S556" s="799">
        <v>31776</v>
      </c>
    </row>
    <row r="557" spans="1:19" x14ac:dyDescent="0.2">
      <c r="A557" s="761">
        <v>2015</v>
      </c>
      <c r="B557" s="761">
        <v>11</v>
      </c>
      <c r="C557" s="796" t="s">
        <v>297</v>
      </c>
      <c r="D557" s="796"/>
      <c r="E557" s="796"/>
      <c r="F557" s="761">
        <v>4797</v>
      </c>
      <c r="G557" s="761" t="s">
        <v>1247</v>
      </c>
      <c r="H557" s="799">
        <v>3568</v>
      </c>
      <c r="I557" s="799">
        <v>0</v>
      </c>
      <c r="J557" s="799">
        <v>114301</v>
      </c>
      <c r="K557" s="799">
        <v>18147</v>
      </c>
      <c r="L557" s="799">
        <v>0</v>
      </c>
      <c r="M557" s="799">
        <v>287245</v>
      </c>
      <c r="N557" s="799">
        <v>0</v>
      </c>
      <c r="O557" s="799">
        <v>0</v>
      </c>
      <c r="P557" s="799">
        <v>36007</v>
      </c>
      <c r="Q557" s="799">
        <v>0</v>
      </c>
      <c r="R557" s="799">
        <v>136459</v>
      </c>
      <c r="S557" s="799">
        <v>55913</v>
      </c>
    </row>
    <row r="558" spans="1:19" x14ac:dyDescent="0.2">
      <c r="A558" s="761">
        <v>2015</v>
      </c>
      <c r="B558" s="761">
        <v>13</v>
      </c>
      <c r="C558" s="796" t="s">
        <v>298</v>
      </c>
      <c r="D558" s="796"/>
      <c r="E558" s="796"/>
      <c r="F558" s="761">
        <v>5510</v>
      </c>
      <c r="G558" s="761" t="s">
        <v>1248</v>
      </c>
      <c r="H558" s="799">
        <v>0</v>
      </c>
      <c r="I558" s="799">
        <v>17982</v>
      </c>
      <c r="J558" s="799">
        <v>29351</v>
      </c>
      <c r="K558" s="799">
        <v>62377</v>
      </c>
      <c r="L558" s="799">
        <v>0</v>
      </c>
      <c r="M558" s="799">
        <v>0</v>
      </c>
      <c r="N558" s="799">
        <v>0</v>
      </c>
      <c r="O558" s="799">
        <v>2877</v>
      </c>
      <c r="P558" s="799">
        <v>23281</v>
      </c>
      <c r="Q558" s="799">
        <v>0</v>
      </c>
      <c r="R558" s="799">
        <v>6827</v>
      </c>
      <c r="S558" s="799">
        <v>16700</v>
      </c>
    </row>
    <row r="559" spans="1:19" x14ac:dyDescent="0.2">
      <c r="A559" s="761">
        <v>2015</v>
      </c>
      <c r="B559" s="761">
        <v>5</v>
      </c>
      <c r="C559" s="796" t="s">
        <v>299</v>
      </c>
      <c r="D559" s="796"/>
      <c r="E559" s="796"/>
      <c r="F559" s="761">
        <v>4860</v>
      </c>
      <c r="G559" s="761" t="s">
        <v>1249</v>
      </c>
      <c r="H559" s="799">
        <v>0</v>
      </c>
      <c r="I559" s="799">
        <v>0</v>
      </c>
      <c r="J559" s="799">
        <v>101171</v>
      </c>
      <c r="K559" s="799">
        <v>0</v>
      </c>
      <c r="L559" s="799">
        <v>0</v>
      </c>
      <c r="M559" s="799">
        <v>0</v>
      </c>
      <c r="N559" s="799">
        <v>29731</v>
      </c>
      <c r="O559" s="799">
        <v>7504</v>
      </c>
      <c r="P559" s="799">
        <v>10235</v>
      </c>
      <c r="Q559" s="799">
        <v>0</v>
      </c>
      <c r="R559" s="799">
        <v>1986</v>
      </c>
      <c r="S559" s="799">
        <v>21956</v>
      </c>
    </row>
    <row r="560" spans="1:19" x14ac:dyDescent="0.2">
      <c r="A560" s="761">
        <v>2015</v>
      </c>
      <c r="B560" s="761">
        <v>1</v>
      </c>
      <c r="C560" s="796" t="s">
        <v>300</v>
      </c>
      <c r="D560" s="796"/>
      <c r="E560" s="796"/>
      <c r="F560" s="761">
        <v>4869</v>
      </c>
      <c r="G560" s="761" t="s">
        <v>1250</v>
      </c>
      <c r="H560" s="799">
        <v>0</v>
      </c>
      <c r="I560" s="799">
        <v>0</v>
      </c>
      <c r="J560" s="799">
        <v>34600</v>
      </c>
      <c r="K560" s="799">
        <v>49498</v>
      </c>
      <c r="L560" s="799">
        <v>0</v>
      </c>
      <c r="M560" s="799">
        <v>202367</v>
      </c>
      <c r="N560" s="799">
        <v>104730</v>
      </c>
      <c r="O560" s="799">
        <v>0</v>
      </c>
      <c r="P560" s="799">
        <v>15001</v>
      </c>
      <c r="Q560" s="799">
        <v>0</v>
      </c>
      <c r="R560" s="799">
        <v>28431</v>
      </c>
      <c r="S560" s="799">
        <v>255088</v>
      </c>
    </row>
    <row r="561" spans="1:19" x14ac:dyDescent="0.2">
      <c r="A561" s="761">
        <v>2015</v>
      </c>
      <c r="B561" s="761">
        <v>11</v>
      </c>
      <c r="C561" s="796" t="s">
        <v>301</v>
      </c>
      <c r="D561" s="796"/>
      <c r="E561" s="796"/>
      <c r="F561" s="761">
        <v>4878</v>
      </c>
      <c r="G561" s="761" t="s">
        <v>1251</v>
      </c>
      <c r="H561" s="799">
        <v>83158</v>
      </c>
      <c r="I561" s="799">
        <v>34503</v>
      </c>
      <c r="J561" s="799">
        <v>97231</v>
      </c>
      <c r="K561" s="799">
        <v>130959</v>
      </c>
      <c r="L561" s="799">
        <v>0</v>
      </c>
      <c r="M561" s="799">
        <v>0</v>
      </c>
      <c r="N561" s="799">
        <v>11076</v>
      </c>
      <c r="O561" s="799">
        <v>49446</v>
      </c>
      <c r="P561" s="799">
        <v>56535</v>
      </c>
      <c r="Q561" s="799">
        <v>4431</v>
      </c>
      <c r="R561" s="799">
        <v>1618</v>
      </c>
      <c r="S561" s="799">
        <v>32298</v>
      </c>
    </row>
    <row r="562" spans="1:19" x14ac:dyDescent="0.2">
      <c r="A562" s="761">
        <v>2015</v>
      </c>
      <c r="B562" s="761">
        <v>5</v>
      </c>
      <c r="C562" s="796" t="s">
        <v>302</v>
      </c>
      <c r="D562" s="796"/>
      <c r="E562" s="796"/>
      <c r="F562" s="761">
        <v>4890</v>
      </c>
      <c r="G562" s="761" t="s">
        <v>1252</v>
      </c>
      <c r="H562" s="799">
        <v>0</v>
      </c>
      <c r="I562" s="799">
        <v>0</v>
      </c>
      <c r="J562" s="799">
        <v>0</v>
      </c>
      <c r="K562" s="799">
        <v>11471</v>
      </c>
      <c r="L562" s="799">
        <v>0</v>
      </c>
      <c r="M562" s="799">
        <v>290820</v>
      </c>
      <c r="N562" s="799">
        <v>97694</v>
      </c>
      <c r="O562" s="799">
        <v>46154</v>
      </c>
      <c r="P562" s="799">
        <v>8795</v>
      </c>
      <c r="Q562" s="799">
        <v>0</v>
      </c>
      <c r="R562" s="799">
        <v>0</v>
      </c>
      <c r="S562" s="799">
        <v>33499</v>
      </c>
    </row>
    <row r="563" spans="1:19" x14ac:dyDescent="0.2">
      <c r="A563" s="761">
        <v>2015</v>
      </c>
      <c r="B563" s="761">
        <v>10</v>
      </c>
      <c r="C563" s="796" t="s">
        <v>303</v>
      </c>
      <c r="D563" s="796"/>
      <c r="E563" s="796"/>
      <c r="F563" s="761">
        <v>4905</v>
      </c>
      <c r="G563" s="761" t="s">
        <v>1253</v>
      </c>
      <c r="H563" s="799">
        <v>5193</v>
      </c>
      <c r="I563" s="799">
        <v>0</v>
      </c>
      <c r="J563" s="799">
        <v>85403</v>
      </c>
      <c r="K563" s="799">
        <v>33041</v>
      </c>
      <c r="L563" s="799">
        <v>0</v>
      </c>
      <c r="M563" s="799">
        <v>0</v>
      </c>
      <c r="N563" s="799">
        <v>148221</v>
      </c>
      <c r="O563" s="799">
        <v>4139</v>
      </c>
      <c r="P563" s="799">
        <v>2897</v>
      </c>
      <c r="Q563" s="799">
        <v>0</v>
      </c>
      <c r="R563" s="799">
        <v>5037</v>
      </c>
      <c r="S563" s="799">
        <v>17161</v>
      </c>
    </row>
    <row r="564" spans="1:19" x14ac:dyDescent="0.2">
      <c r="A564" s="761">
        <v>2015</v>
      </c>
      <c r="B564" s="761">
        <v>13</v>
      </c>
      <c r="C564" s="796" t="s">
        <v>304</v>
      </c>
      <c r="D564" s="796"/>
      <c r="E564" s="796"/>
      <c r="F564" s="761">
        <v>4978</v>
      </c>
      <c r="G564" s="761" t="s">
        <v>1254</v>
      </c>
      <c r="H564" s="799">
        <v>0</v>
      </c>
      <c r="I564" s="799">
        <v>0</v>
      </c>
      <c r="J564" s="799">
        <v>0</v>
      </c>
      <c r="K564" s="799">
        <v>0</v>
      </c>
      <c r="L564" s="799">
        <v>9679</v>
      </c>
      <c r="M564" s="799">
        <v>5854</v>
      </c>
      <c r="N564" s="799">
        <v>0</v>
      </c>
      <c r="O564" s="799">
        <v>22908</v>
      </c>
      <c r="P564" s="799">
        <v>13345</v>
      </c>
      <c r="Q564" s="799">
        <v>0</v>
      </c>
      <c r="R564" s="799">
        <v>5271</v>
      </c>
      <c r="S564" s="799">
        <v>24754</v>
      </c>
    </row>
    <row r="565" spans="1:19" x14ac:dyDescent="0.2">
      <c r="A565" s="761">
        <v>2015</v>
      </c>
      <c r="B565" s="761">
        <v>7</v>
      </c>
      <c r="C565" s="796" t="s">
        <v>305</v>
      </c>
      <c r="D565" s="796"/>
      <c r="E565" s="796"/>
      <c r="F565" s="761">
        <v>4995</v>
      </c>
      <c r="G565" s="761" t="s">
        <v>1255</v>
      </c>
      <c r="H565" s="799">
        <v>0</v>
      </c>
      <c r="I565" s="799">
        <v>0</v>
      </c>
      <c r="J565" s="799">
        <v>0</v>
      </c>
      <c r="K565" s="799">
        <v>111481</v>
      </c>
      <c r="L565" s="799">
        <v>0</v>
      </c>
      <c r="M565" s="799">
        <v>0</v>
      </c>
      <c r="N565" s="799">
        <v>11739</v>
      </c>
      <c r="O565" s="799">
        <v>151278</v>
      </c>
      <c r="P565" s="799">
        <v>88954</v>
      </c>
      <c r="Q565" s="799">
        <v>0</v>
      </c>
      <c r="R565" s="799">
        <v>8471</v>
      </c>
      <c r="S565" s="799">
        <v>37502</v>
      </c>
    </row>
    <row r="566" spans="1:19" x14ac:dyDescent="0.2">
      <c r="A566" s="761">
        <v>2015</v>
      </c>
      <c r="B566" s="761">
        <v>15</v>
      </c>
      <c r="C566" s="796" t="s">
        <v>306</v>
      </c>
      <c r="D566" s="796"/>
      <c r="E566" s="796"/>
      <c r="F566" s="761">
        <v>5013</v>
      </c>
      <c r="G566" s="761" t="s">
        <v>1256</v>
      </c>
      <c r="H566" s="799">
        <v>0</v>
      </c>
      <c r="I566" s="799">
        <v>0</v>
      </c>
      <c r="J566" s="799">
        <v>0</v>
      </c>
      <c r="K566" s="799">
        <v>106433</v>
      </c>
      <c r="L566" s="799">
        <v>0</v>
      </c>
      <c r="M566" s="799">
        <v>36089</v>
      </c>
      <c r="N566" s="799">
        <v>26320</v>
      </c>
      <c r="O566" s="799">
        <v>51137</v>
      </c>
      <c r="P566" s="799">
        <v>38892</v>
      </c>
      <c r="Q566" s="799">
        <v>4</v>
      </c>
      <c r="R566" s="799">
        <v>0</v>
      </c>
      <c r="S566" s="799">
        <v>78977</v>
      </c>
    </row>
    <row r="567" spans="1:19" x14ac:dyDescent="0.2">
      <c r="A567" s="761">
        <v>2015</v>
      </c>
      <c r="B567" s="761">
        <v>15</v>
      </c>
      <c r="C567" s="796" t="s">
        <v>307</v>
      </c>
      <c r="D567" s="796"/>
      <c r="E567" s="796"/>
      <c r="F567" s="761">
        <v>5049</v>
      </c>
      <c r="G567" s="761" t="s">
        <v>1257</v>
      </c>
      <c r="H567" s="799">
        <v>97206</v>
      </c>
      <c r="I567" s="799">
        <v>0</v>
      </c>
      <c r="J567" s="799">
        <v>0</v>
      </c>
      <c r="K567" s="799">
        <v>244651</v>
      </c>
      <c r="L567" s="799">
        <v>0</v>
      </c>
      <c r="M567" s="799">
        <v>111369</v>
      </c>
      <c r="N567" s="799">
        <v>167490</v>
      </c>
      <c r="O567" s="799">
        <v>3429</v>
      </c>
      <c r="P567" s="799">
        <v>283296</v>
      </c>
      <c r="Q567" s="799">
        <v>105957</v>
      </c>
      <c r="R567" s="799">
        <v>15173</v>
      </c>
      <c r="S567" s="799">
        <v>571885</v>
      </c>
    </row>
    <row r="568" spans="1:19" x14ac:dyDescent="0.2">
      <c r="A568" s="761">
        <v>2015</v>
      </c>
      <c r="B568" s="761">
        <v>11</v>
      </c>
      <c r="C568" s="796" t="s">
        <v>308</v>
      </c>
      <c r="D568" s="796"/>
      <c r="E568" s="796"/>
      <c r="F568" s="761">
        <v>5121</v>
      </c>
      <c r="G568" s="761" t="s">
        <v>1258</v>
      </c>
      <c r="H568" s="799">
        <v>0</v>
      </c>
      <c r="I568" s="799">
        <v>0</v>
      </c>
      <c r="J568" s="799">
        <v>0</v>
      </c>
      <c r="K568" s="799">
        <v>57499</v>
      </c>
      <c r="L568" s="799">
        <v>0</v>
      </c>
      <c r="M568" s="799">
        <v>12291</v>
      </c>
      <c r="N568" s="799">
        <v>5073</v>
      </c>
      <c r="O568" s="799">
        <v>791</v>
      </c>
      <c r="P568" s="799">
        <v>13624</v>
      </c>
      <c r="Q568" s="799">
        <v>0</v>
      </c>
      <c r="R568" s="799">
        <v>21842</v>
      </c>
      <c r="S568" s="799">
        <v>17907</v>
      </c>
    </row>
    <row r="569" spans="1:19" x14ac:dyDescent="0.2">
      <c r="A569" s="761">
        <v>2015</v>
      </c>
      <c r="B569" s="761">
        <v>5</v>
      </c>
      <c r="C569" s="796" t="s">
        <v>309</v>
      </c>
      <c r="D569" s="796"/>
      <c r="E569" s="796"/>
      <c r="F569" s="761">
        <v>5139</v>
      </c>
      <c r="G569" s="761" t="s">
        <v>1259</v>
      </c>
      <c r="H569" s="799">
        <v>0</v>
      </c>
      <c r="I569" s="799">
        <v>0</v>
      </c>
      <c r="J569" s="799">
        <v>0</v>
      </c>
      <c r="K569" s="799">
        <v>0</v>
      </c>
      <c r="L569" s="799">
        <v>0</v>
      </c>
      <c r="M569" s="799">
        <v>0</v>
      </c>
      <c r="N569" s="799">
        <v>0</v>
      </c>
      <c r="O569" s="799">
        <v>0</v>
      </c>
      <c r="P569" s="799">
        <v>0</v>
      </c>
      <c r="Q569" s="799">
        <v>0</v>
      </c>
      <c r="R569" s="799">
        <v>0</v>
      </c>
      <c r="S569" s="799">
        <v>0</v>
      </c>
    </row>
    <row r="570" spans="1:19" x14ac:dyDescent="0.2">
      <c r="A570" s="761">
        <v>2015</v>
      </c>
      <c r="B570" s="761">
        <v>12</v>
      </c>
      <c r="C570" s="796" t="s">
        <v>310</v>
      </c>
      <c r="D570" s="796"/>
      <c r="E570" s="796"/>
      <c r="F570" s="761">
        <v>6099</v>
      </c>
      <c r="G570" s="761" t="s">
        <v>646</v>
      </c>
      <c r="H570" s="799">
        <v>0</v>
      </c>
      <c r="I570" s="799">
        <v>0</v>
      </c>
      <c r="J570" s="799">
        <v>0</v>
      </c>
      <c r="K570" s="799">
        <v>75336</v>
      </c>
      <c r="L570" s="799">
        <v>0</v>
      </c>
      <c r="M570" s="799">
        <v>16532</v>
      </c>
      <c r="N570" s="799">
        <v>12769</v>
      </c>
      <c r="O570" s="799">
        <v>8455</v>
      </c>
      <c r="P570" s="799">
        <v>14712</v>
      </c>
      <c r="Q570" s="799">
        <v>0</v>
      </c>
      <c r="R570" s="799">
        <v>1734</v>
      </c>
      <c r="S570" s="799">
        <v>35888</v>
      </c>
    </row>
    <row r="571" spans="1:19" x14ac:dyDescent="0.2">
      <c r="A571" s="761">
        <v>2015</v>
      </c>
      <c r="B571" s="761">
        <v>15</v>
      </c>
      <c r="C571" s="796" t="s">
        <v>311</v>
      </c>
      <c r="D571" s="796"/>
      <c r="E571" s="796"/>
      <c r="F571" s="761">
        <v>5163</v>
      </c>
      <c r="G571" s="761" t="s">
        <v>1260</v>
      </c>
      <c r="H571" s="799">
        <v>0</v>
      </c>
      <c r="I571" s="799">
        <v>0</v>
      </c>
      <c r="J571" s="799">
        <v>0</v>
      </c>
      <c r="K571" s="799">
        <v>133930</v>
      </c>
      <c r="L571" s="799">
        <v>0</v>
      </c>
      <c r="M571" s="799">
        <v>60800</v>
      </c>
      <c r="N571" s="799">
        <v>0</v>
      </c>
      <c r="O571" s="799">
        <v>51111</v>
      </c>
      <c r="P571" s="799">
        <v>44172</v>
      </c>
      <c r="Q571" s="799">
        <v>0</v>
      </c>
      <c r="R571" s="799">
        <v>5062</v>
      </c>
      <c r="S571" s="799">
        <v>19120</v>
      </c>
    </row>
    <row r="572" spans="1:19" x14ac:dyDescent="0.2">
      <c r="A572" s="761">
        <v>2015</v>
      </c>
      <c r="B572" s="761">
        <v>11</v>
      </c>
      <c r="C572" s="796" t="s">
        <v>312</v>
      </c>
      <c r="D572" s="796"/>
      <c r="E572" s="796"/>
      <c r="F572" s="761">
        <v>5166</v>
      </c>
      <c r="G572" s="761" t="s">
        <v>1261</v>
      </c>
      <c r="H572" s="799">
        <v>0</v>
      </c>
      <c r="I572" s="799">
        <v>0</v>
      </c>
      <c r="J572" s="799">
        <v>0</v>
      </c>
      <c r="K572" s="799">
        <v>197736</v>
      </c>
      <c r="L572" s="799">
        <v>0</v>
      </c>
      <c r="M572" s="799">
        <v>98786</v>
      </c>
      <c r="N572" s="799">
        <v>103041</v>
      </c>
      <c r="O572" s="799">
        <v>157516</v>
      </c>
      <c r="P572" s="799">
        <v>114082</v>
      </c>
      <c r="Q572" s="799">
        <v>0</v>
      </c>
      <c r="R572" s="799">
        <v>0</v>
      </c>
      <c r="S572" s="799">
        <v>0</v>
      </c>
    </row>
    <row r="573" spans="1:19" x14ac:dyDescent="0.2">
      <c r="A573" s="761">
        <v>2015</v>
      </c>
      <c r="B573" s="761">
        <v>11</v>
      </c>
      <c r="C573" s="796" t="s">
        <v>313</v>
      </c>
      <c r="D573" s="796"/>
      <c r="E573" s="796"/>
      <c r="F573" s="761">
        <v>5184</v>
      </c>
      <c r="G573" s="761" t="s">
        <v>1262</v>
      </c>
      <c r="H573" s="799">
        <v>0</v>
      </c>
      <c r="I573" s="799">
        <v>167704</v>
      </c>
      <c r="J573" s="799">
        <v>0</v>
      </c>
      <c r="K573" s="799">
        <v>135269</v>
      </c>
      <c r="L573" s="799">
        <v>0</v>
      </c>
      <c r="M573" s="799">
        <v>0</v>
      </c>
      <c r="N573" s="799">
        <v>0</v>
      </c>
      <c r="O573" s="799">
        <v>34145</v>
      </c>
      <c r="P573" s="799">
        <v>91335</v>
      </c>
      <c r="Q573" s="799">
        <v>0</v>
      </c>
      <c r="R573" s="799">
        <v>5655</v>
      </c>
      <c r="S573" s="799">
        <v>61491</v>
      </c>
    </row>
    <row r="574" spans="1:19" x14ac:dyDescent="0.2">
      <c r="A574" s="761">
        <v>2015</v>
      </c>
      <c r="B574" s="761">
        <v>9</v>
      </c>
      <c r="C574" s="796" t="s">
        <v>314</v>
      </c>
      <c r="D574" s="796"/>
      <c r="E574" s="796"/>
      <c r="F574" s="761">
        <v>5250</v>
      </c>
      <c r="G574" s="761" t="s">
        <v>1263</v>
      </c>
      <c r="H574" s="799">
        <v>0</v>
      </c>
      <c r="I574" s="799">
        <v>0</v>
      </c>
      <c r="J574" s="799">
        <v>0</v>
      </c>
      <c r="K574" s="799">
        <v>0</v>
      </c>
      <c r="L574" s="799">
        <v>0</v>
      </c>
      <c r="M574" s="799">
        <v>155176</v>
      </c>
      <c r="N574" s="799">
        <v>0</v>
      </c>
      <c r="O574" s="799">
        <v>0</v>
      </c>
      <c r="P574" s="799">
        <v>177395</v>
      </c>
      <c r="Q574" s="799">
        <v>0</v>
      </c>
      <c r="R574" s="799">
        <v>0</v>
      </c>
      <c r="S574" s="799">
        <v>47383</v>
      </c>
    </row>
    <row r="575" spans="1:19" x14ac:dyDescent="0.2">
      <c r="A575" s="761">
        <v>2015</v>
      </c>
      <c r="B575" s="761">
        <v>11</v>
      </c>
      <c r="C575" s="796" t="s">
        <v>315</v>
      </c>
      <c r="D575" s="796"/>
      <c r="E575" s="796"/>
      <c r="F575" s="761">
        <v>5256</v>
      </c>
      <c r="G575" s="761" t="s">
        <v>1264</v>
      </c>
      <c r="H575" s="799">
        <v>0</v>
      </c>
      <c r="I575" s="799">
        <v>0</v>
      </c>
      <c r="J575" s="799">
        <v>0</v>
      </c>
      <c r="K575" s="799">
        <v>0</v>
      </c>
      <c r="L575" s="799">
        <v>0</v>
      </c>
      <c r="M575" s="799">
        <v>0</v>
      </c>
      <c r="N575" s="799">
        <v>0</v>
      </c>
      <c r="O575" s="799">
        <v>0</v>
      </c>
      <c r="P575" s="799">
        <v>0</v>
      </c>
      <c r="Q575" s="799">
        <v>0</v>
      </c>
      <c r="R575" s="799">
        <v>7360</v>
      </c>
      <c r="S575" s="799">
        <v>777</v>
      </c>
    </row>
    <row r="576" spans="1:19" x14ac:dyDescent="0.2">
      <c r="A576" s="761">
        <v>2015</v>
      </c>
      <c r="B576" s="761">
        <v>5</v>
      </c>
      <c r="C576" s="796" t="s">
        <v>316</v>
      </c>
      <c r="D576" s="796"/>
      <c r="E576" s="796"/>
      <c r="F576" s="761">
        <v>5283</v>
      </c>
      <c r="G576" s="761" t="s">
        <v>647</v>
      </c>
      <c r="H576" s="799">
        <v>0</v>
      </c>
      <c r="I576" s="799">
        <v>0</v>
      </c>
      <c r="J576" s="799">
        <v>0</v>
      </c>
      <c r="K576" s="799">
        <v>0</v>
      </c>
      <c r="L576" s="799">
        <v>0</v>
      </c>
      <c r="M576" s="799">
        <v>0</v>
      </c>
      <c r="N576" s="799">
        <v>22843</v>
      </c>
      <c r="O576" s="799">
        <v>5349</v>
      </c>
      <c r="P576" s="799">
        <v>5449</v>
      </c>
      <c r="Q576" s="799">
        <v>0</v>
      </c>
      <c r="R576" s="799">
        <v>0</v>
      </c>
      <c r="S576" s="799">
        <v>7153</v>
      </c>
    </row>
    <row r="577" spans="1:19" x14ac:dyDescent="0.2">
      <c r="A577" s="761">
        <v>2015</v>
      </c>
      <c r="B577" s="761">
        <v>1</v>
      </c>
      <c r="C577" s="796" t="s">
        <v>317</v>
      </c>
      <c r="D577" s="796"/>
      <c r="E577" s="796"/>
      <c r="F577" s="761">
        <v>5310</v>
      </c>
      <c r="G577" s="761" t="s">
        <v>1265</v>
      </c>
      <c r="H577" s="799">
        <v>304137</v>
      </c>
      <c r="I577" s="799">
        <v>232628</v>
      </c>
      <c r="J577" s="799">
        <v>250603</v>
      </c>
      <c r="K577" s="799">
        <v>49877</v>
      </c>
      <c r="L577" s="799">
        <v>11444</v>
      </c>
      <c r="M577" s="799">
        <v>10590</v>
      </c>
      <c r="N577" s="799">
        <v>44602</v>
      </c>
      <c r="O577" s="799">
        <v>5803</v>
      </c>
      <c r="P577" s="799">
        <v>27589</v>
      </c>
      <c r="Q577" s="799">
        <v>3077</v>
      </c>
      <c r="R577" s="799">
        <v>5303</v>
      </c>
      <c r="S577" s="799">
        <v>137330</v>
      </c>
    </row>
    <row r="578" spans="1:19" x14ac:dyDescent="0.2">
      <c r="A578" s="761">
        <v>2015</v>
      </c>
      <c r="B578" s="761">
        <v>11</v>
      </c>
      <c r="C578" s="796" t="s">
        <v>318</v>
      </c>
      <c r="D578" s="796"/>
      <c r="E578" s="796"/>
      <c r="F578" s="761">
        <v>5160</v>
      </c>
      <c r="G578" s="761" t="s">
        <v>648</v>
      </c>
      <c r="H578" s="799">
        <v>1203</v>
      </c>
      <c r="I578" s="799">
        <v>1401</v>
      </c>
      <c r="J578" s="799">
        <v>11387</v>
      </c>
      <c r="K578" s="799">
        <v>47641</v>
      </c>
      <c r="L578" s="799">
        <v>0</v>
      </c>
      <c r="M578" s="799">
        <v>94188</v>
      </c>
      <c r="N578" s="799">
        <v>356</v>
      </c>
      <c r="O578" s="799">
        <v>58565</v>
      </c>
      <c r="P578" s="799">
        <v>30493</v>
      </c>
      <c r="Q578" s="799">
        <v>0</v>
      </c>
      <c r="R578" s="799">
        <v>8805</v>
      </c>
      <c r="S578" s="799">
        <v>8098</v>
      </c>
    </row>
    <row r="579" spans="1:19" x14ac:dyDescent="0.2">
      <c r="A579" s="761">
        <v>2015</v>
      </c>
      <c r="B579" s="761">
        <v>5</v>
      </c>
      <c r="C579" s="796" t="s">
        <v>319</v>
      </c>
      <c r="D579" s="796"/>
      <c r="E579" s="796"/>
      <c r="F579" s="761">
        <v>5325</v>
      </c>
      <c r="G579" s="761" t="s">
        <v>649</v>
      </c>
      <c r="H579" s="799">
        <v>6626</v>
      </c>
      <c r="I579" s="799">
        <v>2591</v>
      </c>
      <c r="J579" s="799">
        <v>0</v>
      </c>
      <c r="K579" s="799">
        <v>0</v>
      </c>
      <c r="L579" s="799">
        <v>0</v>
      </c>
      <c r="M579" s="799">
        <v>36755</v>
      </c>
      <c r="N579" s="799">
        <v>0</v>
      </c>
      <c r="O579" s="799">
        <v>52538</v>
      </c>
      <c r="P579" s="799">
        <v>25860</v>
      </c>
      <c r="Q579" s="799">
        <v>0</v>
      </c>
      <c r="R579" s="799">
        <v>4579</v>
      </c>
      <c r="S579" s="799">
        <v>16650</v>
      </c>
    </row>
    <row r="580" spans="1:19" x14ac:dyDescent="0.2">
      <c r="A580" s="761">
        <v>2015</v>
      </c>
      <c r="B580" s="761">
        <v>13</v>
      </c>
      <c r="C580" s="796" t="s">
        <v>320</v>
      </c>
      <c r="D580" s="796"/>
      <c r="E580" s="796"/>
      <c r="F580" s="761">
        <v>5463</v>
      </c>
      <c r="G580" s="761" t="s">
        <v>1266</v>
      </c>
      <c r="H580" s="799">
        <v>3027</v>
      </c>
      <c r="I580" s="799">
        <v>0</v>
      </c>
      <c r="J580" s="799">
        <v>0</v>
      </c>
      <c r="K580" s="799">
        <v>34771</v>
      </c>
      <c r="L580" s="799">
        <v>0</v>
      </c>
      <c r="M580" s="799">
        <v>125224</v>
      </c>
      <c r="N580" s="799">
        <v>52688</v>
      </c>
      <c r="O580" s="799">
        <v>0</v>
      </c>
      <c r="P580" s="799">
        <v>28664</v>
      </c>
      <c r="Q580" s="799">
        <v>0</v>
      </c>
      <c r="R580" s="799">
        <v>0</v>
      </c>
      <c r="S580" s="799">
        <v>78539</v>
      </c>
    </row>
    <row r="581" spans="1:19" x14ac:dyDescent="0.2">
      <c r="A581" s="761">
        <v>2015</v>
      </c>
      <c r="B581" s="761">
        <v>12</v>
      </c>
      <c r="C581" s="796" t="s">
        <v>321</v>
      </c>
      <c r="D581" s="796"/>
      <c r="E581" s="796"/>
      <c r="F581" s="761">
        <v>5486</v>
      </c>
      <c r="G581" s="761" t="s">
        <v>1267</v>
      </c>
      <c r="H581" s="799">
        <v>0</v>
      </c>
      <c r="I581" s="799">
        <v>0</v>
      </c>
      <c r="J581" s="799">
        <v>0</v>
      </c>
      <c r="K581" s="799">
        <v>0</v>
      </c>
      <c r="L581" s="799">
        <v>46044</v>
      </c>
      <c r="M581" s="799">
        <v>0</v>
      </c>
      <c r="N581" s="799">
        <v>1314</v>
      </c>
      <c r="O581" s="799">
        <v>2000</v>
      </c>
      <c r="P581" s="799">
        <v>0</v>
      </c>
      <c r="Q581" s="799">
        <v>0</v>
      </c>
      <c r="R581" s="799">
        <v>0</v>
      </c>
      <c r="S581" s="799">
        <v>0</v>
      </c>
    </row>
    <row r="582" spans="1:19" x14ac:dyDescent="0.2">
      <c r="A582" s="761">
        <v>2015</v>
      </c>
      <c r="B582" s="761">
        <v>1</v>
      </c>
      <c r="C582" s="796" t="s">
        <v>322</v>
      </c>
      <c r="D582" s="796"/>
      <c r="E582" s="796"/>
      <c r="F582" s="761">
        <v>5508</v>
      </c>
      <c r="G582" s="761" t="s">
        <v>1268</v>
      </c>
      <c r="H582" s="799">
        <v>0</v>
      </c>
      <c r="I582" s="799">
        <v>0</v>
      </c>
      <c r="J582" s="799">
        <v>661</v>
      </c>
      <c r="K582" s="799">
        <v>0</v>
      </c>
      <c r="L582" s="799">
        <v>0</v>
      </c>
      <c r="M582" s="799">
        <v>0</v>
      </c>
      <c r="N582" s="799">
        <v>9600</v>
      </c>
      <c r="O582" s="799">
        <v>38422</v>
      </c>
      <c r="P582" s="799">
        <v>26791</v>
      </c>
      <c r="Q582" s="799">
        <v>0</v>
      </c>
      <c r="R582" s="799">
        <v>6082</v>
      </c>
      <c r="S582" s="799">
        <v>8465</v>
      </c>
    </row>
    <row r="583" spans="1:19" x14ac:dyDescent="0.2">
      <c r="A583" s="761">
        <v>2015</v>
      </c>
      <c r="B583" s="761">
        <v>12</v>
      </c>
      <c r="C583" s="796" t="s">
        <v>323</v>
      </c>
      <c r="D583" s="796"/>
      <c r="E583" s="796"/>
      <c r="F583" s="761">
        <v>5607</v>
      </c>
      <c r="G583" s="761" t="s">
        <v>1269</v>
      </c>
      <c r="H583" s="799">
        <v>0</v>
      </c>
      <c r="I583" s="799">
        <v>108661</v>
      </c>
      <c r="J583" s="799">
        <v>0</v>
      </c>
      <c r="K583" s="799">
        <v>92969</v>
      </c>
      <c r="L583" s="799">
        <v>33265</v>
      </c>
      <c r="M583" s="799">
        <v>102455</v>
      </c>
      <c r="N583" s="799">
        <v>30128</v>
      </c>
      <c r="O583" s="799">
        <v>301</v>
      </c>
      <c r="P583" s="799">
        <v>13745</v>
      </c>
      <c r="Q583" s="799">
        <v>0</v>
      </c>
      <c r="R583" s="799">
        <v>30063</v>
      </c>
      <c r="S583" s="799">
        <v>11845</v>
      </c>
    </row>
    <row r="584" spans="1:19" x14ac:dyDescent="0.2">
      <c r="A584" s="761">
        <v>2015</v>
      </c>
      <c r="B584" s="761">
        <v>11</v>
      </c>
      <c r="C584" s="796" t="s">
        <v>324</v>
      </c>
      <c r="D584" s="796"/>
      <c r="E584" s="796"/>
      <c r="F584" s="761">
        <v>5643</v>
      </c>
      <c r="G584" s="761" t="s">
        <v>1270</v>
      </c>
      <c r="H584" s="799">
        <v>4421</v>
      </c>
      <c r="I584" s="799">
        <v>0</v>
      </c>
      <c r="J584" s="799">
        <v>0</v>
      </c>
      <c r="K584" s="799">
        <v>0</v>
      </c>
      <c r="L584" s="799">
        <v>0</v>
      </c>
      <c r="M584" s="799">
        <v>24989</v>
      </c>
      <c r="N584" s="799">
        <v>40502</v>
      </c>
      <c r="O584" s="799">
        <v>16013</v>
      </c>
      <c r="P584" s="799">
        <v>2436</v>
      </c>
      <c r="Q584" s="799">
        <v>0</v>
      </c>
      <c r="R584" s="799">
        <v>38960</v>
      </c>
      <c r="S584" s="799">
        <v>31061</v>
      </c>
    </row>
    <row r="585" spans="1:19" x14ac:dyDescent="0.2">
      <c r="A585" s="761">
        <v>2015</v>
      </c>
      <c r="B585" s="761">
        <v>7</v>
      </c>
      <c r="C585" s="796" t="s">
        <v>325</v>
      </c>
      <c r="D585" s="796"/>
      <c r="E585" s="796"/>
      <c r="F585" s="761">
        <v>5697</v>
      </c>
      <c r="G585" s="761" t="s">
        <v>1271</v>
      </c>
      <c r="H585" s="799">
        <v>0</v>
      </c>
      <c r="I585" s="799">
        <v>0</v>
      </c>
      <c r="J585" s="799">
        <v>70312</v>
      </c>
      <c r="K585" s="799">
        <v>0</v>
      </c>
      <c r="L585" s="799">
        <v>0</v>
      </c>
      <c r="M585" s="799">
        <v>0</v>
      </c>
      <c r="N585" s="799">
        <v>0</v>
      </c>
      <c r="O585" s="799">
        <v>7710</v>
      </c>
      <c r="P585" s="799">
        <v>2636</v>
      </c>
      <c r="Q585" s="799">
        <v>0</v>
      </c>
      <c r="R585" s="799">
        <v>1560</v>
      </c>
      <c r="S585" s="799">
        <v>18735</v>
      </c>
    </row>
    <row r="586" spans="1:19" x14ac:dyDescent="0.2">
      <c r="A586" s="761">
        <v>2015</v>
      </c>
      <c r="B586" s="761">
        <v>5</v>
      </c>
      <c r="C586" s="796" t="s">
        <v>326</v>
      </c>
      <c r="D586" s="796"/>
      <c r="E586" s="796"/>
      <c r="F586" s="761">
        <v>5724</v>
      </c>
      <c r="G586" s="761" t="s">
        <v>1272</v>
      </c>
      <c r="H586" s="799">
        <v>0</v>
      </c>
      <c r="I586" s="799">
        <v>0</v>
      </c>
      <c r="J586" s="799">
        <v>120859</v>
      </c>
      <c r="K586" s="799">
        <v>33793</v>
      </c>
      <c r="L586" s="799">
        <v>0</v>
      </c>
      <c r="M586" s="799">
        <v>0</v>
      </c>
      <c r="N586" s="799">
        <v>1778</v>
      </c>
      <c r="O586" s="799">
        <v>8147</v>
      </c>
      <c r="P586" s="799">
        <v>13166</v>
      </c>
      <c r="Q586" s="799">
        <v>0</v>
      </c>
      <c r="R586" s="799">
        <v>5905</v>
      </c>
      <c r="S586" s="799">
        <v>18082</v>
      </c>
    </row>
    <row r="587" spans="1:19" x14ac:dyDescent="0.2">
      <c r="A587" s="761">
        <v>2015</v>
      </c>
      <c r="B587" s="761">
        <v>7</v>
      </c>
      <c r="C587" s="796" t="s">
        <v>327</v>
      </c>
      <c r="D587" s="796"/>
      <c r="E587" s="796"/>
      <c r="F587" s="761">
        <v>5751</v>
      </c>
      <c r="G587" s="761" t="s">
        <v>1273</v>
      </c>
      <c r="H587" s="799">
        <v>0</v>
      </c>
      <c r="I587" s="799">
        <v>0</v>
      </c>
      <c r="J587" s="799">
        <v>73377</v>
      </c>
      <c r="K587" s="799">
        <v>0</v>
      </c>
      <c r="L587" s="799">
        <v>0</v>
      </c>
      <c r="M587" s="799">
        <v>0</v>
      </c>
      <c r="N587" s="799">
        <v>18738</v>
      </c>
      <c r="O587" s="799">
        <v>82459</v>
      </c>
      <c r="P587" s="799">
        <v>9392</v>
      </c>
      <c r="Q587" s="799">
        <v>0</v>
      </c>
      <c r="R587" s="799">
        <v>6895</v>
      </c>
      <c r="S587" s="799">
        <v>31522</v>
      </c>
    </row>
    <row r="588" spans="1:19" x14ac:dyDescent="0.2">
      <c r="A588" s="761">
        <v>2015</v>
      </c>
      <c r="B588" s="761">
        <v>11</v>
      </c>
      <c r="C588" s="796" t="s">
        <v>328</v>
      </c>
      <c r="D588" s="796"/>
      <c r="E588" s="796"/>
      <c r="F588" s="761">
        <v>5805</v>
      </c>
      <c r="G588" s="761" t="s">
        <v>1274</v>
      </c>
      <c r="H588" s="799">
        <v>0</v>
      </c>
      <c r="I588" s="799">
        <v>0</v>
      </c>
      <c r="J588" s="799">
        <v>0</v>
      </c>
      <c r="K588" s="799">
        <v>5069</v>
      </c>
      <c r="L588" s="799">
        <v>0</v>
      </c>
      <c r="M588" s="799">
        <v>96987</v>
      </c>
      <c r="N588" s="799">
        <v>55864</v>
      </c>
      <c r="O588" s="799">
        <v>49612</v>
      </c>
      <c r="P588" s="799">
        <v>9352</v>
      </c>
      <c r="Q588" s="799">
        <v>13523</v>
      </c>
      <c r="R588" s="799">
        <v>204396</v>
      </c>
      <c r="S588" s="799">
        <v>98737</v>
      </c>
    </row>
    <row r="589" spans="1:19" x14ac:dyDescent="0.2">
      <c r="A589" s="761">
        <v>2015</v>
      </c>
      <c r="B589" s="761">
        <v>5</v>
      </c>
      <c r="C589" s="796" t="s">
        <v>329</v>
      </c>
      <c r="D589" s="796"/>
      <c r="E589" s="796"/>
      <c r="F589" s="761">
        <v>5823</v>
      </c>
      <c r="G589" s="761" t="s">
        <v>650</v>
      </c>
      <c r="H589" s="799">
        <v>2697</v>
      </c>
      <c r="I589" s="799">
        <v>0</v>
      </c>
      <c r="J589" s="799">
        <v>46629</v>
      </c>
      <c r="K589" s="799">
        <v>40306</v>
      </c>
      <c r="L589" s="799">
        <v>0</v>
      </c>
      <c r="M589" s="799">
        <v>0</v>
      </c>
      <c r="N589" s="799">
        <v>34943</v>
      </c>
      <c r="O589" s="799">
        <v>15761</v>
      </c>
      <c r="P589" s="799">
        <v>25945</v>
      </c>
      <c r="Q589" s="799">
        <v>0</v>
      </c>
      <c r="R589" s="799">
        <v>6411</v>
      </c>
      <c r="S589" s="799">
        <v>33463</v>
      </c>
    </row>
    <row r="590" spans="1:19" x14ac:dyDescent="0.2">
      <c r="A590" s="761">
        <v>2015</v>
      </c>
      <c r="B590" s="761">
        <v>12</v>
      </c>
      <c r="C590" s="796" t="s">
        <v>330</v>
      </c>
      <c r="D590" s="796"/>
      <c r="E590" s="796"/>
      <c r="F590" s="761">
        <v>5832</v>
      </c>
      <c r="G590" s="761" t="s">
        <v>1275</v>
      </c>
      <c r="H590" s="799">
        <v>0</v>
      </c>
      <c r="I590" s="799">
        <v>61903</v>
      </c>
      <c r="J590" s="799">
        <v>0</v>
      </c>
      <c r="K590" s="799">
        <v>50950</v>
      </c>
      <c r="L590" s="799">
        <v>0</v>
      </c>
      <c r="M590" s="799">
        <v>0</v>
      </c>
      <c r="N590" s="799">
        <v>13712</v>
      </c>
      <c r="O590" s="799">
        <v>14088</v>
      </c>
      <c r="P590" s="799">
        <v>0</v>
      </c>
      <c r="Q590" s="799">
        <v>0</v>
      </c>
      <c r="R590" s="799">
        <v>2366</v>
      </c>
      <c r="S590" s="799">
        <v>359230</v>
      </c>
    </row>
    <row r="591" spans="1:19" x14ac:dyDescent="0.2">
      <c r="A591" s="761">
        <v>2015</v>
      </c>
      <c r="B591" s="761">
        <v>12</v>
      </c>
      <c r="C591" s="796" t="s">
        <v>331</v>
      </c>
      <c r="D591" s="796"/>
      <c r="E591" s="796"/>
      <c r="F591" s="761">
        <v>5877</v>
      </c>
      <c r="G591" s="761" t="s">
        <v>1276</v>
      </c>
      <c r="H591" s="799">
        <v>0</v>
      </c>
      <c r="I591" s="799">
        <v>0</v>
      </c>
      <c r="J591" s="799">
        <v>0</v>
      </c>
      <c r="K591" s="799">
        <v>0</v>
      </c>
      <c r="L591" s="799">
        <v>0</v>
      </c>
      <c r="M591" s="799">
        <v>467131</v>
      </c>
      <c r="N591" s="799">
        <v>26827</v>
      </c>
      <c r="O591" s="799">
        <v>89273</v>
      </c>
      <c r="P591" s="799">
        <v>54810</v>
      </c>
      <c r="Q591" s="799">
        <v>0</v>
      </c>
      <c r="R591" s="799">
        <v>3524</v>
      </c>
      <c r="S591" s="799">
        <v>42304</v>
      </c>
    </row>
    <row r="592" spans="1:19" x14ac:dyDescent="0.2">
      <c r="A592" s="761">
        <v>2015</v>
      </c>
      <c r="B592" s="761">
        <v>15</v>
      </c>
      <c r="C592" s="796" t="s">
        <v>332</v>
      </c>
      <c r="D592" s="796"/>
      <c r="E592" s="796"/>
      <c r="F592" s="761">
        <v>5895</v>
      </c>
      <c r="G592" s="761" t="s">
        <v>1277</v>
      </c>
      <c r="H592" s="799">
        <v>0</v>
      </c>
      <c r="I592" s="799">
        <v>0</v>
      </c>
      <c r="J592" s="799">
        <v>0</v>
      </c>
      <c r="K592" s="799">
        <v>14014</v>
      </c>
      <c r="L592" s="799">
        <v>0</v>
      </c>
      <c r="M592" s="799">
        <v>0</v>
      </c>
      <c r="N592" s="799">
        <v>15505</v>
      </c>
      <c r="O592" s="799">
        <v>0</v>
      </c>
      <c r="P592" s="799">
        <v>0</v>
      </c>
      <c r="Q592" s="799">
        <v>0</v>
      </c>
      <c r="R592" s="799">
        <v>2243</v>
      </c>
      <c r="S592" s="799">
        <v>0</v>
      </c>
    </row>
    <row r="593" spans="1:19" x14ac:dyDescent="0.2">
      <c r="A593" s="761">
        <v>2015</v>
      </c>
      <c r="B593" s="761">
        <v>7</v>
      </c>
      <c r="C593" s="796" t="s">
        <v>333</v>
      </c>
      <c r="D593" s="796"/>
      <c r="E593" s="796"/>
      <c r="F593" s="761">
        <v>5922</v>
      </c>
      <c r="G593" s="761" t="s">
        <v>1483</v>
      </c>
      <c r="H593" s="799">
        <v>0</v>
      </c>
      <c r="I593" s="799">
        <v>0</v>
      </c>
      <c r="J593" s="799">
        <v>19677</v>
      </c>
      <c r="K593" s="799">
        <v>12279</v>
      </c>
      <c r="L593" s="799">
        <v>0</v>
      </c>
      <c r="M593" s="799">
        <v>0</v>
      </c>
      <c r="N593" s="799">
        <v>83492</v>
      </c>
      <c r="O593" s="799">
        <v>0</v>
      </c>
      <c r="P593" s="799">
        <v>8172</v>
      </c>
      <c r="Q593" s="799">
        <v>0</v>
      </c>
      <c r="R593" s="799">
        <v>7630</v>
      </c>
      <c r="S593" s="799">
        <v>0</v>
      </c>
    </row>
    <row r="594" spans="1:19" x14ac:dyDescent="0.2">
      <c r="A594" s="761">
        <v>2015</v>
      </c>
      <c r="B594" s="761">
        <v>12</v>
      </c>
      <c r="C594" s="796" t="s">
        <v>334</v>
      </c>
      <c r="D594" s="796"/>
      <c r="E594" s="796"/>
      <c r="F594" s="761">
        <v>5949</v>
      </c>
      <c r="G594" s="761" t="s">
        <v>1278</v>
      </c>
      <c r="H594" s="799">
        <v>0</v>
      </c>
      <c r="I594" s="799">
        <v>0</v>
      </c>
      <c r="J594" s="799">
        <v>41994</v>
      </c>
      <c r="K594" s="799">
        <v>5455</v>
      </c>
      <c r="L594" s="799">
        <v>0</v>
      </c>
      <c r="M594" s="799">
        <v>108916</v>
      </c>
      <c r="N594" s="799">
        <v>8678</v>
      </c>
      <c r="O594" s="799">
        <v>98</v>
      </c>
      <c r="P594" s="799">
        <v>45</v>
      </c>
      <c r="Q594" s="799">
        <v>0</v>
      </c>
      <c r="R594" s="799">
        <v>3682</v>
      </c>
      <c r="S594" s="799">
        <v>35803</v>
      </c>
    </row>
    <row r="595" spans="1:19" x14ac:dyDescent="0.2">
      <c r="A595" s="761">
        <v>2015</v>
      </c>
      <c r="B595" s="761">
        <v>13</v>
      </c>
      <c r="C595" s="796" t="s">
        <v>335</v>
      </c>
      <c r="D595" s="796"/>
      <c r="E595" s="796"/>
      <c r="F595" s="761">
        <v>5976</v>
      </c>
      <c r="G595" s="761" t="s">
        <v>1279</v>
      </c>
      <c r="H595" s="799">
        <v>0</v>
      </c>
      <c r="I595" s="799">
        <v>0</v>
      </c>
      <c r="J595" s="799">
        <v>121528</v>
      </c>
      <c r="K595" s="799">
        <v>53194</v>
      </c>
      <c r="L595" s="799">
        <v>0</v>
      </c>
      <c r="M595" s="799">
        <v>0</v>
      </c>
      <c r="N595" s="799">
        <v>0</v>
      </c>
      <c r="O595" s="799">
        <v>97218</v>
      </c>
      <c r="P595" s="799">
        <v>30707</v>
      </c>
      <c r="Q595" s="799">
        <v>0</v>
      </c>
      <c r="R595" s="799">
        <v>5574</v>
      </c>
      <c r="S595" s="799">
        <v>16839</v>
      </c>
    </row>
    <row r="596" spans="1:19" x14ac:dyDescent="0.2">
      <c r="A596" s="761">
        <v>2015</v>
      </c>
      <c r="B596" s="761">
        <v>12</v>
      </c>
      <c r="C596" s="796" t="s">
        <v>336</v>
      </c>
      <c r="D596" s="796"/>
      <c r="E596" s="796"/>
      <c r="F596" s="761">
        <v>5994</v>
      </c>
      <c r="G596" s="761" t="s">
        <v>1280</v>
      </c>
      <c r="H596" s="799">
        <v>0</v>
      </c>
      <c r="I596" s="799">
        <v>109915</v>
      </c>
      <c r="J596" s="799">
        <v>650</v>
      </c>
      <c r="K596" s="799">
        <v>90520</v>
      </c>
      <c r="L596" s="799">
        <v>0</v>
      </c>
      <c r="M596" s="799">
        <v>65464</v>
      </c>
      <c r="N596" s="799">
        <v>0</v>
      </c>
      <c r="O596" s="799">
        <v>51517</v>
      </c>
      <c r="P596" s="799">
        <v>46815</v>
      </c>
      <c r="Q596" s="799">
        <v>0</v>
      </c>
      <c r="R596" s="799">
        <v>7452</v>
      </c>
      <c r="S596" s="799">
        <v>22663</v>
      </c>
    </row>
    <row r="597" spans="1:19" x14ac:dyDescent="0.2">
      <c r="A597" s="761">
        <v>2015</v>
      </c>
      <c r="B597" s="761">
        <v>13</v>
      </c>
      <c r="C597" s="796" t="s">
        <v>337</v>
      </c>
      <c r="D597" s="796"/>
      <c r="E597" s="796"/>
      <c r="F597" s="761">
        <v>6003</v>
      </c>
      <c r="G597" s="761" t="s">
        <v>1281</v>
      </c>
      <c r="H597" s="799">
        <v>34465</v>
      </c>
      <c r="I597" s="799">
        <v>7037</v>
      </c>
      <c r="J597" s="799">
        <v>77663</v>
      </c>
      <c r="K597" s="799">
        <v>0</v>
      </c>
      <c r="L597" s="799">
        <v>0</v>
      </c>
      <c r="M597" s="799">
        <v>21367</v>
      </c>
      <c r="N597" s="799">
        <v>0</v>
      </c>
      <c r="O597" s="799">
        <v>2681</v>
      </c>
      <c r="P597" s="799">
        <v>1563</v>
      </c>
      <c r="Q597" s="799">
        <v>0</v>
      </c>
      <c r="R597" s="799">
        <v>6214</v>
      </c>
      <c r="S597" s="799">
        <v>5072</v>
      </c>
    </row>
    <row r="598" spans="1:19" x14ac:dyDescent="0.2">
      <c r="A598" s="761">
        <v>2015</v>
      </c>
      <c r="B598" s="761">
        <v>15</v>
      </c>
      <c r="C598" s="796" t="s">
        <v>338</v>
      </c>
      <c r="D598" s="796"/>
      <c r="E598" s="796"/>
      <c r="F598" s="761">
        <v>6012</v>
      </c>
      <c r="G598" s="761" t="s">
        <v>1282</v>
      </c>
      <c r="H598" s="799">
        <v>1988</v>
      </c>
      <c r="I598" s="799">
        <v>0</v>
      </c>
      <c r="J598" s="799">
        <v>0</v>
      </c>
      <c r="K598" s="799">
        <v>5126</v>
      </c>
      <c r="L598" s="799">
        <v>0</v>
      </c>
      <c r="M598" s="799">
        <v>6241</v>
      </c>
      <c r="N598" s="799">
        <v>382</v>
      </c>
      <c r="O598" s="799">
        <v>22088</v>
      </c>
      <c r="P598" s="799">
        <v>21249</v>
      </c>
      <c r="Q598" s="799">
        <v>0</v>
      </c>
      <c r="R598" s="799">
        <v>6956</v>
      </c>
      <c r="S598" s="799">
        <v>28970</v>
      </c>
    </row>
    <row r="599" spans="1:19" x14ac:dyDescent="0.2">
      <c r="A599" s="761">
        <v>2015</v>
      </c>
      <c r="B599" s="761">
        <v>12</v>
      </c>
      <c r="C599" s="796" t="s">
        <v>339</v>
      </c>
      <c r="D599" s="796"/>
      <c r="E599" s="796"/>
      <c r="F599" s="761">
        <v>6030</v>
      </c>
      <c r="G599" s="761" t="s">
        <v>1283</v>
      </c>
      <c r="H599" s="799">
        <v>0</v>
      </c>
      <c r="I599" s="799">
        <v>78051</v>
      </c>
      <c r="J599" s="799">
        <v>50346</v>
      </c>
      <c r="K599" s="799">
        <v>16003</v>
      </c>
      <c r="L599" s="799">
        <v>0</v>
      </c>
      <c r="M599" s="799">
        <v>0</v>
      </c>
      <c r="N599" s="799">
        <v>0</v>
      </c>
      <c r="O599" s="799">
        <v>149</v>
      </c>
      <c r="P599" s="799">
        <v>15220</v>
      </c>
      <c r="Q599" s="799">
        <v>0</v>
      </c>
      <c r="R599" s="799">
        <v>8938</v>
      </c>
      <c r="S599" s="799">
        <v>47335</v>
      </c>
    </row>
    <row r="600" spans="1:19" x14ac:dyDescent="0.2">
      <c r="A600" s="761">
        <v>2015</v>
      </c>
      <c r="B600" s="761">
        <v>12</v>
      </c>
      <c r="C600" s="796" t="s">
        <v>340</v>
      </c>
      <c r="D600" s="796"/>
      <c r="E600" s="796"/>
      <c r="F600" s="761">
        <v>6039</v>
      </c>
      <c r="G600" s="761" t="s">
        <v>1284</v>
      </c>
      <c r="H600" s="799">
        <v>34217</v>
      </c>
      <c r="I600" s="799">
        <v>0</v>
      </c>
      <c r="J600" s="799">
        <v>0</v>
      </c>
      <c r="K600" s="799">
        <v>552097</v>
      </c>
      <c r="L600" s="799">
        <v>0</v>
      </c>
      <c r="M600" s="799">
        <v>566682</v>
      </c>
      <c r="N600" s="799">
        <v>261077</v>
      </c>
      <c r="O600" s="799">
        <v>203746</v>
      </c>
      <c r="P600" s="799">
        <v>1119340</v>
      </c>
      <c r="Q600" s="799">
        <v>44151</v>
      </c>
      <c r="R600" s="799">
        <v>310450</v>
      </c>
      <c r="S600" s="799">
        <v>141583</v>
      </c>
    </row>
    <row r="601" spans="1:19" x14ac:dyDescent="0.2">
      <c r="A601" s="761">
        <v>2015</v>
      </c>
      <c r="B601" s="761">
        <v>5</v>
      </c>
      <c r="C601" s="796" t="s">
        <v>341</v>
      </c>
      <c r="D601" s="796"/>
      <c r="E601" s="796"/>
      <c r="F601" s="761">
        <v>6035</v>
      </c>
      <c r="G601" s="761" t="s">
        <v>651</v>
      </c>
      <c r="H601" s="799">
        <v>0</v>
      </c>
      <c r="I601" s="799">
        <v>0</v>
      </c>
      <c r="J601" s="799">
        <v>102862</v>
      </c>
      <c r="K601" s="799">
        <v>46377</v>
      </c>
      <c r="L601" s="799">
        <v>0</v>
      </c>
      <c r="M601" s="799">
        <v>9467</v>
      </c>
      <c r="N601" s="799">
        <v>385</v>
      </c>
      <c r="O601" s="799">
        <v>55781</v>
      </c>
      <c r="P601" s="799">
        <v>53769</v>
      </c>
      <c r="Q601" s="799">
        <v>2254</v>
      </c>
      <c r="R601" s="799">
        <v>3435</v>
      </c>
      <c r="S601" s="799">
        <v>20343</v>
      </c>
    </row>
    <row r="602" spans="1:19" x14ac:dyDescent="0.2">
      <c r="A602" s="761">
        <v>2015</v>
      </c>
      <c r="B602" s="761">
        <v>5</v>
      </c>
      <c r="C602" s="796" t="s">
        <v>1871</v>
      </c>
      <c r="D602" s="761">
        <v>5625</v>
      </c>
      <c r="E602" s="796"/>
      <c r="F602" s="761">
        <v>6091</v>
      </c>
      <c r="G602" s="761" t="s">
        <v>1639</v>
      </c>
      <c r="H602" s="799">
        <v>1779</v>
      </c>
      <c r="I602" s="799">
        <v>0</v>
      </c>
      <c r="J602" s="799">
        <v>134412</v>
      </c>
      <c r="K602" s="799">
        <v>0</v>
      </c>
      <c r="L602" s="799">
        <v>20471</v>
      </c>
      <c r="M602" s="799">
        <v>14344</v>
      </c>
      <c r="N602" s="799">
        <v>0</v>
      </c>
      <c r="O602" s="799">
        <v>6635</v>
      </c>
      <c r="P602" s="799">
        <v>4013</v>
      </c>
      <c r="Q602" s="799">
        <v>0</v>
      </c>
      <c r="R602" s="799">
        <v>13027</v>
      </c>
      <c r="S602" s="799">
        <v>45364</v>
      </c>
    </row>
    <row r="603" spans="1:19" x14ac:dyDescent="0.2">
      <c r="A603" s="761">
        <v>2015</v>
      </c>
      <c r="B603" s="761">
        <v>10</v>
      </c>
      <c r="C603" s="796" t="s">
        <v>342</v>
      </c>
      <c r="D603" s="796"/>
      <c r="E603" s="796"/>
      <c r="F603" s="761">
        <v>6093</v>
      </c>
      <c r="G603" s="761" t="s">
        <v>1285</v>
      </c>
      <c r="H603" s="799">
        <v>0</v>
      </c>
      <c r="I603" s="799">
        <v>0</v>
      </c>
      <c r="J603" s="799">
        <v>0</v>
      </c>
      <c r="K603" s="799">
        <v>82910</v>
      </c>
      <c r="L603" s="799">
        <v>0</v>
      </c>
      <c r="M603" s="799">
        <v>199648</v>
      </c>
      <c r="N603" s="799">
        <v>0</v>
      </c>
      <c r="O603" s="799">
        <v>20737</v>
      </c>
      <c r="P603" s="799">
        <v>10573</v>
      </c>
      <c r="Q603" s="799">
        <v>0</v>
      </c>
      <c r="R603" s="799">
        <v>0</v>
      </c>
      <c r="S603" s="799">
        <v>273</v>
      </c>
    </row>
    <row r="604" spans="1:19" x14ac:dyDescent="0.2">
      <c r="A604" s="761">
        <v>2015</v>
      </c>
      <c r="B604" s="761">
        <v>11</v>
      </c>
      <c r="C604" s="796" t="s">
        <v>343</v>
      </c>
      <c r="D604" s="796"/>
      <c r="E604" s="796"/>
      <c r="F604" s="761">
        <v>6094</v>
      </c>
      <c r="G604" s="761" t="s">
        <v>1286</v>
      </c>
      <c r="H604" s="799">
        <v>1800</v>
      </c>
      <c r="I604" s="799">
        <v>0</v>
      </c>
      <c r="J604" s="799">
        <v>91482</v>
      </c>
      <c r="K604" s="799">
        <v>64143</v>
      </c>
      <c r="L604" s="799">
        <v>0</v>
      </c>
      <c r="M604" s="799">
        <v>110587</v>
      </c>
      <c r="N604" s="799">
        <v>17664</v>
      </c>
      <c r="O604" s="799">
        <v>11282</v>
      </c>
      <c r="P604" s="799">
        <v>37346</v>
      </c>
      <c r="Q604" s="799">
        <v>50434</v>
      </c>
      <c r="R604" s="799">
        <v>0</v>
      </c>
      <c r="S604" s="799">
        <v>30012</v>
      </c>
    </row>
    <row r="605" spans="1:19" x14ac:dyDescent="0.2">
      <c r="A605" s="761">
        <v>2015</v>
      </c>
      <c r="B605" s="761">
        <v>5</v>
      </c>
      <c r="C605" s="796" t="s">
        <v>344</v>
      </c>
      <c r="D605" s="796"/>
      <c r="E605" s="796"/>
      <c r="F605" s="761">
        <v>6095</v>
      </c>
      <c r="G605" s="761" t="s">
        <v>1287</v>
      </c>
      <c r="H605" s="799">
        <v>152626</v>
      </c>
      <c r="I605" s="799">
        <v>0</v>
      </c>
      <c r="J605" s="799">
        <v>12806</v>
      </c>
      <c r="K605" s="799">
        <v>0</v>
      </c>
      <c r="L605" s="799">
        <v>0</v>
      </c>
      <c r="M605" s="799">
        <v>153974</v>
      </c>
      <c r="N605" s="799">
        <v>9839</v>
      </c>
      <c r="O605" s="799">
        <v>60115</v>
      </c>
      <c r="P605" s="799">
        <v>68950</v>
      </c>
      <c r="Q605" s="799">
        <v>0</v>
      </c>
      <c r="R605" s="799">
        <v>6539</v>
      </c>
      <c r="S605" s="799">
        <v>36181</v>
      </c>
    </row>
    <row r="606" spans="1:19" x14ac:dyDescent="0.2">
      <c r="A606" s="761">
        <v>2015</v>
      </c>
      <c r="B606" s="761">
        <v>5</v>
      </c>
      <c r="C606" s="796" t="s">
        <v>1469</v>
      </c>
      <c r="D606" s="796"/>
      <c r="E606" s="796"/>
      <c r="F606" s="761">
        <v>6096</v>
      </c>
      <c r="G606" s="761" t="s">
        <v>980</v>
      </c>
      <c r="H606" s="799">
        <v>0</v>
      </c>
      <c r="I606" s="799">
        <v>0</v>
      </c>
      <c r="J606" s="799">
        <v>0</v>
      </c>
      <c r="K606" s="799">
        <v>0</v>
      </c>
      <c r="L606" s="799">
        <v>48401</v>
      </c>
      <c r="M606" s="799">
        <v>66126</v>
      </c>
      <c r="N606" s="799">
        <v>0</v>
      </c>
      <c r="O606" s="799">
        <v>13572</v>
      </c>
      <c r="P606" s="799">
        <v>10706</v>
      </c>
      <c r="Q606" s="799">
        <v>0</v>
      </c>
      <c r="R606" s="799">
        <v>0</v>
      </c>
      <c r="S606" s="799">
        <v>65065</v>
      </c>
    </row>
    <row r="607" spans="1:19" x14ac:dyDescent="0.2">
      <c r="A607" s="761">
        <v>2015</v>
      </c>
      <c r="B607" s="761">
        <v>13</v>
      </c>
      <c r="C607" s="796" t="s">
        <v>345</v>
      </c>
      <c r="D607" s="796"/>
      <c r="E607" s="796"/>
      <c r="F607" s="761">
        <v>6097</v>
      </c>
      <c r="G607" s="761" t="s">
        <v>1288</v>
      </c>
      <c r="H607" s="799">
        <v>0</v>
      </c>
      <c r="I607" s="799">
        <v>0</v>
      </c>
      <c r="J607" s="799">
        <v>20068</v>
      </c>
      <c r="K607" s="799">
        <v>0</v>
      </c>
      <c r="L607" s="799">
        <v>0</v>
      </c>
      <c r="M607" s="799">
        <v>14550</v>
      </c>
      <c r="N607" s="799">
        <v>26994</v>
      </c>
      <c r="O607" s="799">
        <v>24051</v>
      </c>
      <c r="P607" s="799">
        <v>65</v>
      </c>
      <c r="Q607" s="799">
        <v>0</v>
      </c>
      <c r="R607" s="799">
        <v>5811</v>
      </c>
      <c r="S607" s="799">
        <v>20613</v>
      </c>
    </row>
    <row r="608" spans="1:19" x14ac:dyDescent="0.2">
      <c r="A608" s="761">
        <v>2015</v>
      </c>
      <c r="B608" s="761">
        <v>7</v>
      </c>
      <c r="C608" s="796" t="s">
        <v>346</v>
      </c>
      <c r="D608" s="796"/>
      <c r="E608" s="796"/>
      <c r="F608" s="761">
        <v>6098</v>
      </c>
      <c r="G608" s="761" t="s">
        <v>1289</v>
      </c>
      <c r="H608" s="799">
        <v>0</v>
      </c>
      <c r="I608" s="799">
        <v>8</v>
      </c>
      <c r="J608" s="799">
        <v>82586</v>
      </c>
      <c r="K608" s="799">
        <v>103684</v>
      </c>
      <c r="L608" s="799">
        <v>0</v>
      </c>
      <c r="M608" s="799">
        <v>56594</v>
      </c>
      <c r="N608" s="799">
        <v>46393</v>
      </c>
      <c r="O608" s="799">
        <v>105552</v>
      </c>
      <c r="P608" s="799">
        <v>21147</v>
      </c>
      <c r="Q608" s="799">
        <v>1211</v>
      </c>
      <c r="R608" s="799">
        <v>4423</v>
      </c>
      <c r="S608" s="799">
        <v>64465</v>
      </c>
    </row>
    <row r="609" spans="1:19" x14ac:dyDescent="0.2">
      <c r="A609" s="761">
        <v>2015</v>
      </c>
      <c r="B609" s="761">
        <v>1</v>
      </c>
      <c r="C609" s="796" t="s">
        <v>347</v>
      </c>
      <c r="D609" s="796"/>
      <c r="E609" s="796"/>
      <c r="F609" s="761">
        <v>6100</v>
      </c>
      <c r="G609" s="761" t="s">
        <v>1290</v>
      </c>
      <c r="H609" s="799">
        <v>0</v>
      </c>
      <c r="I609" s="799">
        <v>0</v>
      </c>
      <c r="J609" s="799">
        <v>2305</v>
      </c>
      <c r="K609" s="799">
        <v>0</v>
      </c>
      <c r="L609" s="799">
        <v>0</v>
      </c>
      <c r="M609" s="799">
        <v>68186</v>
      </c>
      <c r="N609" s="799">
        <v>19901</v>
      </c>
      <c r="O609" s="799">
        <v>11688</v>
      </c>
      <c r="P609" s="799">
        <v>1422</v>
      </c>
      <c r="Q609" s="799">
        <v>0</v>
      </c>
      <c r="R609" s="799">
        <v>3168</v>
      </c>
      <c r="S609" s="799">
        <v>1263</v>
      </c>
    </row>
    <row r="610" spans="1:19" x14ac:dyDescent="0.2">
      <c r="A610" s="761">
        <v>2015</v>
      </c>
      <c r="B610" s="761">
        <v>11</v>
      </c>
      <c r="C610" s="796" t="s">
        <v>348</v>
      </c>
      <c r="D610" s="796"/>
      <c r="E610" s="796"/>
      <c r="F610" s="761">
        <v>6101</v>
      </c>
      <c r="G610" s="761" t="s">
        <v>1291</v>
      </c>
      <c r="H610" s="799">
        <v>145885</v>
      </c>
      <c r="I610" s="799">
        <v>0</v>
      </c>
      <c r="J610" s="799">
        <v>297434</v>
      </c>
      <c r="K610" s="799">
        <v>157359</v>
      </c>
      <c r="L610" s="799">
        <v>0</v>
      </c>
      <c r="M610" s="799">
        <v>13642</v>
      </c>
      <c r="N610" s="799">
        <v>223502</v>
      </c>
      <c r="O610" s="799">
        <v>476915</v>
      </c>
      <c r="P610" s="799">
        <v>23151</v>
      </c>
      <c r="Q610" s="799">
        <v>77486</v>
      </c>
      <c r="R610" s="799">
        <v>245722</v>
      </c>
      <c r="S610" s="799">
        <v>227761</v>
      </c>
    </row>
    <row r="611" spans="1:19" x14ac:dyDescent="0.2">
      <c r="A611" s="761">
        <v>2015</v>
      </c>
      <c r="B611" s="761">
        <v>5</v>
      </c>
      <c r="C611" s="796" t="s">
        <v>349</v>
      </c>
      <c r="D611" s="796"/>
      <c r="E611" s="796"/>
      <c r="F611" s="761">
        <v>6102</v>
      </c>
      <c r="G611" s="761" t="s">
        <v>1292</v>
      </c>
      <c r="H611" s="799">
        <v>0</v>
      </c>
      <c r="I611" s="799">
        <v>0</v>
      </c>
      <c r="J611" s="799">
        <v>5130</v>
      </c>
      <c r="K611" s="799">
        <v>131135</v>
      </c>
      <c r="L611" s="799">
        <v>0</v>
      </c>
      <c r="M611" s="799">
        <v>18326</v>
      </c>
      <c r="N611" s="799">
        <v>74636</v>
      </c>
      <c r="O611" s="799">
        <v>370</v>
      </c>
      <c r="P611" s="799">
        <v>132093</v>
      </c>
      <c r="Q611" s="799">
        <v>44627</v>
      </c>
      <c r="R611" s="799">
        <v>119</v>
      </c>
      <c r="S611" s="799">
        <v>52072</v>
      </c>
    </row>
    <row r="612" spans="1:19" x14ac:dyDescent="0.2">
      <c r="A612" s="761">
        <v>2015</v>
      </c>
      <c r="B612" s="761">
        <v>5</v>
      </c>
      <c r="C612" s="796" t="s">
        <v>350</v>
      </c>
      <c r="D612" s="796"/>
      <c r="E612" s="796"/>
      <c r="F612" s="761">
        <v>6120</v>
      </c>
      <c r="G612" s="761" t="s">
        <v>1293</v>
      </c>
      <c r="H612" s="799">
        <v>0</v>
      </c>
      <c r="I612" s="799">
        <v>0</v>
      </c>
      <c r="J612" s="799">
        <v>58784</v>
      </c>
      <c r="K612" s="799">
        <v>39552</v>
      </c>
      <c r="L612" s="799">
        <v>0</v>
      </c>
      <c r="M612" s="799">
        <v>64301</v>
      </c>
      <c r="N612" s="799">
        <v>0</v>
      </c>
      <c r="O612" s="799">
        <v>1781</v>
      </c>
      <c r="P612" s="799">
        <v>27599</v>
      </c>
      <c r="Q612" s="799">
        <v>0</v>
      </c>
      <c r="R612" s="799">
        <v>7917</v>
      </c>
      <c r="S612" s="799">
        <v>19139</v>
      </c>
    </row>
    <row r="613" spans="1:19" x14ac:dyDescent="0.2">
      <c r="A613" s="761">
        <v>2015</v>
      </c>
      <c r="B613" s="761">
        <v>10</v>
      </c>
      <c r="C613" s="796" t="s">
        <v>351</v>
      </c>
      <c r="D613" s="796"/>
      <c r="E613" s="796"/>
      <c r="F613" s="761">
        <v>6138</v>
      </c>
      <c r="G613" s="761" t="s">
        <v>1294</v>
      </c>
      <c r="H613" s="799">
        <v>4323</v>
      </c>
      <c r="I613" s="799">
        <v>0</v>
      </c>
      <c r="J613" s="799">
        <v>1043</v>
      </c>
      <c r="K613" s="799">
        <v>42471</v>
      </c>
      <c r="L613" s="799">
        <v>27811</v>
      </c>
      <c r="M613" s="799">
        <v>5719</v>
      </c>
      <c r="N613" s="799">
        <v>27744</v>
      </c>
      <c r="O613" s="799">
        <v>26</v>
      </c>
      <c r="P613" s="799">
        <v>11912</v>
      </c>
      <c r="Q613" s="799">
        <v>0</v>
      </c>
      <c r="R613" s="799">
        <v>0</v>
      </c>
      <c r="S613" s="799">
        <v>28857</v>
      </c>
    </row>
    <row r="614" spans="1:19" x14ac:dyDescent="0.2">
      <c r="A614" s="761">
        <v>2015</v>
      </c>
      <c r="B614" s="761">
        <v>13</v>
      </c>
      <c r="C614" s="796" t="s">
        <v>352</v>
      </c>
      <c r="D614" s="796"/>
      <c r="E614" s="796"/>
      <c r="F614" s="761">
        <v>6165</v>
      </c>
      <c r="G614" s="761" t="s">
        <v>1295</v>
      </c>
      <c r="H614" s="799">
        <v>0</v>
      </c>
      <c r="I614" s="799">
        <v>0</v>
      </c>
      <c r="J614" s="799">
        <v>4399</v>
      </c>
      <c r="K614" s="799">
        <v>54176</v>
      </c>
      <c r="L614" s="799">
        <v>0</v>
      </c>
      <c r="M614" s="799">
        <v>19070</v>
      </c>
      <c r="N614" s="799">
        <v>10549</v>
      </c>
      <c r="O614" s="799">
        <v>3167</v>
      </c>
      <c r="P614" s="799">
        <v>11130</v>
      </c>
      <c r="Q614" s="799">
        <v>0</v>
      </c>
      <c r="R614" s="799">
        <v>3523</v>
      </c>
      <c r="S614" s="799">
        <v>26426</v>
      </c>
    </row>
    <row r="615" spans="1:19" x14ac:dyDescent="0.2">
      <c r="A615" s="761">
        <v>2015</v>
      </c>
      <c r="B615" s="761">
        <v>1</v>
      </c>
      <c r="C615" s="796" t="s">
        <v>353</v>
      </c>
      <c r="D615" s="796"/>
      <c r="E615" s="796"/>
      <c r="F615" s="761">
        <v>6175</v>
      </c>
      <c r="G615" s="761" t="s">
        <v>1296</v>
      </c>
      <c r="H615" s="799">
        <v>0</v>
      </c>
      <c r="I615" s="799">
        <v>0</v>
      </c>
      <c r="J615" s="799">
        <v>0</v>
      </c>
      <c r="K615" s="799">
        <v>57549</v>
      </c>
      <c r="L615" s="799">
        <v>0</v>
      </c>
      <c r="M615" s="799">
        <v>0</v>
      </c>
      <c r="N615" s="799">
        <v>3243</v>
      </c>
      <c r="O615" s="799">
        <v>22315</v>
      </c>
      <c r="P615" s="799">
        <v>16652</v>
      </c>
      <c r="Q615" s="799">
        <v>0</v>
      </c>
      <c r="R615" s="799">
        <v>524</v>
      </c>
      <c r="S615" s="799">
        <v>62619</v>
      </c>
    </row>
    <row r="616" spans="1:19" x14ac:dyDescent="0.2">
      <c r="A616" s="761">
        <v>2015</v>
      </c>
      <c r="B616" s="761">
        <v>5</v>
      </c>
      <c r="C616" s="796" t="s">
        <v>354</v>
      </c>
      <c r="D616" s="796"/>
      <c r="E616" s="796"/>
      <c r="F616" s="761">
        <v>6219</v>
      </c>
      <c r="G616" s="761" t="s">
        <v>1297</v>
      </c>
      <c r="H616" s="799">
        <v>66283</v>
      </c>
      <c r="I616" s="799">
        <v>0</v>
      </c>
      <c r="J616" s="799">
        <v>145287</v>
      </c>
      <c r="K616" s="799">
        <v>199251</v>
      </c>
      <c r="L616" s="799">
        <v>0</v>
      </c>
      <c r="M616" s="799">
        <v>0</v>
      </c>
      <c r="N616" s="799">
        <v>15070</v>
      </c>
      <c r="O616" s="799">
        <v>19403</v>
      </c>
      <c r="P616" s="799">
        <v>5022</v>
      </c>
      <c r="Q616" s="799">
        <v>0</v>
      </c>
      <c r="R616" s="799">
        <v>10356</v>
      </c>
      <c r="S616" s="799">
        <v>11959</v>
      </c>
    </row>
    <row r="617" spans="1:19" x14ac:dyDescent="0.2">
      <c r="A617" s="761">
        <v>2015</v>
      </c>
      <c r="B617" s="761">
        <v>5</v>
      </c>
      <c r="C617" s="796" t="s">
        <v>355</v>
      </c>
      <c r="D617" s="796"/>
      <c r="E617" s="796"/>
      <c r="F617" s="761">
        <v>6246</v>
      </c>
      <c r="G617" s="761" t="s">
        <v>1298</v>
      </c>
      <c r="H617" s="799">
        <v>0</v>
      </c>
      <c r="I617" s="799">
        <v>0</v>
      </c>
      <c r="J617" s="799">
        <v>0</v>
      </c>
      <c r="K617" s="799">
        <v>0</v>
      </c>
      <c r="L617" s="799">
        <v>0</v>
      </c>
      <c r="M617" s="799">
        <v>0</v>
      </c>
      <c r="N617" s="799">
        <v>0</v>
      </c>
      <c r="O617" s="799">
        <v>0</v>
      </c>
      <c r="P617" s="799">
        <v>0</v>
      </c>
      <c r="Q617" s="799">
        <v>0</v>
      </c>
      <c r="R617" s="799">
        <v>1695</v>
      </c>
      <c r="S617" s="799">
        <v>6569</v>
      </c>
    </row>
    <row r="618" spans="1:19" x14ac:dyDescent="0.2">
      <c r="A618" s="761">
        <v>2015</v>
      </c>
      <c r="B618" s="761">
        <v>11</v>
      </c>
      <c r="C618" s="796" t="s">
        <v>356</v>
      </c>
      <c r="D618" s="796"/>
      <c r="E618" s="796"/>
      <c r="F618" s="761">
        <v>6264</v>
      </c>
      <c r="G618" s="761" t="s">
        <v>1299</v>
      </c>
      <c r="H618" s="799">
        <v>0</v>
      </c>
      <c r="I618" s="799">
        <v>9793</v>
      </c>
      <c r="J618" s="799">
        <v>67356</v>
      </c>
      <c r="K618" s="799">
        <v>8851</v>
      </c>
      <c r="L618" s="799">
        <v>0</v>
      </c>
      <c r="M618" s="799">
        <v>82728</v>
      </c>
      <c r="N618" s="799">
        <v>0</v>
      </c>
      <c r="O618" s="799">
        <v>0</v>
      </c>
      <c r="P618" s="799">
        <v>0</v>
      </c>
      <c r="Q618" s="799">
        <v>0</v>
      </c>
      <c r="R618" s="799">
        <v>6330</v>
      </c>
      <c r="S618" s="799">
        <v>38236</v>
      </c>
    </row>
    <row r="619" spans="1:19" x14ac:dyDescent="0.2">
      <c r="A619" s="761">
        <v>2015</v>
      </c>
      <c r="B619" s="761">
        <v>7</v>
      </c>
      <c r="C619" s="796" t="s">
        <v>357</v>
      </c>
      <c r="D619" s="761">
        <v>2349</v>
      </c>
      <c r="E619" s="796"/>
      <c r="F619" s="761">
        <v>6273</v>
      </c>
      <c r="G619" s="761" t="s">
        <v>1640</v>
      </c>
      <c r="H619" s="799">
        <v>0</v>
      </c>
      <c r="I619" s="799">
        <v>0</v>
      </c>
      <c r="J619" s="799">
        <v>0</v>
      </c>
      <c r="K619" s="799">
        <v>36228</v>
      </c>
      <c r="L619" s="799">
        <v>10652</v>
      </c>
      <c r="M619" s="799">
        <v>280267</v>
      </c>
      <c r="N619" s="799">
        <v>25289</v>
      </c>
      <c r="O619" s="799">
        <v>26214</v>
      </c>
      <c r="P619" s="799">
        <v>33015</v>
      </c>
      <c r="Q619" s="799">
        <v>0</v>
      </c>
      <c r="R619" s="799">
        <v>8215</v>
      </c>
      <c r="S619" s="799">
        <v>43914</v>
      </c>
    </row>
    <row r="620" spans="1:19" x14ac:dyDescent="0.2">
      <c r="A620" s="761">
        <v>2015</v>
      </c>
      <c r="B620" s="761">
        <v>10</v>
      </c>
      <c r="C620" s="796" t="s">
        <v>358</v>
      </c>
      <c r="D620" s="796"/>
      <c r="E620" s="796"/>
      <c r="F620" s="761">
        <v>6408</v>
      </c>
      <c r="G620" s="761" t="s">
        <v>1300</v>
      </c>
      <c r="H620" s="799">
        <v>0</v>
      </c>
      <c r="I620" s="799">
        <v>0</v>
      </c>
      <c r="J620" s="799">
        <v>0</v>
      </c>
      <c r="K620" s="799">
        <v>0</v>
      </c>
      <c r="L620" s="799">
        <v>2720</v>
      </c>
      <c r="M620" s="799">
        <v>68667</v>
      </c>
      <c r="N620" s="799">
        <v>1752</v>
      </c>
      <c r="O620" s="799">
        <v>23755</v>
      </c>
      <c r="P620" s="799">
        <v>26540</v>
      </c>
      <c r="Q620" s="799">
        <v>0</v>
      </c>
      <c r="R620" s="799">
        <v>563</v>
      </c>
      <c r="S620" s="799">
        <v>21640</v>
      </c>
    </row>
    <row r="621" spans="1:19" x14ac:dyDescent="0.2">
      <c r="A621" s="761">
        <v>2015</v>
      </c>
      <c r="B621" s="761">
        <v>13</v>
      </c>
      <c r="C621" s="796" t="s">
        <v>359</v>
      </c>
      <c r="D621" s="796"/>
      <c r="E621" s="796"/>
      <c r="F621" s="761">
        <v>6453</v>
      </c>
      <c r="G621" s="761" t="s">
        <v>1301</v>
      </c>
      <c r="H621" s="799">
        <v>0</v>
      </c>
      <c r="I621" s="799">
        <v>0</v>
      </c>
      <c r="J621" s="799">
        <v>55644</v>
      </c>
      <c r="K621" s="799">
        <v>53638</v>
      </c>
      <c r="L621" s="799">
        <v>0</v>
      </c>
      <c r="M621" s="799">
        <v>0</v>
      </c>
      <c r="N621" s="799">
        <v>10999</v>
      </c>
      <c r="O621" s="799">
        <v>28668</v>
      </c>
      <c r="P621" s="799">
        <v>0</v>
      </c>
      <c r="Q621" s="799">
        <v>0</v>
      </c>
      <c r="R621" s="799">
        <v>7211</v>
      </c>
      <c r="S621" s="799">
        <v>31014</v>
      </c>
    </row>
    <row r="622" spans="1:19" x14ac:dyDescent="0.2">
      <c r="A622" s="761">
        <v>2015</v>
      </c>
      <c r="B622" s="761">
        <v>13</v>
      </c>
      <c r="C622" s="796" t="s">
        <v>360</v>
      </c>
      <c r="D622" s="796"/>
      <c r="E622" s="796"/>
      <c r="F622" s="761">
        <v>6460</v>
      </c>
      <c r="G622" s="761" t="s">
        <v>1302</v>
      </c>
      <c r="H622" s="799">
        <v>0</v>
      </c>
      <c r="I622" s="799">
        <v>0</v>
      </c>
      <c r="J622" s="799">
        <v>0</v>
      </c>
      <c r="K622" s="799">
        <v>0</v>
      </c>
      <c r="L622" s="799">
        <v>43362</v>
      </c>
      <c r="M622" s="799">
        <v>0</v>
      </c>
      <c r="N622" s="799">
        <v>47433</v>
      </c>
      <c r="O622" s="799">
        <v>25105</v>
      </c>
      <c r="P622" s="799">
        <v>25535</v>
      </c>
      <c r="Q622" s="799">
        <v>0</v>
      </c>
      <c r="R622" s="799">
        <v>7294</v>
      </c>
      <c r="S622" s="799">
        <v>32822</v>
      </c>
    </row>
    <row r="623" spans="1:19" x14ac:dyDescent="0.2">
      <c r="A623" s="761">
        <v>2015</v>
      </c>
      <c r="B623" s="761">
        <v>15</v>
      </c>
      <c r="C623" s="796" t="s">
        <v>361</v>
      </c>
      <c r="D623" s="796"/>
      <c r="E623" s="796"/>
      <c r="F623" s="761">
        <v>6462</v>
      </c>
      <c r="G623" s="761" t="s">
        <v>1303</v>
      </c>
      <c r="H623" s="799">
        <v>0</v>
      </c>
      <c r="I623" s="799">
        <v>0</v>
      </c>
      <c r="J623" s="799">
        <v>0</v>
      </c>
      <c r="K623" s="799">
        <v>0</v>
      </c>
      <c r="L623" s="799">
        <v>26273</v>
      </c>
      <c r="M623" s="799">
        <v>0</v>
      </c>
      <c r="N623" s="799">
        <v>0</v>
      </c>
      <c r="O623" s="799">
        <v>2498</v>
      </c>
      <c r="P623" s="799">
        <v>4387</v>
      </c>
      <c r="Q623" s="799">
        <v>0</v>
      </c>
      <c r="R623" s="799">
        <v>0</v>
      </c>
      <c r="S623" s="799">
        <v>0</v>
      </c>
    </row>
    <row r="624" spans="1:19" x14ac:dyDescent="0.2">
      <c r="A624" s="761">
        <v>2015</v>
      </c>
      <c r="B624" s="761">
        <v>7</v>
      </c>
      <c r="C624" s="796" t="s">
        <v>362</v>
      </c>
      <c r="D624" s="796"/>
      <c r="E624" s="796"/>
      <c r="F624" s="761">
        <v>6471</v>
      </c>
      <c r="G624" s="761" t="s">
        <v>1304</v>
      </c>
      <c r="H624" s="799">
        <v>0</v>
      </c>
      <c r="I624" s="799">
        <v>0</v>
      </c>
      <c r="J624" s="799">
        <v>84947</v>
      </c>
      <c r="K624" s="799">
        <v>71766</v>
      </c>
      <c r="L624" s="799">
        <v>2479</v>
      </c>
      <c r="M624" s="799">
        <v>14653</v>
      </c>
      <c r="N624" s="799">
        <v>15536</v>
      </c>
      <c r="O624" s="799">
        <v>10196</v>
      </c>
      <c r="P624" s="799">
        <v>17716</v>
      </c>
      <c r="Q624" s="799">
        <v>0</v>
      </c>
      <c r="R624" s="799">
        <v>0</v>
      </c>
      <c r="S624" s="799">
        <v>22272</v>
      </c>
    </row>
    <row r="625" spans="1:19" x14ac:dyDescent="0.2">
      <c r="A625" s="761">
        <v>2015</v>
      </c>
      <c r="B625" s="761">
        <v>1</v>
      </c>
      <c r="C625" s="796" t="s">
        <v>363</v>
      </c>
      <c r="D625" s="796"/>
      <c r="E625" s="796"/>
      <c r="F625" s="761">
        <v>6509</v>
      </c>
      <c r="G625" s="761" t="s">
        <v>1305</v>
      </c>
      <c r="H625" s="799">
        <v>1714</v>
      </c>
      <c r="I625" s="799">
        <v>0</v>
      </c>
      <c r="J625" s="799">
        <v>0</v>
      </c>
      <c r="K625" s="799">
        <v>25013</v>
      </c>
      <c r="L625" s="799">
        <v>0</v>
      </c>
      <c r="M625" s="799">
        <v>48800</v>
      </c>
      <c r="N625" s="799">
        <v>53204</v>
      </c>
      <c r="O625" s="799">
        <v>0</v>
      </c>
      <c r="P625" s="799">
        <v>611</v>
      </c>
      <c r="Q625" s="799">
        <v>0</v>
      </c>
      <c r="R625" s="799">
        <v>6363</v>
      </c>
      <c r="S625" s="799">
        <v>227672</v>
      </c>
    </row>
    <row r="626" spans="1:19" x14ac:dyDescent="0.2">
      <c r="A626" s="761">
        <v>2015</v>
      </c>
      <c r="B626" s="761">
        <v>11</v>
      </c>
      <c r="C626" s="796" t="s">
        <v>364</v>
      </c>
      <c r="D626" s="796"/>
      <c r="E626" s="796"/>
      <c r="F626" s="761">
        <v>6512</v>
      </c>
      <c r="G626" s="761" t="s">
        <v>1306</v>
      </c>
      <c r="H626" s="799">
        <v>0</v>
      </c>
      <c r="I626" s="799">
        <v>0</v>
      </c>
      <c r="J626" s="799">
        <v>0</v>
      </c>
      <c r="K626" s="799">
        <v>0</v>
      </c>
      <c r="L626" s="799">
        <v>0</v>
      </c>
      <c r="M626" s="799">
        <v>8976</v>
      </c>
      <c r="N626" s="799">
        <v>1113</v>
      </c>
      <c r="O626" s="799">
        <v>28913</v>
      </c>
      <c r="P626" s="799">
        <v>8159</v>
      </c>
      <c r="Q626" s="799">
        <v>0</v>
      </c>
      <c r="R626" s="799">
        <v>2870</v>
      </c>
      <c r="S626" s="799">
        <v>7446</v>
      </c>
    </row>
    <row r="627" spans="1:19" x14ac:dyDescent="0.2">
      <c r="A627" s="761">
        <v>2015</v>
      </c>
      <c r="B627" s="761">
        <v>5</v>
      </c>
      <c r="C627" s="796" t="s">
        <v>365</v>
      </c>
      <c r="D627" s="796"/>
      <c r="E627" s="796"/>
      <c r="F627" s="761">
        <v>6516</v>
      </c>
      <c r="G627" s="761" t="s">
        <v>1307</v>
      </c>
      <c r="H627" s="799">
        <v>0</v>
      </c>
      <c r="I627" s="799">
        <v>0</v>
      </c>
      <c r="J627" s="799">
        <v>0</v>
      </c>
      <c r="K627" s="799">
        <v>0</v>
      </c>
      <c r="L627" s="799">
        <v>0</v>
      </c>
      <c r="M627" s="799">
        <v>0</v>
      </c>
      <c r="N627" s="799">
        <v>0</v>
      </c>
      <c r="O627" s="799">
        <v>3444</v>
      </c>
      <c r="P627" s="799">
        <v>0</v>
      </c>
      <c r="Q627" s="799">
        <v>0</v>
      </c>
      <c r="R627" s="799">
        <v>131</v>
      </c>
      <c r="S627" s="799">
        <v>26397</v>
      </c>
    </row>
    <row r="628" spans="1:19" x14ac:dyDescent="0.2">
      <c r="A628" s="761">
        <v>2015</v>
      </c>
      <c r="B628" s="761">
        <v>13</v>
      </c>
      <c r="C628" s="796" t="s">
        <v>366</v>
      </c>
      <c r="D628" s="796"/>
      <c r="E628" s="796"/>
      <c r="F628" s="761">
        <v>6534</v>
      </c>
      <c r="G628" s="761" t="s">
        <v>1312</v>
      </c>
      <c r="H628" s="799">
        <v>0</v>
      </c>
      <c r="I628" s="799">
        <v>0</v>
      </c>
      <c r="J628" s="799">
        <v>0</v>
      </c>
      <c r="K628" s="799">
        <v>0</v>
      </c>
      <c r="L628" s="799">
        <v>0</v>
      </c>
      <c r="M628" s="799">
        <v>51357</v>
      </c>
      <c r="N628" s="799">
        <v>6602</v>
      </c>
      <c r="O628" s="799">
        <v>940</v>
      </c>
      <c r="P628" s="799">
        <v>1087</v>
      </c>
      <c r="Q628" s="799">
        <v>0</v>
      </c>
      <c r="R628" s="799">
        <v>3911</v>
      </c>
      <c r="S628" s="799">
        <v>22110</v>
      </c>
    </row>
    <row r="629" spans="1:19" x14ac:dyDescent="0.2">
      <c r="A629" s="761">
        <v>2015</v>
      </c>
      <c r="B629" s="761">
        <v>11</v>
      </c>
      <c r="C629" s="796" t="s">
        <v>367</v>
      </c>
      <c r="D629" s="796"/>
      <c r="E629" s="796"/>
      <c r="F629" s="761">
        <v>6561</v>
      </c>
      <c r="G629" s="761" t="s">
        <v>1313</v>
      </c>
      <c r="H629" s="799">
        <v>18736</v>
      </c>
      <c r="I629" s="799">
        <v>0</v>
      </c>
      <c r="J629" s="799">
        <v>36060</v>
      </c>
      <c r="K629" s="799">
        <v>0</v>
      </c>
      <c r="L629" s="799">
        <v>0</v>
      </c>
      <c r="M629" s="799">
        <v>0</v>
      </c>
      <c r="N629" s="799">
        <v>0</v>
      </c>
      <c r="O629" s="799">
        <v>24862</v>
      </c>
      <c r="P629" s="799">
        <v>8220</v>
      </c>
      <c r="Q629" s="799">
        <v>20146</v>
      </c>
      <c r="R629" s="799">
        <v>6112</v>
      </c>
      <c r="S629" s="799">
        <v>25892</v>
      </c>
    </row>
    <row r="630" spans="1:19" x14ac:dyDescent="0.2">
      <c r="A630" s="761">
        <v>2015</v>
      </c>
      <c r="B630" s="761">
        <v>11</v>
      </c>
      <c r="C630" s="796" t="s">
        <v>368</v>
      </c>
      <c r="D630" s="796"/>
      <c r="E630" s="796"/>
      <c r="F630" s="761">
        <v>6579</v>
      </c>
      <c r="G630" s="761" t="s">
        <v>1314</v>
      </c>
      <c r="H630" s="799">
        <v>0</v>
      </c>
      <c r="I630" s="799">
        <v>0</v>
      </c>
      <c r="J630" s="799">
        <v>0</v>
      </c>
      <c r="K630" s="799">
        <v>0</v>
      </c>
      <c r="L630" s="799">
        <v>0</v>
      </c>
      <c r="M630" s="799">
        <v>0</v>
      </c>
      <c r="N630" s="799">
        <v>0</v>
      </c>
      <c r="O630" s="799">
        <v>63431</v>
      </c>
      <c r="P630" s="799">
        <v>140277</v>
      </c>
      <c r="Q630" s="799">
        <v>0</v>
      </c>
      <c r="R630" s="799">
        <v>13698</v>
      </c>
      <c r="S630" s="799">
        <v>16341</v>
      </c>
    </row>
    <row r="631" spans="1:19" x14ac:dyDescent="0.2">
      <c r="A631" s="761">
        <v>2015</v>
      </c>
      <c r="B631" s="761">
        <v>1</v>
      </c>
      <c r="C631" s="796" t="s">
        <v>369</v>
      </c>
      <c r="D631" s="796"/>
      <c r="E631" s="796"/>
      <c r="F631" s="761">
        <v>6591</v>
      </c>
      <c r="G631" s="761" t="s">
        <v>1333</v>
      </c>
      <c r="H631" s="799">
        <v>0</v>
      </c>
      <c r="I631" s="799">
        <v>1092</v>
      </c>
      <c r="J631" s="799">
        <v>1490</v>
      </c>
      <c r="K631" s="799">
        <v>0</v>
      </c>
      <c r="L631" s="799">
        <v>0</v>
      </c>
      <c r="M631" s="799">
        <v>53831</v>
      </c>
      <c r="N631" s="799">
        <v>0</v>
      </c>
      <c r="O631" s="799">
        <v>5893</v>
      </c>
      <c r="P631" s="799">
        <v>21603</v>
      </c>
      <c r="Q631" s="799">
        <v>12756</v>
      </c>
      <c r="R631" s="799">
        <v>3127</v>
      </c>
      <c r="S631" s="799">
        <v>28329</v>
      </c>
    </row>
    <row r="632" spans="1:19" x14ac:dyDescent="0.2">
      <c r="A632" s="761">
        <v>2015</v>
      </c>
      <c r="B632" s="761">
        <v>15</v>
      </c>
      <c r="C632" s="796" t="s">
        <v>370</v>
      </c>
      <c r="D632" s="796"/>
      <c r="E632" s="796"/>
      <c r="F632" s="761">
        <v>6592</v>
      </c>
      <c r="G632" s="761" t="s">
        <v>2013</v>
      </c>
      <c r="H632" s="799">
        <v>185686</v>
      </c>
      <c r="I632" s="799">
        <v>0</v>
      </c>
      <c r="J632" s="799">
        <v>113433</v>
      </c>
      <c r="K632" s="799">
        <v>59037</v>
      </c>
      <c r="L632" s="799">
        <v>0</v>
      </c>
      <c r="M632" s="799">
        <v>196910</v>
      </c>
      <c r="N632" s="799">
        <v>0</v>
      </c>
      <c r="O632" s="799">
        <v>7518</v>
      </c>
      <c r="P632" s="799">
        <v>33010</v>
      </c>
      <c r="Q632" s="799">
        <v>0</v>
      </c>
      <c r="R632" s="799">
        <v>0</v>
      </c>
      <c r="S632" s="799">
        <v>17940</v>
      </c>
    </row>
    <row r="633" spans="1:19" x14ac:dyDescent="0.2">
      <c r="A633" s="761">
        <v>2015</v>
      </c>
      <c r="B633" s="761">
        <v>11</v>
      </c>
      <c r="C633" s="796" t="s">
        <v>371</v>
      </c>
      <c r="D633" s="796"/>
      <c r="E633" s="796"/>
      <c r="F633" s="761">
        <v>6615</v>
      </c>
      <c r="G633" s="761" t="s">
        <v>1334</v>
      </c>
      <c r="H633" s="799">
        <v>0</v>
      </c>
      <c r="I633" s="799">
        <v>1269</v>
      </c>
      <c r="J633" s="799">
        <v>0</v>
      </c>
      <c r="K633" s="799">
        <v>0</v>
      </c>
      <c r="L633" s="799">
        <v>0</v>
      </c>
      <c r="M633" s="799">
        <v>0</v>
      </c>
      <c r="N633" s="799">
        <v>18313</v>
      </c>
      <c r="O633" s="799">
        <v>2928</v>
      </c>
      <c r="P633" s="799">
        <v>0</v>
      </c>
      <c r="Q633" s="799">
        <v>0</v>
      </c>
      <c r="R633" s="799">
        <v>0</v>
      </c>
      <c r="S633" s="799">
        <v>12174</v>
      </c>
    </row>
    <row r="634" spans="1:19" x14ac:dyDescent="0.2">
      <c r="A634" s="761">
        <v>2015</v>
      </c>
      <c r="B634" s="761">
        <v>13</v>
      </c>
      <c r="C634" s="796" t="s">
        <v>372</v>
      </c>
      <c r="D634" s="796"/>
      <c r="E634" s="796"/>
      <c r="F634" s="761">
        <v>6651</v>
      </c>
      <c r="G634" s="761" t="s">
        <v>1335</v>
      </c>
      <c r="H634" s="799">
        <v>0</v>
      </c>
      <c r="I634" s="799">
        <v>0</v>
      </c>
      <c r="J634" s="799">
        <v>38318</v>
      </c>
      <c r="K634" s="799">
        <v>13140</v>
      </c>
      <c r="L634" s="799">
        <v>0</v>
      </c>
      <c r="M634" s="799">
        <v>7166</v>
      </c>
      <c r="N634" s="799">
        <v>16444</v>
      </c>
      <c r="O634" s="799">
        <v>0</v>
      </c>
      <c r="P634" s="799">
        <v>0</v>
      </c>
      <c r="Q634" s="799">
        <v>0</v>
      </c>
      <c r="R634" s="799">
        <v>6239</v>
      </c>
      <c r="S634" s="799">
        <v>8723</v>
      </c>
    </row>
    <row r="635" spans="1:19" x14ac:dyDescent="0.2">
      <c r="A635" s="761">
        <v>2015</v>
      </c>
      <c r="B635" s="761">
        <v>10</v>
      </c>
      <c r="C635" s="796" t="s">
        <v>373</v>
      </c>
      <c r="D635" s="796"/>
      <c r="E635" s="796"/>
      <c r="F635" s="761">
        <v>6660</v>
      </c>
      <c r="G635" s="761" t="s">
        <v>652</v>
      </c>
      <c r="H635" s="799">
        <v>7147</v>
      </c>
      <c r="I635" s="799">
        <v>5440</v>
      </c>
      <c r="J635" s="799">
        <v>217521</v>
      </c>
      <c r="K635" s="799">
        <v>111621</v>
      </c>
      <c r="L635" s="799">
        <v>0</v>
      </c>
      <c r="M635" s="799">
        <v>0</v>
      </c>
      <c r="N635" s="799">
        <v>126834</v>
      </c>
      <c r="O635" s="799">
        <v>31591</v>
      </c>
      <c r="P635" s="799">
        <v>9006</v>
      </c>
      <c r="Q635" s="799">
        <v>0</v>
      </c>
      <c r="R635" s="799">
        <v>0</v>
      </c>
      <c r="S635" s="799">
        <v>59403</v>
      </c>
    </row>
    <row r="636" spans="1:19" x14ac:dyDescent="0.2">
      <c r="A636" s="761">
        <v>2015</v>
      </c>
      <c r="B636" s="761">
        <v>15</v>
      </c>
      <c r="C636" s="796" t="s">
        <v>374</v>
      </c>
      <c r="D636" s="796"/>
      <c r="E636" s="796"/>
      <c r="F636" s="761">
        <v>6700</v>
      </c>
      <c r="G636" s="761" t="s">
        <v>1336</v>
      </c>
      <c r="H636" s="799">
        <v>76443</v>
      </c>
      <c r="I636" s="799">
        <v>17919</v>
      </c>
      <c r="J636" s="799">
        <v>83996</v>
      </c>
      <c r="K636" s="799">
        <v>62894</v>
      </c>
      <c r="L636" s="799">
        <v>0</v>
      </c>
      <c r="M636" s="799">
        <v>11325</v>
      </c>
      <c r="N636" s="799">
        <v>2411</v>
      </c>
      <c r="O636" s="799">
        <v>0</v>
      </c>
      <c r="P636" s="799">
        <v>45387</v>
      </c>
      <c r="Q636" s="799">
        <v>651</v>
      </c>
      <c r="R636" s="799">
        <v>1793</v>
      </c>
      <c r="S636" s="799">
        <v>20813</v>
      </c>
    </row>
    <row r="637" spans="1:19" x14ac:dyDescent="0.2">
      <c r="A637" s="761">
        <v>2015</v>
      </c>
      <c r="B637" s="761">
        <v>5</v>
      </c>
      <c r="C637" s="796" t="s">
        <v>375</v>
      </c>
      <c r="D637" s="796"/>
      <c r="E637" s="796"/>
      <c r="F637" s="761">
        <v>6741</v>
      </c>
      <c r="G637" s="761" t="s">
        <v>1485</v>
      </c>
      <c r="H637" s="799">
        <v>0</v>
      </c>
      <c r="I637" s="799">
        <v>0</v>
      </c>
      <c r="J637" s="799">
        <v>0</v>
      </c>
      <c r="K637" s="799">
        <v>0</v>
      </c>
      <c r="L637" s="799">
        <v>0</v>
      </c>
      <c r="M637" s="799">
        <v>42778</v>
      </c>
      <c r="N637" s="799">
        <v>0</v>
      </c>
      <c r="O637" s="799">
        <v>0</v>
      </c>
      <c r="P637" s="799">
        <v>0</v>
      </c>
      <c r="Q637" s="799">
        <v>0</v>
      </c>
      <c r="R637" s="799">
        <v>0</v>
      </c>
      <c r="S637" s="799">
        <v>5039</v>
      </c>
    </row>
    <row r="638" spans="1:19" x14ac:dyDescent="0.2">
      <c r="A638" s="761">
        <v>2015</v>
      </c>
      <c r="B638" s="761">
        <v>15</v>
      </c>
      <c r="C638" s="796" t="s">
        <v>376</v>
      </c>
      <c r="D638" s="796"/>
      <c r="E638" s="796"/>
      <c r="F638" s="761">
        <v>6759</v>
      </c>
      <c r="G638" s="761" t="s">
        <v>1337</v>
      </c>
      <c r="H638" s="799">
        <v>41196</v>
      </c>
      <c r="I638" s="799">
        <v>0</v>
      </c>
      <c r="J638" s="799">
        <v>190500</v>
      </c>
      <c r="K638" s="799">
        <v>24237</v>
      </c>
      <c r="L638" s="799">
        <v>54536</v>
      </c>
      <c r="M638" s="799">
        <v>16675</v>
      </c>
      <c r="N638" s="799">
        <v>80472</v>
      </c>
      <c r="O638" s="799">
        <v>19658</v>
      </c>
      <c r="P638" s="799">
        <v>45611</v>
      </c>
      <c r="Q638" s="799">
        <v>5145</v>
      </c>
      <c r="R638" s="799">
        <v>0</v>
      </c>
      <c r="S638" s="799">
        <v>1611</v>
      </c>
    </row>
    <row r="639" spans="1:19" x14ac:dyDescent="0.2">
      <c r="A639" s="761">
        <v>2015</v>
      </c>
      <c r="B639" s="761">
        <v>7</v>
      </c>
      <c r="C639" s="796" t="s">
        <v>377</v>
      </c>
      <c r="D639" s="796"/>
      <c r="E639" s="796"/>
      <c r="F639" s="761">
        <v>6762</v>
      </c>
      <c r="G639" s="761" t="s">
        <v>1338</v>
      </c>
      <c r="H639" s="799">
        <v>0</v>
      </c>
      <c r="I639" s="799">
        <v>51656</v>
      </c>
      <c r="J639" s="799">
        <v>0</v>
      </c>
      <c r="K639" s="799">
        <v>3702</v>
      </c>
      <c r="L639" s="799">
        <v>40332</v>
      </c>
      <c r="M639" s="799">
        <v>66249</v>
      </c>
      <c r="N639" s="799">
        <v>63471</v>
      </c>
      <c r="O639" s="799">
        <v>39535</v>
      </c>
      <c r="P639" s="799">
        <v>5759</v>
      </c>
      <c r="Q639" s="799">
        <v>0</v>
      </c>
      <c r="R639" s="799">
        <v>0</v>
      </c>
      <c r="S639" s="799">
        <v>37996</v>
      </c>
    </row>
    <row r="640" spans="1:19" x14ac:dyDescent="0.2">
      <c r="A640" s="761">
        <v>2015</v>
      </c>
      <c r="B640" s="761">
        <v>10</v>
      </c>
      <c r="C640" s="796" t="s">
        <v>378</v>
      </c>
      <c r="D640" s="796"/>
      <c r="E640" s="796"/>
      <c r="F640" s="761">
        <v>6768</v>
      </c>
      <c r="G640" s="761" t="s">
        <v>1339</v>
      </c>
      <c r="H640" s="799">
        <v>62949</v>
      </c>
      <c r="I640" s="799">
        <v>0</v>
      </c>
      <c r="J640" s="799">
        <v>32451</v>
      </c>
      <c r="K640" s="799">
        <v>197003</v>
      </c>
      <c r="L640" s="799">
        <v>0</v>
      </c>
      <c r="M640" s="799">
        <v>27813</v>
      </c>
      <c r="N640" s="799">
        <v>109875</v>
      </c>
      <c r="O640" s="799">
        <v>24421</v>
      </c>
      <c r="P640" s="799">
        <v>0</v>
      </c>
      <c r="Q640" s="799">
        <v>0</v>
      </c>
      <c r="R640" s="799">
        <v>0</v>
      </c>
      <c r="S640" s="799">
        <v>1327709</v>
      </c>
    </row>
    <row r="641" spans="1:19" x14ac:dyDescent="0.2">
      <c r="A641" s="761">
        <v>2015</v>
      </c>
      <c r="B641" s="761">
        <v>7</v>
      </c>
      <c r="C641" s="796" t="s">
        <v>379</v>
      </c>
      <c r="D641" s="796"/>
      <c r="E641" s="796"/>
      <c r="F641" s="761">
        <v>6795</v>
      </c>
      <c r="G641" s="761" t="s">
        <v>1340</v>
      </c>
      <c r="H641" s="799">
        <v>0</v>
      </c>
      <c r="I641" s="799">
        <v>0</v>
      </c>
      <c r="J641" s="799">
        <v>0</v>
      </c>
      <c r="K641" s="799">
        <v>46063</v>
      </c>
      <c r="L641" s="799">
        <v>108401</v>
      </c>
      <c r="M641" s="799">
        <v>376536</v>
      </c>
      <c r="N641" s="799">
        <v>0</v>
      </c>
      <c r="O641" s="799">
        <v>49127</v>
      </c>
      <c r="P641" s="799">
        <v>0</v>
      </c>
      <c r="Q641" s="799">
        <v>0</v>
      </c>
      <c r="R641" s="799">
        <v>0</v>
      </c>
      <c r="S641" s="799">
        <v>125028</v>
      </c>
    </row>
    <row r="642" spans="1:19" x14ac:dyDescent="0.2">
      <c r="A642" s="761">
        <v>2015</v>
      </c>
      <c r="B642" s="761">
        <v>11</v>
      </c>
      <c r="C642" s="796" t="s">
        <v>380</v>
      </c>
      <c r="D642" s="796"/>
      <c r="E642" s="796"/>
      <c r="F642" s="761">
        <v>6822</v>
      </c>
      <c r="G642" s="761" t="s">
        <v>1341</v>
      </c>
      <c r="H642" s="799">
        <v>0</v>
      </c>
      <c r="I642" s="799">
        <v>0</v>
      </c>
      <c r="J642" s="799">
        <v>65225</v>
      </c>
      <c r="K642" s="799">
        <v>0</v>
      </c>
      <c r="L642" s="799">
        <v>0</v>
      </c>
      <c r="M642" s="799">
        <v>0</v>
      </c>
      <c r="N642" s="799">
        <v>148307</v>
      </c>
      <c r="O642" s="799">
        <v>207334</v>
      </c>
      <c r="P642" s="799">
        <v>307225</v>
      </c>
      <c r="Q642" s="799">
        <v>0</v>
      </c>
      <c r="R642" s="799">
        <v>0</v>
      </c>
      <c r="S642" s="799">
        <v>124705</v>
      </c>
    </row>
    <row r="643" spans="1:19" x14ac:dyDescent="0.2">
      <c r="A643" s="761">
        <v>2015</v>
      </c>
      <c r="B643" s="761">
        <v>7</v>
      </c>
      <c r="C643" s="796" t="s">
        <v>381</v>
      </c>
      <c r="D643" s="796"/>
      <c r="E643" s="796"/>
      <c r="F643" s="761">
        <v>6840</v>
      </c>
      <c r="G643" s="761" t="s">
        <v>1342</v>
      </c>
      <c r="H643" s="799">
        <v>1910</v>
      </c>
      <c r="I643" s="799">
        <v>0</v>
      </c>
      <c r="J643" s="799">
        <v>0</v>
      </c>
      <c r="K643" s="799">
        <v>31566</v>
      </c>
      <c r="L643" s="799">
        <v>0</v>
      </c>
      <c r="M643" s="799">
        <v>95125</v>
      </c>
      <c r="N643" s="799">
        <v>0</v>
      </c>
      <c r="O643" s="799">
        <v>277897</v>
      </c>
      <c r="P643" s="799">
        <v>152565</v>
      </c>
      <c r="Q643" s="799">
        <v>3698</v>
      </c>
      <c r="R643" s="799">
        <v>1659</v>
      </c>
      <c r="S643" s="799">
        <v>8744</v>
      </c>
    </row>
    <row r="644" spans="1:19" x14ac:dyDescent="0.2">
      <c r="A644" s="761">
        <v>2015</v>
      </c>
      <c r="B644" s="761">
        <v>15</v>
      </c>
      <c r="C644" s="796" t="s">
        <v>382</v>
      </c>
      <c r="D644" s="796"/>
      <c r="E644" s="796"/>
      <c r="F644" s="761">
        <v>6854</v>
      </c>
      <c r="G644" s="761" t="s">
        <v>1343</v>
      </c>
      <c r="H644" s="799">
        <v>149466</v>
      </c>
      <c r="I644" s="799">
        <v>0</v>
      </c>
      <c r="J644" s="799">
        <v>0</v>
      </c>
      <c r="K644" s="799">
        <v>0</v>
      </c>
      <c r="L644" s="799">
        <v>0</v>
      </c>
      <c r="M644" s="799">
        <v>63903</v>
      </c>
      <c r="N644" s="799">
        <v>8045</v>
      </c>
      <c r="O644" s="799">
        <v>65941</v>
      </c>
      <c r="P644" s="799">
        <v>29069</v>
      </c>
      <c r="Q644" s="799">
        <v>0</v>
      </c>
      <c r="R644" s="799">
        <v>0</v>
      </c>
      <c r="S644" s="799">
        <v>1738</v>
      </c>
    </row>
    <row r="645" spans="1:19" x14ac:dyDescent="0.2">
      <c r="A645" s="761">
        <v>2015</v>
      </c>
      <c r="B645" s="761">
        <v>5</v>
      </c>
      <c r="C645" s="796" t="s">
        <v>383</v>
      </c>
      <c r="D645" s="796"/>
      <c r="E645" s="796"/>
      <c r="F645" s="761">
        <v>6867</v>
      </c>
      <c r="G645" s="761" t="s">
        <v>1344</v>
      </c>
      <c r="H645" s="799">
        <v>0</v>
      </c>
      <c r="I645" s="799">
        <v>0</v>
      </c>
      <c r="J645" s="799">
        <v>0</v>
      </c>
      <c r="K645" s="799">
        <v>0</v>
      </c>
      <c r="L645" s="799">
        <v>0</v>
      </c>
      <c r="M645" s="799">
        <v>45571</v>
      </c>
      <c r="N645" s="799">
        <v>0</v>
      </c>
      <c r="O645" s="799">
        <v>28628</v>
      </c>
      <c r="P645" s="799">
        <v>0</v>
      </c>
      <c r="Q645" s="799">
        <v>0</v>
      </c>
      <c r="R645" s="799">
        <v>8685</v>
      </c>
      <c r="S645" s="799">
        <v>39108</v>
      </c>
    </row>
    <row r="646" spans="1:19" x14ac:dyDescent="0.2">
      <c r="A646" s="761">
        <v>2015</v>
      </c>
      <c r="B646" s="761">
        <v>5</v>
      </c>
      <c r="C646" s="796" t="s">
        <v>384</v>
      </c>
      <c r="D646" s="796"/>
      <c r="E646" s="796"/>
      <c r="F646" s="761">
        <v>6921</v>
      </c>
      <c r="G646" s="761" t="s">
        <v>653</v>
      </c>
      <c r="H646" s="799">
        <v>0</v>
      </c>
      <c r="I646" s="799">
        <v>2645</v>
      </c>
      <c r="J646" s="799">
        <v>52723</v>
      </c>
      <c r="K646" s="799">
        <v>5416</v>
      </c>
      <c r="L646" s="799">
        <v>0</v>
      </c>
      <c r="M646" s="799">
        <v>35724</v>
      </c>
      <c r="N646" s="799">
        <v>0</v>
      </c>
      <c r="O646" s="799">
        <v>36272</v>
      </c>
      <c r="P646" s="799">
        <v>33238</v>
      </c>
      <c r="Q646" s="799">
        <v>0</v>
      </c>
      <c r="R646" s="799">
        <v>407</v>
      </c>
      <c r="S646" s="799">
        <v>29534</v>
      </c>
    </row>
    <row r="647" spans="1:19" x14ac:dyDescent="0.2">
      <c r="A647" s="761">
        <v>2015</v>
      </c>
      <c r="B647" s="761">
        <v>10</v>
      </c>
      <c r="C647" s="796" t="s">
        <v>385</v>
      </c>
      <c r="D647" s="796"/>
      <c r="E647" s="796"/>
      <c r="F647" s="761">
        <v>6930</v>
      </c>
      <c r="G647" s="761" t="s">
        <v>1345</v>
      </c>
      <c r="H647" s="799">
        <v>3113</v>
      </c>
      <c r="I647" s="799">
        <v>5275</v>
      </c>
      <c r="J647" s="799">
        <v>239603</v>
      </c>
      <c r="K647" s="799">
        <v>161065</v>
      </c>
      <c r="L647" s="799">
        <v>0</v>
      </c>
      <c r="M647" s="799">
        <v>207242</v>
      </c>
      <c r="N647" s="799">
        <v>78582</v>
      </c>
      <c r="O647" s="799">
        <v>2613</v>
      </c>
      <c r="P647" s="799">
        <v>8481</v>
      </c>
      <c r="Q647" s="799">
        <v>60276</v>
      </c>
      <c r="R647" s="799">
        <v>0</v>
      </c>
      <c r="S647" s="799">
        <v>20385</v>
      </c>
    </row>
    <row r="648" spans="1:19" x14ac:dyDescent="0.2">
      <c r="A648" s="761">
        <v>2015</v>
      </c>
      <c r="B648" s="761">
        <v>15</v>
      </c>
      <c r="C648" s="796" t="s">
        <v>386</v>
      </c>
      <c r="D648" s="796"/>
      <c r="E648" s="796"/>
      <c r="F648" s="761">
        <v>6937</v>
      </c>
      <c r="G648" s="761" t="s">
        <v>1346</v>
      </c>
      <c r="H648" s="799">
        <v>0</v>
      </c>
      <c r="I648" s="799">
        <v>0</v>
      </c>
      <c r="J648" s="799">
        <v>0</v>
      </c>
      <c r="K648" s="799">
        <v>0</v>
      </c>
      <c r="L648" s="799">
        <v>0</v>
      </c>
      <c r="M648" s="799">
        <v>31926</v>
      </c>
      <c r="N648" s="799">
        <v>16200</v>
      </c>
      <c r="O648" s="799">
        <v>26527</v>
      </c>
      <c r="P648" s="799">
        <v>0</v>
      </c>
      <c r="Q648" s="799">
        <v>0</v>
      </c>
      <c r="R648" s="799">
        <v>0</v>
      </c>
      <c r="S648" s="799">
        <v>3359</v>
      </c>
    </row>
    <row r="649" spans="1:19" x14ac:dyDescent="0.2">
      <c r="A649" s="761">
        <v>2015</v>
      </c>
      <c r="B649" s="761">
        <v>1</v>
      </c>
      <c r="C649" s="796" t="s">
        <v>387</v>
      </c>
      <c r="D649" s="796"/>
      <c r="E649" s="796"/>
      <c r="F649" s="761">
        <v>6943</v>
      </c>
      <c r="G649" s="761" t="s">
        <v>1347</v>
      </c>
      <c r="H649" s="799">
        <v>3177</v>
      </c>
      <c r="I649" s="799">
        <v>0</v>
      </c>
      <c r="J649" s="799">
        <v>11422</v>
      </c>
      <c r="K649" s="799">
        <v>47451</v>
      </c>
      <c r="L649" s="799">
        <v>16895</v>
      </c>
      <c r="M649" s="799">
        <v>0</v>
      </c>
      <c r="N649" s="799">
        <v>4507</v>
      </c>
      <c r="O649" s="799">
        <v>14555</v>
      </c>
      <c r="P649" s="799">
        <v>25893</v>
      </c>
      <c r="Q649" s="799">
        <v>0</v>
      </c>
      <c r="R649" s="799">
        <v>3666</v>
      </c>
      <c r="S649" s="799">
        <v>27070</v>
      </c>
    </row>
    <row r="650" spans="1:19" x14ac:dyDescent="0.2">
      <c r="A650" s="761">
        <v>2015</v>
      </c>
      <c r="B650" s="761">
        <v>1</v>
      </c>
      <c r="C650" s="796" t="s">
        <v>388</v>
      </c>
      <c r="D650" s="796"/>
      <c r="E650" s="796"/>
      <c r="F650" s="761">
        <v>6950</v>
      </c>
      <c r="G650" s="761" t="s">
        <v>1348</v>
      </c>
      <c r="H650" s="799">
        <v>12340</v>
      </c>
      <c r="I650" s="799">
        <v>5281</v>
      </c>
      <c r="J650" s="799">
        <v>124065</v>
      </c>
      <c r="K650" s="799">
        <v>45730</v>
      </c>
      <c r="L650" s="799">
        <v>0</v>
      </c>
      <c r="M650" s="799">
        <v>0</v>
      </c>
      <c r="N650" s="799">
        <v>145195</v>
      </c>
      <c r="O650" s="799">
        <v>55363</v>
      </c>
      <c r="P650" s="799">
        <v>1087</v>
      </c>
      <c r="Q650" s="799">
        <v>0</v>
      </c>
      <c r="R650" s="799">
        <v>0</v>
      </c>
      <c r="S650" s="799">
        <v>4405</v>
      </c>
    </row>
    <row r="651" spans="1:19" x14ac:dyDescent="0.2">
      <c r="A651" s="761">
        <v>2015</v>
      </c>
      <c r="B651" s="761">
        <v>11</v>
      </c>
      <c r="C651" s="796" t="s">
        <v>389</v>
      </c>
      <c r="D651" s="796"/>
      <c r="E651" s="796"/>
      <c r="F651" s="761">
        <v>6957</v>
      </c>
      <c r="G651" s="761" t="s">
        <v>1349</v>
      </c>
      <c r="H651" s="799">
        <v>307371</v>
      </c>
      <c r="I651" s="799">
        <v>0</v>
      </c>
      <c r="J651" s="799">
        <v>109441</v>
      </c>
      <c r="K651" s="799">
        <v>323547</v>
      </c>
      <c r="L651" s="799">
        <v>0</v>
      </c>
      <c r="M651" s="799">
        <v>89473</v>
      </c>
      <c r="N651" s="799">
        <v>0</v>
      </c>
      <c r="O651" s="799">
        <v>242026</v>
      </c>
      <c r="P651" s="799">
        <v>203297</v>
      </c>
      <c r="Q651" s="799">
        <v>15102</v>
      </c>
      <c r="R651" s="799">
        <v>576202</v>
      </c>
      <c r="S651" s="799">
        <v>278750</v>
      </c>
    </row>
    <row r="652" spans="1:19" x14ac:dyDescent="0.2">
      <c r="A652" s="761">
        <v>2015</v>
      </c>
      <c r="B652" s="761">
        <v>1</v>
      </c>
      <c r="C652" s="796" t="s">
        <v>390</v>
      </c>
      <c r="D652" s="796"/>
      <c r="E652" s="796"/>
      <c r="F652" s="761">
        <v>6961</v>
      </c>
      <c r="G652" s="761" t="s">
        <v>1350</v>
      </c>
      <c r="H652" s="799">
        <v>39908</v>
      </c>
      <c r="I652" s="799">
        <v>0</v>
      </c>
      <c r="J652" s="799">
        <v>67842</v>
      </c>
      <c r="K652" s="799">
        <v>84962</v>
      </c>
      <c r="L652" s="799">
        <v>271037</v>
      </c>
      <c r="M652" s="799">
        <v>0</v>
      </c>
      <c r="N652" s="799">
        <v>16813</v>
      </c>
      <c r="O652" s="799">
        <v>164820</v>
      </c>
      <c r="P652" s="799">
        <v>139624</v>
      </c>
      <c r="Q652" s="799">
        <v>0</v>
      </c>
      <c r="R652" s="799">
        <v>187901</v>
      </c>
      <c r="S652" s="799">
        <v>43855</v>
      </c>
    </row>
    <row r="653" spans="1:19" x14ac:dyDescent="0.2">
      <c r="A653" s="761">
        <v>2015</v>
      </c>
      <c r="B653" s="761">
        <v>13</v>
      </c>
      <c r="C653" s="796" t="s">
        <v>391</v>
      </c>
      <c r="D653" s="796"/>
      <c r="E653" s="796"/>
      <c r="F653" s="761">
        <v>6969</v>
      </c>
      <c r="G653" s="761" t="s">
        <v>1393</v>
      </c>
      <c r="H653" s="799">
        <v>3081</v>
      </c>
      <c r="I653" s="799">
        <v>0</v>
      </c>
      <c r="J653" s="799">
        <v>0</v>
      </c>
      <c r="K653" s="799">
        <v>0</v>
      </c>
      <c r="L653" s="799">
        <v>0</v>
      </c>
      <c r="M653" s="799">
        <v>0</v>
      </c>
      <c r="N653" s="799">
        <v>15797</v>
      </c>
      <c r="O653" s="799">
        <v>51365</v>
      </c>
      <c r="P653" s="799">
        <v>18014</v>
      </c>
      <c r="Q653" s="799">
        <v>0</v>
      </c>
      <c r="R653" s="799">
        <v>6540</v>
      </c>
      <c r="S653" s="799">
        <v>34308</v>
      </c>
    </row>
    <row r="654" spans="1:19" x14ac:dyDescent="0.2">
      <c r="A654" s="761">
        <v>2015</v>
      </c>
      <c r="B654" s="761">
        <v>9</v>
      </c>
      <c r="C654" s="796" t="s">
        <v>392</v>
      </c>
      <c r="D654" s="796"/>
      <c r="E654" s="796"/>
      <c r="F654" s="761">
        <v>6975</v>
      </c>
      <c r="G654" s="761" t="s">
        <v>1394</v>
      </c>
      <c r="H654" s="799">
        <v>0</v>
      </c>
      <c r="I654" s="799">
        <v>0</v>
      </c>
      <c r="J654" s="799">
        <v>0</v>
      </c>
      <c r="K654" s="799">
        <v>10228</v>
      </c>
      <c r="L654" s="799">
        <v>74260</v>
      </c>
      <c r="M654" s="799">
        <v>0</v>
      </c>
      <c r="N654" s="799">
        <v>0</v>
      </c>
      <c r="O654" s="799">
        <v>4017</v>
      </c>
      <c r="P654" s="799">
        <v>10825</v>
      </c>
      <c r="Q654" s="799">
        <v>0</v>
      </c>
      <c r="R654" s="799">
        <v>3156</v>
      </c>
      <c r="S654" s="799">
        <v>3454</v>
      </c>
    </row>
    <row r="655" spans="1:19" x14ac:dyDescent="0.2">
      <c r="A655" s="761">
        <v>2015</v>
      </c>
      <c r="B655" s="761">
        <v>12</v>
      </c>
      <c r="C655" s="796" t="s">
        <v>393</v>
      </c>
      <c r="D655" s="796"/>
      <c r="E655" s="796"/>
      <c r="F655" s="761">
        <v>6983</v>
      </c>
      <c r="G655" s="761" t="s">
        <v>1395</v>
      </c>
      <c r="H655" s="799">
        <v>0</v>
      </c>
      <c r="I655" s="799">
        <v>0</v>
      </c>
      <c r="J655" s="799">
        <v>0</v>
      </c>
      <c r="K655" s="799">
        <v>0</v>
      </c>
      <c r="L655" s="799">
        <v>0</v>
      </c>
      <c r="M655" s="799">
        <v>264607</v>
      </c>
      <c r="N655" s="799">
        <v>0</v>
      </c>
      <c r="O655" s="799">
        <v>25697</v>
      </c>
      <c r="P655" s="799">
        <v>65506</v>
      </c>
      <c r="Q655" s="799">
        <v>0</v>
      </c>
      <c r="R655" s="799">
        <v>0</v>
      </c>
      <c r="S655" s="799">
        <v>29576</v>
      </c>
    </row>
    <row r="656" spans="1:19" x14ac:dyDescent="0.2">
      <c r="A656" s="761">
        <v>2015</v>
      </c>
      <c r="B656" s="761">
        <v>7</v>
      </c>
      <c r="C656" s="796" t="s">
        <v>394</v>
      </c>
      <c r="D656" s="796"/>
      <c r="E656" s="796"/>
      <c r="F656" s="761">
        <v>6985</v>
      </c>
      <c r="G656" s="761" t="s">
        <v>1396</v>
      </c>
      <c r="H656" s="799">
        <v>22648</v>
      </c>
      <c r="I656" s="799">
        <v>6767</v>
      </c>
      <c r="J656" s="799">
        <v>3140</v>
      </c>
      <c r="K656" s="799">
        <v>100253</v>
      </c>
      <c r="L656" s="799">
        <v>55277</v>
      </c>
      <c r="M656" s="799">
        <v>0</v>
      </c>
      <c r="N656" s="799">
        <v>1392</v>
      </c>
      <c r="O656" s="799">
        <v>3</v>
      </c>
      <c r="P656" s="799">
        <v>16823</v>
      </c>
      <c r="Q656" s="799">
        <v>0</v>
      </c>
      <c r="R656" s="799">
        <v>83</v>
      </c>
      <c r="S656" s="799">
        <v>6678</v>
      </c>
    </row>
    <row r="657" spans="1:19" x14ac:dyDescent="0.2">
      <c r="A657" s="761">
        <v>2015</v>
      </c>
      <c r="B657" s="761">
        <v>12</v>
      </c>
      <c r="C657" s="796" t="s">
        <v>395</v>
      </c>
      <c r="D657" s="796"/>
      <c r="E657" s="796"/>
      <c r="F657" s="761">
        <v>6987</v>
      </c>
      <c r="G657" s="761" t="s">
        <v>1397</v>
      </c>
      <c r="H657" s="799">
        <v>49720</v>
      </c>
      <c r="I657" s="799">
        <v>17050</v>
      </c>
      <c r="J657" s="799">
        <v>7618</v>
      </c>
      <c r="K657" s="799">
        <v>118814</v>
      </c>
      <c r="L657" s="799">
        <v>79566</v>
      </c>
      <c r="M657" s="799">
        <v>0</v>
      </c>
      <c r="N657" s="799">
        <v>19607</v>
      </c>
      <c r="O657" s="799">
        <v>0</v>
      </c>
      <c r="P657" s="799">
        <v>65</v>
      </c>
      <c r="Q657" s="799">
        <v>0</v>
      </c>
      <c r="R657" s="799">
        <v>0</v>
      </c>
      <c r="S657" s="799">
        <v>65541</v>
      </c>
    </row>
    <row r="658" spans="1:19" x14ac:dyDescent="0.2">
      <c r="A658" s="761">
        <v>2015</v>
      </c>
      <c r="B658" s="761">
        <v>12</v>
      </c>
      <c r="C658" s="796" t="s">
        <v>396</v>
      </c>
      <c r="D658" s="796"/>
      <c r="E658" s="796"/>
      <c r="F658" s="761">
        <v>6990</v>
      </c>
      <c r="G658" s="761" t="s">
        <v>1398</v>
      </c>
      <c r="H658" s="799">
        <v>7087</v>
      </c>
      <c r="I658" s="799">
        <v>0</v>
      </c>
      <c r="J658" s="799">
        <v>36475</v>
      </c>
      <c r="K658" s="799">
        <v>83767</v>
      </c>
      <c r="L658" s="799">
        <v>0</v>
      </c>
      <c r="M658" s="799">
        <v>14611</v>
      </c>
      <c r="N658" s="799">
        <v>23908</v>
      </c>
      <c r="O658" s="799">
        <v>18458</v>
      </c>
      <c r="P658" s="799">
        <v>7838</v>
      </c>
      <c r="Q658" s="799">
        <v>0</v>
      </c>
      <c r="R658" s="799">
        <v>5050</v>
      </c>
      <c r="S658" s="799">
        <v>34078</v>
      </c>
    </row>
    <row r="659" spans="1:19" x14ac:dyDescent="0.2">
      <c r="A659" s="761">
        <v>2015</v>
      </c>
      <c r="B659" s="761">
        <v>12</v>
      </c>
      <c r="C659" s="796" t="s">
        <v>397</v>
      </c>
      <c r="D659" s="796"/>
      <c r="E659" s="796"/>
      <c r="F659" s="761">
        <v>6992</v>
      </c>
      <c r="G659" s="761" t="s">
        <v>1399</v>
      </c>
      <c r="H659" s="799">
        <v>0</v>
      </c>
      <c r="I659" s="799">
        <v>0</v>
      </c>
      <c r="J659" s="799">
        <v>0</v>
      </c>
      <c r="K659" s="799">
        <v>0</v>
      </c>
      <c r="L659" s="799">
        <v>0</v>
      </c>
      <c r="M659" s="799">
        <v>147505</v>
      </c>
      <c r="N659" s="799">
        <v>0</v>
      </c>
      <c r="O659" s="799">
        <v>35152</v>
      </c>
      <c r="P659" s="799">
        <v>0</v>
      </c>
      <c r="Q659" s="799">
        <v>0</v>
      </c>
      <c r="R659" s="799">
        <v>3872</v>
      </c>
      <c r="S659" s="799">
        <v>23894</v>
      </c>
    </row>
    <row r="660" spans="1:19" x14ac:dyDescent="0.2">
      <c r="A660" s="761">
        <v>2015</v>
      </c>
      <c r="B660" s="761">
        <v>12</v>
      </c>
      <c r="C660" s="796" t="s">
        <v>398</v>
      </c>
      <c r="D660" s="796"/>
      <c r="E660" s="796"/>
      <c r="F660" s="761">
        <v>7002</v>
      </c>
      <c r="G660" s="761" t="s">
        <v>1400</v>
      </c>
      <c r="H660" s="799">
        <v>0</v>
      </c>
      <c r="I660" s="799">
        <v>0</v>
      </c>
      <c r="J660" s="799">
        <v>0</v>
      </c>
      <c r="K660" s="799">
        <v>0</v>
      </c>
      <c r="L660" s="799">
        <v>3785</v>
      </c>
      <c r="M660" s="799">
        <v>0</v>
      </c>
      <c r="N660" s="799">
        <v>0</v>
      </c>
      <c r="O660" s="799">
        <v>0</v>
      </c>
      <c r="P660" s="799">
        <v>0</v>
      </c>
      <c r="Q660" s="799">
        <v>0</v>
      </c>
      <c r="R660" s="799">
        <v>0</v>
      </c>
      <c r="S660" s="799">
        <v>7279</v>
      </c>
    </row>
    <row r="661" spans="1:19" x14ac:dyDescent="0.2">
      <c r="A661" s="761">
        <v>2015</v>
      </c>
      <c r="B661" s="761">
        <v>10</v>
      </c>
      <c r="C661" s="796" t="s">
        <v>399</v>
      </c>
      <c r="D661" s="796"/>
      <c r="E661" s="796"/>
      <c r="F661" s="761">
        <v>7029</v>
      </c>
      <c r="G661" s="761" t="s">
        <v>1401</v>
      </c>
      <c r="H661" s="799">
        <v>470</v>
      </c>
      <c r="I661" s="799">
        <v>67614</v>
      </c>
      <c r="J661" s="799">
        <v>0</v>
      </c>
      <c r="K661" s="799">
        <v>6662</v>
      </c>
      <c r="L661" s="799">
        <v>0</v>
      </c>
      <c r="M661" s="799">
        <v>40599</v>
      </c>
      <c r="N661" s="799">
        <v>44184</v>
      </c>
      <c r="O661" s="799">
        <v>0</v>
      </c>
      <c r="P661" s="799">
        <v>0</v>
      </c>
      <c r="Q661" s="799">
        <v>0</v>
      </c>
      <c r="R661" s="799">
        <v>0</v>
      </c>
      <c r="S661" s="799">
        <v>27507</v>
      </c>
    </row>
    <row r="662" spans="1:19" x14ac:dyDescent="0.2">
      <c r="A662" s="761">
        <v>2015</v>
      </c>
      <c r="B662" s="761">
        <v>9</v>
      </c>
      <c r="C662" s="796" t="s">
        <v>400</v>
      </c>
      <c r="D662" s="796"/>
      <c r="E662" s="796"/>
      <c r="F662" s="761">
        <v>7038</v>
      </c>
      <c r="G662" s="761" t="s">
        <v>1402</v>
      </c>
      <c r="H662" s="799">
        <v>14004</v>
      </c>
      <c r="I662" s="799">
        <v>5671</v>
      </c>
      <c r="J662" s="799">
        <v>15062</v>
      </c>
      <c r="K662" s="799">
        <v>0</v>
      </c>
      <c r="L662" s="799">
        <v>56288</v>
      </c>
      <c r="M662" s="799">
        <v>49416</v>
      </c>
      <c r="N662" s="799">
        <v>0</v>
      </c>
      <c r="O662" s="799">
        <v>33142</v>
      </c>
      <c r="P662" s="799">
        <v>20932</v>
      </c>
      <c r="Q662" s="799">
        <v>0</v>
      </c>
      <c r="R662" s="799">
        <v>0</v>
      </c>
      <c r="S662" s="799">
        <v>22943</v>
      </c>
    </row>
    <row r="663" spans="1:19" x14ac:dyDescent="0.2">
      <c r="A663" s="761">
        <v>2015</v>
      </c>
      <c r="B663" s="761">
        <v>15</v>
      </c>
      <c r="C663" s="796" t="s">
        <v>401</v>
      </c>
      <c r="D663" s="796"/>
      <c r="E663" s="796"/>
      <c r="F663" s="761">
        <v>7047</v>
      </c>
      <c r="G663" s="761" t="s">
        <v>1403</v>
      </c>
      <c r="H663" s="799">
        <v>0</v>
      </c>
      <c r="I663" s="799">
        <v>0</v>
      </c>
      <c r="J663" s="799">
        <v>73361</v>
      </c>
      <c r="K663" s="799">
        <v>66820</v>
      </c>
      <c r="L663" s="799">
        <v>0</v>
      </c>
      <c r="M663" s="799">
        <v>0</v>
      </c>
      <c r="N663" s="799">
        <v>14321</v>
      </c>
      <c r="O663" s="799">
        <v>0</v>
      </c>
      <c r="P663" s="799">
        <v>0</v>
      </c>
      <c r="Q663" s="799">
        <v>0</v>
      </c>
      <c r="R663" s="799">
        <v>1464</v>
      </c>
      <c r="S663" s="799">
        <v>20349</v>
      </c>
    </row>
    <row r="664" spans="1:19" x14ac:dyDescent="0.2">
      <c r="A664" s="761">
        <v>2015</v>
      </c>
      <c r="B664" s="761">
        <v>11</v>
      </c>
      <c r="C664" s="796" t="s">
        <v>402</v>
      </c>
      <c r="D664" s="796"/>
      <c r="E664" s="796"/>
      <c r="F664" s="761">
        <v>7056</v>
      </c>
      <c r="G664" s="761" t="s">
        <v>1404</v>
      </c>
      <c r="H664" s="799">
        <v>0</v>
      </c>
      <c r="I664" s="799">
        <v>0</v>
      </c>
      <c r="J664" s="799">
        <v>0</v>
      </c>
      <c r="K664" s="799">
        <v>68455</v>
      </c>
      <c r="L664" s="799">
        <v>0</v>
      </c>
      <c r="M664" s="799">
        <v>0</v>
      </c>
      <c r="N664" s="799">
        <v>55924</v>
      </c>
      <c r="O664" s="799">
        <v>0</v>
      </c>
      <c r="P664" s="799">
        <v>0</v>
      </c>
      <c r="Q664" s="799">
        <v>0</v>
      </c>
      <c r="R664" s="799">
        <v>0</v>
      </c>
      <c r="S664" s="799">
        <v>0</v>
      </c>
    </row>
    <row r="665" spans="1:19" x14ac:dyDescent="0.2">
      <c r="A665" s="761">
        <v>2015</v>
      </c>
      <c r="B665" s="761">
        <v>13</v>
      </c>
      <c r="C665" s="796" t="s">
        <v>403</v>
      </c>
      <c r="D665" s="796"/>
      <c r="E665" s="796"/>
      <c r="F665" s="761">
        <v>7092</v>
      </c>
      <c r="G665" s="761" t="s">
        <v>1405</v>
      </c>
      <c r="H665" s="799">
        <v>0</v>
      </c>
      <c r="I665" s="799">
        <v>0</v>
      </c>
      <c r="J665" s="799">
        <v>0</v>
      </c>
      <c r="K665" s="799">
        <v>14023</v>
      </c>
      <c r="L665" s="799">
        <v>0</v>
      </c>
      <c r="M665" s="799">
        <v>0</v>
      </c>
      <c r="N665" s="799">
        <v>16283</v>
      </c>
      <c r="O665" s="799">
        <v>55303</v>
      </c>
      <c r="P665" s="799">
        <v>46999</v>
      </c>
      <c r="Q665" s="799">
        <v>0</v>
      </c>
      <c r="R665" s="799">
        <v>5835</v>
      </c>
      <c r="S665" s="799">
        <v>18560</v>
      </c>
    </row>
    <row r="666" spans="1:19" x14ac:dyDescent="0.2">
      <c r="A666" s="761">
        <v>2015</v>
      </c>
      <c r="B666" s="761">
        <v>12</v>
      </c>
      <c r="C666" s="796" t="s">
        <v>404</v>
      </c>
      <c r="D666" s="796"/>
      <c r="E666" s="796"/>
      <c r="F666" s="761">
        <v>7098</v>
      </c>
      <c r="G666" s="761" t="s">
        <v>1406</v>
      </c>
      <c r="H666" s="799">
        <v>571</v>
      </c>
      <c r="I666" s="799">
        <v>3377</v>
      </c>
      <c r="J666" s="799">
        <v>42514</v>
      </c>
      <c r="K666" s="799">
        <v>57057</v>
      </c>
      <c r="L666" s="799">
        <v>46160</v>
      </c>
      <c r="M666" s="799">
        <v>82285</v>
      </c>
      <c r="N666" s="799">
        <v>27477</v>
      </c>
      <c r="O666" s="799">
        <v>13872</v>
      </c>
      <c r="P666" s="799">
        <v>55441</v>
      </c>
      <c r="Q666" s="799">
        <v>0</v>
      </c>
      <c r="R666" s="799">
        <v>7015</v>
      </c>
      <c r="S666" s="799">
        <v>19157</v>
      </c>
    </row>
    <row r="667" spans="1:19" x14ac:dyDescent="0.2">
      <c r="A667" s="761">
        <v>2015</v>
      </c>
      <c r="B667" s="761">
        <v>11</v>
      </c>
      <c r="C667" s="796" t="s">
        <v>405</v>
      </c>
      <c r="D667" s="796"/>
      <c r="E667" s="796"/>
      <c r="F667" s="761">
        <v>7110</v>
      </c>
      <c r="G667" s="761" t="s">
        <v>1407</v>
      </c>
      <c r="H667" s="799">
        <v>0</v>
      </c>
      <c r="I667" s="799">
        <v>0</v>
      </c>
      <c r="J667" s="799">
        <v>8113</v>
      </c>
      <c r="K667" s="799">
        <v>4638</v>
      </c>
      <c r="L667" s="799">
        <v>0</v>
      </c>
      <c r="M667" s="799">
        <v>9766</v>
      </c>
      <c r="N667" s="799">
        <v>39501</v>
      </c>
      <c r="O667" s="799">
        <v>27303</v>
      </c>
      <c r="P667" s="799">
        <v>2137</v>
      </c>
      <c r="Q667" s="799">
        <v>1</v>
      </c>
      <c r="R667" s="799">
        <v>509</v>
      </c>
      <c r="S667" s="799">
        <v>22307</v>
      </c>
    </row>
    <row r="668" spans="1:19" x14ac:dyDescent="0.2">
      <c r="A668" s="761">
        <v>2016</v>
      </c>
      <c r="B668" s="761">
        <v>7</v>
      </c>
      <c r="C668" s="796" t="s">
        <v>77</v>
      </c>
      <c r="D668" s="796"/>
      <c r="E668" s="796"/>
      <c r="F668" s="761">
        <v>9</v>
      </c>
      <c r="G668" s="761" t="s">
        <v>998</v>
      </c>
      <c r="H668" s="799">
        <v>59389</v>
      </c>
      <c r="I668" s="799">
        <v>18262</v>
      </c>
      <c r="J668" s="799">
        <v>0</v>
      </c>
      <c r="K668" s="799">
        <v>74184</v>
      </c>
      <c r="L668" s="799">
        <v>0</v>
      </c>
      <c r="M668" s="799">
        <v>99828</v>
      </c>
      <c r="N668" s="799">
        <v>35489</v>
      </c>
      <c r="O668" s="799">
        <v>15241</v>
      </c>
      <c r="P668" s="799">
        <v>27817</v>
      </c>
      <c r="Q668" s="799">
        <v>0</v>
      </c>
      <c r="R668" s="799">
        <v>0</v>
      </c>
      <c r="S668" s="799">
        <v>43366</v>
      </c>
    </row>
    <row r="669" spans="1:19" x14ac:dyDescent="0.2">
      <c r="A669" s="761">
        <v>2016</v>
      </c>
      <c r="B669" s="761">
        <v>11</v>
      </c>
      <c r="C669" s="796" t="s">
        <v>75</v>
      </c>
      <c r="D669" s="796"/>
      <c r="E669" s="796"/>
      <c r="F669" s="761">
        <v>18</v>
      </c>
      <c r="G669" s="761" t="s">
        <v>1007</v>
      </c>
      <c r="H669" s="799">
        <v>21756</v>
      </c>
      <c r="I669" s="799">
        <v>1783</v>
      </c>
      <c r="J669" s="799">
        <v>39592</v>
      </c>
      <c r="K669" s="799">
        <v>0</v>
      </c>
      <c r="L669" s="799">
        <v>28375</v>
      </c>
      <c r="M669" s="799">
        <v>58966</v>
      </c>
      <c r="N669" s="799">
        <v>557</v>
      </c>
      <c r="O669" s="799">
        <v>5787</v>
      </c>
      <c r="P669" s="799">
        <v>3768</v>
      </c>
      <c r="Q669" s="799">
        <v>28140</v>
      </c>
      <c r="R669" s="799">
        <v>306</v>
      </c>
      <c r="S669" s="799">
        <v>33197</v>
      </c>
    </row>
    <row r="670" spans="1:19" x14ac:dyDescent="0.2">
      <c r="A670" s="761">
        <v>2016</v>
      </c>
      <c r="B670" s="761">
        <v>11</v>
      </c>
      <c r="C670" s="796" t="s">
        <v>76</v>
      </c>
      <c r="D670" s="796"/>
      <c r="E670" s="796"/>
      <c r="F670" s="761">
        <v>27</v>
      </c>
      <c r="G670" s="761" t="s">
        <v>2005</v>
      </c>
      <c r="H670" s="799">
        <v>6148</v>
      </c>
      <c r="I670" s="799">
        <v>0</v>
      </c>
      <c r="J670" s="799">
        <v>0</v>
      </c>
      <c r="K670" s="799">
        <v>47977</v>
      </c>
      <c r="L670" s="799">
        <v>0</v>
      </c>
      <c r="M670" s="799">
        <v>0</v>
      </c>
      <c r="N670" s="799">
        <v>40095</v>
      </c>
      <c r="O670" s="799">
        <v>30060</v>
      </c>
      <c r="P670" s="799">
        <v>17713</v>
      </c>
      <c r="Q670" s="799">
        <v>0</v>
      </c>
      <c r="R670" s="799">
        <v>0</v>
      </c>
      <c r="S670" s="799">
        <v>56163</v>
      </c>
    </row>
    <row r="671" spans="1:19" x14ac:dyDescent="0.2">
      <c r="A671" s="761">
        <v>2016</v>
      </c>
      <c r="B671" s="761">
        <v>12</v>
      </c>
      <c r="C671" s="796" t="s">
        <v>79</v>
      </c>
      <c r="D671" s="796"/>
      <c r="E671" s="796"/>
      <c r="F671" s="761">
        <v>63</v>
      </c>
      <c r="G671" s="761" t="s">
        <v>1008</v>
      </c>
      <c r="H671" s="799">
        <v>0</v>
      </c>
      <c r="I671" s="799">
        <v>0</v>
      </c>
      <c r="J671" s="799">
        <v>0</v>
      </c>
      <c r="K671" s="799">
        <v>0</v>
      </c>
      <c r="L671" s="799">
        <v>0</v>
      </c>
      <c r="M671" s="799">
        <v>52834</v>
      </c>
      <c r="N671" s="799">
        <v>0</v>
      </c>
      <c r="O671" s="799">
        <v>10858</v>
      </c>
      <c r="P671" s="799">
        <v>19322</v>
      </c>
      <c r="Q671" s="799">
        <v>0</v>
      </c>
      <c r="R671" s="799">
        <v>0</v>
      </c>
      <c r="S671" s="799">
        <v>3753</v>
      </c>
    </row>
    <row r="672" spans="1:19" x14ac:dyDescent="0.2">
      <c r="A672" s="761">
        <v>2016</v>
      </c>
      <c r="B672" s="761">
        <v>5</v>
      </c>
      <c r="C672" s="796" t="s">
        <v>80</v>
      </c>
      <c r="D672" s="796"/>
      <c r="E672" s="796"/>
      <c r="F672" s="761">
        <v>72</v>
      </c>
      <c r="G672" s="761" t="s">
        <v>1009</v>
      </c>
      <c r="H672" s="799">
        <v>0</v>
      </c>
      <c r="I672" s="799">
        <v>0</v>
      </c>
      <c r="J672" s="799">
        <v>0</v>
      </c>
      <c r="K672" s="799">
        <v>0</v>
      </c>
      <c r="L672" s="799">
        <v>0</v>
      </c>
      <c r="M672" s="799">
        <v>0</v>
      </c>
      <c r="N672" s="799">
        <v>82650</v>
      </c>
      <c r="O672" s="799">
        <v>16262</v>
      </c>
      <c r="P672" s="799">
        <v>9742</v>
      </c>
      <c r="Q672" s="799">
        <v>0</v>
      </c>
      <c r="R672" s="799">
        <v>5790</v>
      </c>
      <c r="S672" s="799">
        <v>15446</v>
      </c>
    </row>
    <row r="673" spans="1:19" x14ac:dyDescent="0.2">
      <c r="A673" s="761">
        <v>2016</v>
      </c>
      <c r="B673" s="761">
        <v>15</v>
      </c>
      <c r="C673" s="796" t="s">
        <v>81</v>
      </c>
      <c r="D673" s="796"/>
      <c r="E673" s="796"/>
      <c r="F673" s="761">
        <v>81</v>
      </c>
      <c r="G673" s="761" t="s">
        <v>1010</v>
      </c>
      <c r="H673" s="799">
        <v>0</v>
      </c>
      <c r="I673" s="799">
        <v>1418</v>
      </c>
      <c r="J673" s="799">
        <v>62227</v>
      </c>
      <c r="K673" s="799">
        <v>9323</v>
      </c>
      <c r="L673" s="799">
        <v>3596</v>
      </c>
      <c r="M673" s="799">
        <v>0</v>
      </c>
      <c r="N673" s="799">
        <v>98720</v>
      </c>
      <c r="O673" s="799">
        <v>40484</v>
      </c>
      <c r="P673" s="799">
        <v>37822</v>
      </c>
      <c r="Q673" s="799">
        <v>0</v>
      </c>
      <c r="R673" s="799">
        <v>64013</v>
      </c>
      <c r="S673" s="799">
        <v>0</v>
      </c>
    </row>
    <row r="674" spans="1:19" x14ac:dyDescent="0.2">
      <c r="A674" s="761">
        <v>2016</v>
      </c>
      <c r="B674" s="761">
        <v>10</v>
      </c>
      <c r="C674" s="796" t="s">
        <v>82</v>
      </c>
      <c r="D674" s="796"/>
      <c r="E674" s="796"/>
      <c r="F674" s="761">
        <v>99</v>
      </c>
      <c r="G674" s="761" t="s">
        <v>1011</v>
      </c>
      <c r="H674" s="799">
        <v>0</v>
      </c>
      <c r="I674" s="799">
        <v>0</v>
      </c>
      <c r="J674" s="799">
        <v>9003</v>
      </c>
      <c r="K674" s="799">
        <v>0</v>
      </c>
      <c r="L674" s="799">
        <v>0</v>
      </c>
      <c r="M674" s="799">
        <v>11500</v>
      </c>
      <c r="N674" s="799">
        <v>0</v>
      </c>
      <c r="O674" s="799">
        <v>1982</v>
      </c>
      <c r="P674" s="799">
        <v>26221</v>
      </c>
      <c r="Q674" s="799">
        <v>0</v>
      </c>
      <c r="R674" s="799">
        <v>0</v>
      </c>
      <c r="S674" s="799">
        <v>5505</v>
      </c>
    </row>
    <row r="675" spans="1:19" x14ac:dyDescent="0.2">
      <c r="A675" s="761">
        <v>2016</v>
      </c>
      <c r="B675" s="761">
        <v>7</v>
      </c>
      <c r="C675" s="796" t="s">
        <v>83</v>
      </c>
      <c r="D675" s="796"/>
      <c r="E675" s="796"/>
      <c r="F675" s="761">
        <v>108</v>
      </c>
      <c r="G675" s="761" t="s">
        <v>1012</v>
      </c>
      <c r="H675" s="799">
        <v>2335</v>
      </c>
      <c r="I675" s="799">
        <v>0</v>
      </c>
      <c r="J675" s="799">
        <v>56783</v>
      </c>
      <c r="K675" s="799">
        <v>0</v>
      </c>
      <c r="L675" s="799">
        <v>0</v>
      </c>
      <c r="M675" s="799">
        <v>28052</v>
      </c>
      <c r="N675" s="799">
        <v>18542</v>
      </c>
      <c r="O675" s="799">
        <v>4208</v>
      </c>
      <c r="P675" s="799">
        <v>11010</v>
      </c>
      <c r="Q675" s="799">
        <v>0</v>
      </c>
      <c r="R675" s="799">
        <v>0</v>
      </c>
      <c r="S675" s="799">
        <v>32301</v>
      </c>
    </row>
    <row r="676" spans="1:19" x14ac:dyDescent="0.2">
      <c r="A676" s="761">
        <v>2016</v>
      </c>
      <c r="B676" s="761">
        <v>5</v>
      </c>
      <c r="C676" s="796" t="s">
        <v>84</v>
      </c>
      <c r="D676" s="761">
        <v>6417</v>
      </c>
      <c r="E676" s="796"/>
      <c r="F676" s="761">
        <v>126</v>
      </c>
      <c r="G676" s="761" t="s">
        <v>1013</v>
      </c>
      <c r="H676" s="799">
        <v>0</v>
      </c>
      <c r="I676" s="799">
        <v>0</v>
      </c>
      <c r="J676" s="799">
        <v>0</v>
      </c>
      <c r="K676" s="799">
        <v>128348</v>
      </c>
      <c r="L676" s="799">
        <v>0</v>
      </c>
      <c r="M676" s="799">
        <v>204107</v>
      </c>
      <c r="N676" s="799">
        <v>0</v>
      </c>
      <c r="O676" s="799">
        <v>1162</v>
      </c>
      <c r="P676" s="799">
        <v>19402</v>
      </c>
      <c r="Q676" s="799">
        <v>0</v>
      </c>
      <c r="R676" s="799">
        <v>2735</v>
      </c>
      <c r="S676" s="799">
        <v>19115</v>
      </c>
    </row>
    <row r="677" spans="1:19" x14ac:dyDescent="0.2">
      <c r="A677" s="761">
        <v>2016</v>
      </c>
      <c r="B677" s="761">
        <v>1</v>
      </c>
      <c r="C677" s="796" t="s">
        <v>85</v>
      </c>
      <c r="D677" s="796"/>
      <c r="E677" s="796"/>
      <c r="F677" s="761">
        <v>135</v>
      </c>
      <c r="G677" s="761" t="s">
        <v>1014</v>
      </c>
      <c r="H677" s="799">
        <v>0</v>
      </c>
      <c r="I677" s="799">
        <v>0</v>
      </c>
      <c r="J677" s="799">
        <v>0</v>
      </c>
      <c r="K677" s="799">
        <v>211616</v>
      </c>
      <c r="L677" s="799">
        <v>30603</v>
      </c>
      <c r="M677" s="799">
        <v>116970</v>
      </c>
      <c r="N677" s="799">
        <v>18336</v>
      </c>
      <c r="O677" s="799">
        <v>17187</v>
      </c>
      <c r="P677" s="799">
        <v>93457</v>
      </c>
      <c r="Q677" s="799">
        <v>0</v>
      </c>
      <c r="R677" s="799">
        <v>0</v>
      </c>
      <c r="S677" s="799">
        <v>50035</v>
      </c>
    </row>
    <row r="678" spans="1:19" x14ac:dyDescent="0.2">
      <c r="A678" s="761">
        <v>2016</v>
      </c>
      <c r="B678" s="761">
        <v>7</v>
      </c>
      <c r="C678" s="796" t="s">
        <v>86</v>
      </c>
      <c r="D678" s="796"/>
      <c r="E678" s="796"/>
      <c r="F678" s="761">
        <v>153</v>
      </c>
      <c r="G678" s="761" t="s">
        <v>1482</v>
      </c>
      <c r="H678" s="799">
        <v>0</v>
      </c>
      <c r="I678" s="799">
        <v>7151</v>
      </c>
      <c r="J678" s="799">
        <v>106260</v>
      </c>
      <c r="K678" s="799">
        <v>48366</v>
      </c>
      <c r="L678" s="799">
        <v>0</v>
      </c>
      <c r="M678" s="799">
        <v>20548</v>
      </c>
      <c r="N678" s="799">
        <v>119223</v>
      </c>
      <c r="O678" s="799">
        <v>6959</v>
      </c>
      <c r="P678" s="799">
        <v>31520</v>
      </c>
      <c r="Q678" s="799">
        <v>0</v>
      </c>
      <c r="R678" s="799">
        <v>1068</v>
      </c>
      <c r="S678" s="799">
        <v>48927</v>
      </c>
    </row>
    <row r="679" spans="1:19" x14ac:dyDescent="0.2">
      <c r="A679" s="761">
        <v>2016</v>
      </c>
      <c r="B679" s="761">
        <v>5</v>
      </c>
      <c r="C679" s="796" t="s">
        <v>87</v>
      </c>
      <c r="D679" s="796"/>
      <c r="E679" s="796"/>
      <c r="F679" s="761">
        <v>171</v>
      </c>
      <c r="G679" s="761" t="s">
        <v>1015</v>
      </c>
      <c r="H679" s="799">
        <v>31601</v>
      </c>
      <c r="I679" s="799">
        <v>43564</v>
      </c>
      <c r="J679" s="799">
        <v>1662</v>
      </c>
      <c r="K679" s="799">
        <v>11954</v>
      </c>
      <c r="L679" s="799">
        <v>0</v>
      </c>
      <c r="M679" s="799">
        <v>36642</v>
      </c>
      <c r="N679" s="799">
        <v>26659</v>
      </c>
      <c r="O679" s="799">
        <v>15637</v>
      </c>
      <c r="P679" s="799">
        <v>3743</v>
      </c>
      <c r="Q679" s="799">
        <v>0</v>
      </c>
      <c r="R679" s="799">
        <v>0</v>
      </c>
      <c r="S679" s="799">
        <v>23260</v>
      </c>
    </row>
    <row r="680" spans="1:19" x14ac:dyDescent="0.2">
      <c r="A680" s="761">
        <v>2016</v>
      </c>
      <c r="B680" s="761">
        <v>11</v>
      </c>
      <c r="C680" s="796" t="s">
        <v>88</v>
      </c>
      <c r="D680" s="796"/>
      <c r="E680" s="796"/>
      <c r="F680" s="761">
        <v>225</v>
      </c>
      <c r="G680" s="761" t="s">
        <v>1016</v>
      </c>
      <c r="H680" s="799">
        <v>7483</v>
      </c>
      <c r="I680" s="799">
        <v>0</v>
      </c>
      <c r="J680" s="799">
        <v>0</v>
      </c>
      <c r="K680" s="799">
        <v>0</v>
      </c>
      <c r="L680" s="799">
        <v>0</v>
      </c>
      <c r="M680" s="799">
        <v>470301</v>
      </c>
      <c r="N680" s="799">
        <v>243986</v>
      </c>
      <c r="O680" s="799">
        <v>115405</v>
      </c>
      <c r="P680" s="799">
        <v>219691</v>
      </c>
      <c r="Q680" s="799">
        <v>248</v>
      </c>
      <c r="R680" s="799">
        <v>414286</v>
      </c>
      <c r="S680" s="799">
        <v>96622</v>
      </c>
    </row>
    <row r="681" spans="1:19" x14ac:dyDescent="0.2">
      <c r="A681" s="761">
        <v>2016</v>
      </c>
      <c r="B681" s="761">
        <v>10</v>
      </c>
      <c r="C681" s="796" t="s">
        <v>89</v>
      </c>
      <c r="D681" s="796"/>
      <c r="E681" s="796"/>
      <c r="F681" s="761">
        <v>234</v>
      </c>
      <c r="G681" s="761" t="s">
        <v>1017</v>
      </c>
      <c r="H681" s="799">
        <v>37289</v>
      </c>
      <c r="I681" s="799">
        <v>3825</v>
      </c>
      <c r="J681" s="799">
        <v>87075</v>
      </c>
      <c r="K681" s="799">
        <v>41328</v>
      </c>
      <c r="L681" s="799">
        <v>0</v>
      </c>
      <c r="M681" s="799">
        <v>212269</v>
      </c>
      <c r="N681" s="799">
        <v>88940</v>
      </c>
      <c r="O681" s="799">
        <v>14340</v>
      </c>
      <c r="P681" s="799">
        <v>0</v>
      </c>
      <c r="Q681" s="799">
        <v>0</v>
      </c>
      <c r="R681" s="799">
        <v>2344</v>
      </c>
      <c r="S681" s="799">
        <v>29294</v>
      </c>
    </row>
    <row r="682" spans="1:19" x14ac:dyDescent="0.2">
      <c r="A682" s="761">
        <v>2016</v>
      </c>
      <c r="B682" s="761">
        <v>9</v>
      </c>
      <c r="C682" s="796" t="s">
        <v>90</v>
      </c>
      <c r="D682" s="796"/>
      <c r="E682" s="796"/>
      <c r="F682" s="761">
        <v>243</v>
      </c>
      <c r="G682" s="761" t="s">
        <v>1018</v>
      </c>
      <c r="H682" s="799">
        <v>0</v>
      </c>
      <c r="I682" s="799">
        <v>0</v>
      </c>
      <c r="J682" s="799">
        <v>28067</v>
      </c>
      <c r="K682" s="799">
        <v>50</v>
      </c>
      <c r="L682" s="799">
        <v>0</v>
      </c>
      <c r="M682" s="799">
        <v>94455</v>
      </c>
      <c r="N682" s="799">
        <v>19801</v>
      </c>
      <c r="O682" s="799">
        <v>229</v>
      </c>
      <c r="P682" s="799">
        <v>4343</v>
      </c>
      <c r="Q682" s="799">
        <v>0</v>
      </c>
      <c r="R682" s="799">
        <v>32769</v>
      </c>
      <c r="S682" s="799">
        <v>24024</v>
      </c>
    </row>
    <row r="683" spans="1:19" x14ac:dyDescent="0.2">
      <c r="A683" s="761">
        <v>2016</v>
      </c>
      <c r="B683" s="761">
        <v>11</v>
      </c>
      <c r="C683" s="796" t="s">
        <v>91</v>
      </c>
      <c r="D683" s="796"/>
      <c r="E683" s="796"/>
      <c r="F683" s="761">
        <v>261</v>
      </c>
      <c r="G683" s="761" t="s">
        <v>1019</v>
      </c>
      <c r="H683" s="799">
        <v>0</v>
      </c>
      <c r="I683" s="799">
        <v>0</v>
      </c>
      <c r="J683" s="799">
        <v>0</v>
      </c>
      <c r="K683" s="799">
        <v>68700</v>
      </c>
      <c r="L683" s="799">
        <v>0</v>
      </c>
      <c r="M683" s="799">
        <v>0</v>
      </c>
      <c r="N683" s="799">
        <v>0</v>
      </c>
      <c r="O683" s="799">
        <v>247616</v>
      </c>
      <c r="P683" s="799">
        <v>0</v>
      </c>
      <c r="Q683" s="799">
        <v>0</v>
      </c>
      <c r="R683" s="799">
        <v>434746</v>
      </c>
      <c r="S683" s="799">
        <v>511554</v>
      </c>
    </row>
    <row r="684" spans="1:19" x14ac:dyDescent="0.2">
      <c r="A684" s="761">
        <v>2016</v>
      </c>
      <c r="B684" s="761">
        <v>7</v>
      </c>
      <c r="C684" s="796" t="s">
        <v>92</v>
      </c>
      <c r="D684" s="796"/>
      <c r="E684" s="796"/>
      <c r="F684" s="761">
        <v>279</v>
      </c>
      <c r="G684" s="761" t="s">
        <v>1455</v>
      </c>
      <c r="H684" s="799">
        <v>0</v>
      </c>
      <c r="I684" s="799">
        <v>1691</v>
      </c>
      <c r="J684" s="799">
        <v>0</v>
      </c>
      <c r="K684" s="799">
        <v>104876</v>
      </c>
      <c r="L684" s="799">
        <v>3129</v>
      </c>
      <c r="M684" s="799">
        <v>77339</v>
      </c>
      <c r="N684" s="799">
        <v>53459</v>
      </c>
      <c r="O684" s="799">
        <v>21677</v>
      </c>
      <c r="P684" s="799">
        <v>109788</v>
      </c>
      <c r="Q684" s="799">
        <v>2886</v>
      </c>
      <c r="R684" s="799">
        <v>0</v>
      </c>
      <c r="S684" s="799">
        <v>33236</v>
      </c>
    </row>
    <row r="685" spans="1:19" x14ac:dyDescent="0.2">
      <c r="A685" s="761">
        <v>2016</v>
      </c>
      <c r="B685" s="761">
        <v>5</v>
      </c>
      <c r="C685" s="796" t="s">
        <v>93</v>
      </c>
      <c r="D685" s="761">
        <v>5868</v>
      </c>
      <c r="E685" s="796"/>
      <c r="F685" s="761">
        <v>333</v>
      </c>
      <c r="G685" s="761" t="s">
        <v>1635</v>
      </c>
      <c r="H685" s="799">
        <v>0</v>
      </c>
      <c r="I685" s="799">
        <v>0</v>
      </c>
      <c r="J685" s="799">
        <v>36225</v>
      </c>
      <c r="K685" s="799">
        <v>36085</v>
      </c>
      <c r="L685" s="799">
        <v>0</v>
      </c>
      <c r="M685" s="799">
        <v>25046</v>
      </c>
      <c r="N685" s="799">
        <v>68473</v>
      </c>
      <c r="O685" s="799">
        <v>93448</v>
      </c>
      <c r="P685" s="799">
        <v>1468</v>
      </c>
      <c r="Q685" s="799">
        <v>0</v>
      </c>
      <c r="R685" s="799">
        <v>0</v>
      </c>
      <c r="S685" s="799">
        <v>10719</v>
      </c>
    </row>
    <row r="686" spans="1:19" x14ac:dyDescent="0.2">
      <c r="A686" s="761">
        <v>2016</v>
      </c>
      <c r="B686" s="761">
        <v>12</v>
      </c>
      <c r="C686" s="796" t="s">
        <v>94</v>
      </c>
      <c r="D686" s="796"/>
      <c r="E686" s="796"/>
      <c r="F686" s="761">
        <v>355</v>
      </c>
      <c r="G686" s="761" t="s">
        <v>1020</v>
      </c>
      <c r="H686" s="799">
        <v>0</v>
      </c>
      <c r="I686" s="799">
        <v>0</v>
      </c>
      <c r="J686" s="799">
        <v>0</v>
      </c>
      <c r="K686" s="799">
        <v>0</v>
      </c>
      <c r="L686" s="799">
        <v>0</v>
      </c>
      <c r="M686" s="799">
        <v>81727</v>
      </c>
      <c r="N686" s="799">
        <v>20986</v>
      </c>
      <c r="O686" s="799">
        <v>51686</v>
      </c>
      <c r="P686" s="799">
        <v>15601</v>
      </c>
      <c r="Q686" s="799">
        <v>0</v>
      </c>
      <c r="R686" s="799">
        <v>2201</v>
      </c>
      <c r="S686" s="799">
        <v>28946</v>
      </c>
    </row>
    <row r="687" spans="1:19" x14ac:dyDescent="0.2">
      <c r="A687" s="761">
        <v>2016</v>
      </c>
      <c r="B687" s="761">
        <v>13</v>
      </c>
      <c r="C687" s="796" t="s">
        <v>95</v>
      </c>
      <c r="D687" s="796"/>
      <c r="E687" s="796"/>
      <c r="F687" s="761">
        <v>387</v>
      </c>
      <c r="G687" s="761" t="s">
        <v>1021</v>
      </c>
      <c r="H687" s="799">
        <v>0</v>
      </c>
      <c r="I687" s="799">
        <v>0</v>
      </c>
      <c r="J687" s="799">
        <v>0</v>
      </c>
      <c r="K687" s="799">
        <v>53521</v>
      </c>
      <c r="L687" s="799">
        <v>0</v>
      </c>
      <c r="M687" s="799">
        <v>37412</v>
      </c>
      <c r="N687" s="799">
        <v>0</v>
      </c>
      <c r="O687" s="799">
        <v>136554</v>
      </c>
      <c r="P687" s="799">
        <v>59577</v>
      </c>
      <c r="Q687" s="799">
        <v>0</v>
      </c>
      <c r="R687" s="799">
        <v>50576</v>
      </c>
      <c r="S687" s="799">
        <v>4680</v>
      </c>
    </row>
    <row r="688" spans="1:19" x14ac:dyDescent="0.2">
      <c r="A688" s="761">
        <v>2016</v>
      </c>
      <c r="B688" s="761">
        <v>11</v>
      </c>
      <c r="C688" s="796" t="s">
        <v>96</v>
      </c>
      <c r="D688" s="796"/>
      <c r="E688" s="796"/>
      <c r="F688" s="761">
        <v>414</v>
      </c>
      <c r="G688" s="761" t="s">
        <v>1022</v>
      </c>
      <c r="H688" s="799">
        <v>14468</v>
      </c>
      <c r="I688" s="799">
        <v>9244</v>
      </c>
      <c r="J688" s="799">
        <v>36252</v>
      </c>
      <c r="K688" s="799">
        <v>75505</v>
      </c>
      <c r="L688" s="799">
        <v>39829</v>
      </c>
      <c r="M688" s="799">
        <v>0</v>
      </c>
      <c r="N688" s="799">
        <v>0</v>
      </c>
      <c r="O688" s="799">
        <v>9885</v>
      </c>
      <c r="P688" s="799">
        <v>27822</v>
      </c>
      <c r="Q688" s="799">
        <v>843</v>
      </c>
      <c r="R688" s="799">
        <v>5676</v>
      </c>
      <c r="S688" s="799">
        <v>82136</v>
      </c>
    </row>
    <row r="689" spans="1:19" x14ac:dyDescent="0.2">
      <c r="A689" s="761">
        <v>2016</v>
      </c>
      <c r="B689" s="761">
        <v>12</v>
      </c>
      <c r="C689" s="796" t="s">
        <v>97</v>
      </c>
      <c r="D689" s="796"/>
      <c r="E689" s="796"/>
      <c r="F689" s="761">
        <v>423</v>
      </c>
      <c r="G689" s="761" t="s">
        <v>1023</v>
      </c>
      <c r="H689" s="799">
        <v>46871</v>
      </c>
      <c r="I689" s="799">
        <v>0</v>
      </c>
      <c r="J689" s="799">
        <v>52015</v>
      </c>
      <c r="K689" s="799">
        <v>72960</v>
      </c>
      <c r="L689" s="799">
        <v>0</v>
      </c>
      <c r="M689" s="799">
        <v>0</v>
      </c>
      <c r="N689" s="799">
        <v>22903</v>
      </c>
      <c r="O689" s="799">
        <v>22897</v>
      </c>
      <c r="P689" s="799">
        <v>0</v>
      </c>
      <c r="Q689" s="799">
        <v>0</v>
      </c>
      <c r="R689" s="799">
        <v>4083</v>
      </c>
      <c r="S689" s="799">
        <v>27972</v>
      </c>
    </row>
    <row r="690" spans="1:19" x14ac:dyDescent="0.2">
      <c r="A690" s="761">
        <v>2016</v>
      </c>
      <c r="B690" s="761">
        <v>13</v>
      </c>
      <c r="C690" s="796" t="s">
        <v>78</v>
      </c>
      <c r="D690" s="761">
        <v>6750</v>
      </c>
      <c r="E690" s="796"/>
      <c r="F690" s="761">
        <v>441</v>
      </c>
      <c r="G690" s="761" t="s">
        <v>1785</v>
      </c>
      <c r="H690" s="799">
        <v>6719</v>
      </c>
      <c r="I690" s="799">
        <v>0</v>
      </c>
      <c r="J690" s="799">
        <v>0</v>
      </c>
      <c r="K690" s="799">
        <v>38046</v>
      </c>
      <c r="L690" s="799">
        <v>0</v>
      </c>
      <c r="M690" s="799">
        <v>5386</v>
      </c>
      <c r="N690" s="799">
        <v>55725</v>
      </c>
      <c r="O690" s="799">
        <v>24893</v>
      </c>
      <c r="P690" s="799">
        <v>7011</v>
      </c>
      <c r="Q690" s="799">
        <v>0</v>
      </c>
      <c r="R690" s="799">
        <v>1043</v>
      </c>
      <c r="S690" s="799">
        <v>55303</v>
      </c>
    </row>
    <row r="691" spans="1:19" x14ac:dyDescent="0.2">
      <c r="A691" s="761">
        <v>2016</v>
      </c>
      <c r="B691" s="761">
        <v>11</v>
      </c>
      <c r="C691" s="796" t="s">
        <v>98</v>
      </c>
      <c r="D691" s="796"/>
      <c r="E691" s="796"/>
      <c r="F691" s="761">
        <v>472</v>
      </c>
      <c r="G691" s="761" t="s">
        <v>1024</v>
      </c>
      <c r="H691" s="799">
        <v>128960</v>
      </c>
      <c r="I691" s="799">
        <v>0</v>
      </c>
      <c r="J691" s="799">
        <v>0</v>
      </c>
      <c r="K691" s="799">
        <v>17974</v>
      </c>
      <c r="L691" s="799">
        <v>0</v>
      </c>
      <c r="M691" s="799">
        <v>77043</v>
      </c>
      <c r="N691" s="799">
        <v>26715</v>
      </c>
      <c r="O691" s="799">
        <v>38896</v>
      </c>
      <c r="P691" s="799">
        <v>51567</v>
      </c>
      <c r="Q691" s="799">
        <v>0</v>
      </c>
      <c r="R691" s="799">
        <v>1463</v>
      </c>
      <c r="S691" s="799">
        <v>36688</v>
      </c>
    </row>
    <row r="692" spans="1:19" x14ac:dyDescent="0.2">
      <c r="A692" s="761">
        <v>2016</v>
      </c>
      <c r="B692" s="761">
        <v>12</v>
      </c>
      <c r="C692" s="796" t="s">
        <v>99</v>
      </c>
      <c r="D692" s="796"/>
      <c r="E692" s="796"/>
      <c r="F692" s="761">
        <v>504</v>
      </c>
      <c r="G692" s="761" t="s">
        <v>1025</v>
      </c>
      <c r="H692" s="799">
        <v>75733</v>
      </c>
      <c r="I692" s="799">
        <v>7090</v>
      </c>
      <c r="J692" s="799">
        <v>13741</v>
      </c>
      <c r="K692" s="799">
        <v>32611</v>
      </c>
      <c r="L692" s="799">
        <v>27084</v>
      </c>
      <c r="M692" s="799">
        <v>41945</v>
      </c>
      <c r="N692" s="799">
        <v>10474</v>
      </c>
      <c r="O692" s="799">
        <v>7578</v>
      </c>
      <c r="P692" s="799">
        <v>20793</v>
      </c>
      <c r="Q692" s="799">
        <v>0</v>
      </c>
      <c r="R692" s="799">
        <v>0</v>
      </c>
      <c r="S692" s="799">
        <v>15774</v>
      </c>
    </row>
    <row r="693" spans="1:19" x14ac:dyDescent="0.2">
      <c r="A693" s="761">
        <v>2016</v>
      </c>
      <c r="B693" s="761">
        <v>11</v>
      </c>
      <c r="C693" s="796" t="s">
        <v>100</v>
      </c>
      <c r="D693" s="796"/>
      <c r="E693" s="796"/>
      <c r="F693" s="761">
        <v>513</v>
      </c>
      <c r="G693" s="761" t="s">
        <v>1026</v>
      </c>
      <c r="H693" s="799">
        <v>0</v>
      </c>
      <c r="I693" s="799">
        <v>0</v>
      </c>
      <c r="J693" s="799">
        <v>0</v>
      </c>
      <c r="K693" s="799">
        <v>66763</v>
      </c>
      <c r="L693" s="799">
        <v>0</v>
      </c>
      <c r="M693" s="799">
        <v>22753</v>
      </c>
      <c r="N693" s="799">
        <v>0</v>
      </c>
      <c r="O693" s="799">
        <v>12640</v>
      </c>
      <c r="P693" s="799">
        <v>8366</v>
      </c>
      <c r="Q693" s="799">
        <v>0</v>
      </c>
      <c r="R693" s="799">
        <v>27726</v>
      </c>
      <c r="S693" s="799">
        <v>17432</v>
      </c>
    </row>
    <row r="694" spans="1:19" x14ac:dyDescent="0.2">
      <c r="A694" s="761">
        <v>2016</v>
      </c>
      <c r="B694" s="761">
        <v>7</v>
      </c>
      <c r="C694" s="796" t="s">
        <v>101</v>
      </c>
      <c r="D694" s="796"/>
      <c r="E694" s="796"/>
      <c r="F694" s="761">
        <v>540</v>
      </c>
      <c r="G694" s="761" t="s">
        <v>1027</v>
      </c>
      <c r="H694" s="799">
        <v>3570</v>
      </c>
      <c r="I694" s="799">
        <v>0</v>
      </c>
      <c r="J694" s="799">
        <v>54241</v>
      </c>
      <c r="K694" s="799">
        <v>0</v>
      </c>
      <c r="L694" s="799">
        <v>0</v>
      </c>
      <c r="M694" s="799">
        <v>135590</v>
      </c>
      <c r="N694" s="799">
        <v>5008</v>
      </c>
      <c r="O694" s="799">
        <v>0</v>
      </c>
      <c r="P694" s="799">
        <v>14503</v>
      </c>
      <c r="Q694" s="799">
        <v>0</v>
      </c>
      <c r="R694" s="799">
        <v>0</v>
      </c>
      <c r="S694" s="799">
        <v>15093</v>
      </c>
    </row>
    <row r="695" spans="1:19" x14ac:dyDescent="0.2">
      <c r="A695" s="761">
        <v>2016</v>
      </c>
      <c r="B695" s="761">
        <v>13</v>
      </c>
      <c r="C695" s="796" t="s">
        <v>102</v>
      </c>
      <c r="D695" s="796"/>
      <c r="E695" s="796"/>
      <c r="F695" s="761">
        <v>549</v>
      </c>
      <c r="G695" s="761" t="s">
        <v>1028</v>
      </c>
      <c r="H695" s="799">
        <v>0</v>
      </c>
      <c r="I695" s="799">
        <v>0</v>
      </c>
      <c r="J695" s="799">
        <v>0</v>
      </c>
      <c r="K695" s="799">
        <v>8361</v>
      </c>
      <c r="L695" s="799">
        <v>0</v>
      </c>
      <c r="M695" s="799">
        <v>8455</v>
      </c>
      <c r="N695" s="799">
        <v>29907</v>
      </c>
      <c r="O695" s="799">
        <v>4569</v>
      </c>
      <c r="P695" s="799">
        <v>27015</v>
      </c>
      <c r="Q695" s="799">
        <v>0</v>
      </c>
      <c r="R695" s="799">
        <v>4644</v>
      </c>
      <c r="S695" s="799">
        <v>35278</v>
      </c>
    </row>
    <row r="696" spans="1:19" x14ac:dyDescent="0.2">
      <c r="A696" s="761">
        <v>2016</v>
      </c>
      <c r="B696" s="761">
        <v>10</v>
      </c>
      <c r="C696" s="796" t="s">
        <v>103</v>
      </c>
      <c r="D696" s="796"/>
      <c r="E696" s="796"/>
      <c r="F696" s="761">
        <v>576</v>
      </c>
      <c r="G696" s="761" t="s">
        <v>1029</v>
      </c>
      <c r="H696" s="799">
        <v>5320</v>
      </c>
      <c r="I696" s="799">
        <v>0</v>
      </c>
      <c r="J696" s="799">
        <v>120482</v>
      </c>
      <c r="K696" s="799">
        <v>0</v>
      </c>
      <c r="L696" s="799">
        <v>0</v>
      </c>
      <c r="M696" s="799">
        <v>101756</v>
      </c>
      <c r="N696" s="799">
        <v>60251</v>
      </c>
      <c r="O696" s="799">
        <v>17580</v>
      </c>
      <c r="P696" s="799">
        <v>8453</v>
      </c>
      <c r="Q696" s="799">
        <v>0</v>
      </c>
      <c r="R696" s="799">
        <v>0</v>
      </c>
      <c r="S696" s="799">
        <v>15845</v>
      </c>
    </row>
    <row r="697" spans="1:19" x14ac:dyDescent="0.2">
      <c r="A697" s="761">
        <v>2016</v>
      </c>
      <c r="B697" s="761">
        <v>9</v>
      </c>
      <c r="C697" s="796" t="s">
        <v>104</v>
      </c>
      <c r="D697" s="796"/>
      <c r="E697" s="796"/>
      <c r="F697" s="761">
        <v>585</v>
      </c>
      <c r="G697" s="761" t="s">
        <v>1030</v>
      </c>
      <c r="H697" s="799">
        <v>3707</v>
      </c>
      <c r="I697" s="799">
        <v>0</v>
      </c>
      <c r="J697" s="799">
        <v>0</v>
      </c>
      <c r="K697" s="799">
        <v>25198</v>
      </c>
      <c r="L697" s="799">
        <v>0</v>
      </c>
      <c r="M697" s="799">
        <v>160820</v>
      </c>
      <c r="N697" s="799">
        <v>22346</v>
      </c>
      <c r="O697" s="799">
        <v>23870</v>
      </c>
      <c r="P697" s="799">
        <v>22198</v>
      </c>
      <c r="Q697" s="799">
        <v>8424</v>
      </c>
      <c r="R697" s="799">
        <v>0</v>
      </c>
      <c r="S697" s="799">
        <v>4370</v>
      </c>
    </row>
    <row r="698" spans="1:19" x14ac:dyDescent="0.2">
      <c r="A698" s="761">
        <v>2016</v>
      </c>
      <c r="B698" s="761">
        <v>7</v>
      </c>
      <c r="C698" s="796" t="s">
        <v>105</v>
      </c>
      <c r="D698" s="796"/>
      <c r="E698" s="796"/>
      <c r="F698" s="761">
        <v>594</v>
      </c>
      <c r="G698" s="761" t="s">
        <v>1031</v>
      </c>
      <c r="H698" s="799">
        <v>0</v>
      </c>
      <c r="I698" s="799">
        <v>0</v>
      </c>
      <c r="J698" s="799">
        <v>85579</v>
      </c>
      <c r="K698" s="799">
        <v>0</v>
      </c>
      <c r="L698" s="799">
        <v>0</v>
      </c>
      <c r="M698" s="799">
        <v>21460</v>
      </c>
      <c r="N698" s="799">
        <v>7315</v>
      </c>
      <c r="O698" s="799">
        <v>11191</v>
      </c>
      <c r="P698" s="799">
        <v>25835</v>
      </c>
      <c r="Q698" s="799">
        <v>61772</v>
      </c>
      <c r="R698" s="799">
        <v>0</v>
      </c>
      <c r="S698" s="799">
        <v>46418</v>
      </c>
    </row>
    <row r="699" spans="1:19" x14ac:dyDescent="0.2">
      <c r="A699" s="761">
        <v>2016</v>
      </c>
      <c r="B699" s="761">
        <v>9</v>
      </c>
      <c r="C699" s="796" t="s">
        <v>106</v>
      </c>
      <c r="D699" s="796"/>
      <c r="E699" s="796"/>
      <c r="F699" s="761">
        <v>603</v>
      </c>
      <c r="G699" s="761" t="s">
        <v>1032</v>
      </c>
      <c r="H699" s="799">
        <v>17837</v>
      </c>
      <c r="I699" s="799">
        <v>0</v>
      </c>
      <c r="J699" s="799">
        <v>22615</v>
      </c>
      <c r="K699" s="799">
        <v>71708</v>
      </c>
      <c r="L699" s="799">
        <v>11918</v>
      </c>
      <c r="M699" s="799">
        <v>0</v>
      </c>
      <c r="N699" s="799">
        <v>0</v>
      </c>
      <c r="O699" s="799">
        <v>14141</v>
      </c>
      <c r="P699" s="799">
        <v>6548</v>
      </c>
      <c r="Q699" s="799">
        <v>10047</v>
      </c>
      <c r="R699" s="799">
        <v>1822</v>
      </c>
      <c r="S699" s="799">
        <v>23896</v>
      </c>
    </row>
    <row r="700" spans="1:19" x14ac:dyDescent="0.2">
      <c r="A700" s="761">
        <v>2016</v>
      </c>
      <c r="B700" s="761">
        <v>10</v>
      </c>
      <c r="C700" s="796" t="s">
        <v>107</v>
      </c>
      <c r="D700" s="796"/>
      <c r="E700" s="796"/>
      <c r="F700" s="761">
        <v>609</v>
      </c>
      <c r="G700" s="761" t="s">
        <v>1033</v>
      </c>
      <c r="H700" s="799">
        <v>36097</v>
      </c>
      <c r="I700" s="799">
        <v>5730</v>
      </c>
      <c r="J700" s="799">
        <v>26793</v>
      </c>
      <c r="K700" s="799">
        <v>64024</v>
      </c>
      <c r="L700" s="799">
        <v>0</v>
      </c>
      <c r="M700" s="799">
        <v>359781</v>
      </c>
      <c r="N700" s="799">
        <v>32124</v>
      </c>
      <c r="O700" s="799">
        <v>10491</v>
      </c>
      <c r="P700" s="799">
        <v>3670</v>
      </c>
      <c r="Q700" s="799">
        <v>0</v>
      </c>
      <c r="R700" s="799">
        <v>149357</v>
      </c>
      <c r="S700" s="799">
        <v>37230</v>
      </c>
    </row>
    <row r="701" spans="1:19" x14ac:dyDescent="0.2">
      <c r="A701" s="761">
        <v>2016</v>
      </c>
      <c r="B701" s="761">
        <v>9</v>
      </c>
      <c r="C701" s="796" t="s">
        <v>108</v>
      </c>
      <c r="D701" s="796"/>
      <c r="E701" s="796"/>
      <c r="F701" s="761">
        <v>621</v>
      </c>
      <c r="G701" s="761" t="s">
        <v>1034</v>
      </c>
      <c r="H701" s="799">
        <v>25830</v>
      </c>
      <c r="I701" s="799">
        <v>0</v>
      </c>
      <c r="J701" s="799">
        <v>591406</v>
      </c>
      <c r="K701" s="799">
        <v>223572</v>
      </c>
      <c r="L701" s="799">
        <v>0</v>
      </c>
      <c r="M701" s="799">
        <v>103102</v>
      </c>
      <c r="N701" s="799">
        <v>61013</v>
      </c>
      <c r="O701" s="799">
        <v>44287</v>
      </c>
      <c r="P701" s="799">
        <v>18946</v>
      </c>
      <c r="Q701" s="799">
        <v>0</v>
      </c>
      <c r="R701" s="799">
        <v>379421</v>
      </c>
      <c r="S701" s="799">
        <v>41124</v>
      </c>
    </row>
    <row r="702" spans="1:19" x14ac:dyDescent="0.2">
      <c r="A702" s="761">
        <v>2016</v>
      </c>
      <c r="B702" s="761">
        <v>15</v>
      </c>
      <c r="C702" s="796" t="s">
        <v>112</v>
      </c>
      <c r="D702" s="796"/>
      <c r="E702" s="796"/>
      <c r="F702" s="761">
        <v>657</v>
      </c>
      <c r="G702" s="761" t="s">
        <v>1495</v>
      </c>
      <c r="H702" s="799">
        <v>151469</v>
      </c>
      <c r="I702" s="799">
        <v>0</v>
      </c>
      <c r="J702" s="799">
        <v>0</v>
      </c>
      <c r="K702" s="799">
        <v>0</v>
      </c>
      <c r="L702" s="799">
        <v>0</v>
      </c>
      <c r="M702" s="799">
        <v>0</v>
      </c>
      <c r="N702" s="799">
        <v>0</v>
      </c>
      <c r="O702" s="799">
        <v>0</v>
      </c>
      <c r="P702" s="799">
        <v>2561</v>
      </c>
      <c r="Q702" s="799">
        <v>0</v>
      </c>
      <c r="R702" s="799">
        <v>0</v>
      </c>
      <c r="S702" s="799">
        <v>2976</v>
      </c>
    </row>
    <row r="703" spans="1:19" x14ac:dyDescent="0.2">
      <c r="A703" s="761">
        <v>2016</v>
      </c>
      <c r="B703" s="761">
        <v>11</v>
      </c>
      <c r="C703" s="796" t="s">
        <v>109</v>
      </c>
      <c r="D703" s="796"/>
      <c r="E703" s="796"/>
      <c r="F703" s="761">
        <v>720</v>
      </c>
      <c r="G703" s="761" t="s">
        <v>1035</v>
      </c>
      <c r="H703" s="799">
        <v>6539</v>
      </c>
      <c r="I703" s="799">
        <v>0</v>
      </c>
      <c r="J703" s="799">
        <v>57167</v>
      </c>
      <c r="K703" s="799">
        <v>5222</v>
      </c>
      <c r="L703" s="799">
        <v>0</v>
      </c>
      <c r="M703" s="799">
        <v>133771</v>
      </c>
      <c r="N703" s="799">
        <v>49149</v>
      </c>
      <c r="O703" s="799">
        <v>21700</v>
      </c>
      <c r="P703" s="799">
        <v>110021</v>
      </c>
      <c r="Q703" s="799">
        <v>0</v>
      </c>
      <c r="R703" s="799">
        <v>0</v>
      </c>
      <c r="S703" s="799">
        <v>32450</v>
      </c>
    </row>
    <row r="704" spans="1:19" x14ac:dyDescent="0.2">
      <c r="A704" s="761">
        <v>2016</v>
      </c>
      <c r="B704" s="761">
        <v>11</v>
      </c>
      <c r="C704" s="796" t="s">
        <v>110</v>
      </c>
      <c r="D704" s="796"/>
      <c r="E704" s="796"/>
      <c r="F704" s="761">
        <v>729</v>
      </c>
      <c r="G704" s="761" t="s">
        <v>1036</v>
      </c>
      <c r="H704" s="799">
        <v>32379</v>
      </c>
      <c r="I704" s="799">
        <v>0</v>
      </c>
      <c r="J704" s="799">
        <v>94880</v>
      </c>
      <c r="K704" s="799">
        <v>170396</v>
      </c>
      <c r="L704" s="799">
        <v>0</v>
      </c>
      <c r="M704" s="799">
        <v>81497</v>
      </c>
      <c r="N704" s="799">
        <v>8320</v>
      </c>
      <c r="O704" s="799">
        <v>5512</v>
      </c>
      <c r="P704" s="799">
        <v>30618</v>
      </c>
      <c r="Q704" s="799">
        <v>0</v>
      </c>
      <c r="R704" s="799">
        <v>49856</v>
      </c>
      <c r="S704" s="799">
        <v>10862</v>
      </c>
    </row>
    <row r="705" spans="1:19" x14ac:dyDescent="0.2">
      <c r="A705" s="761">
        <v>2016</v>
      </c>
      <c r="B705" s="761">
        <v>12</v>
      </c>
      <c r="C705" s="796" t="s">
        <v>111</v>
      </c>
      <c r="D705" s="796"/>
      <c r="E705" s="796"/>
      <c r="F705" s="761">
        <v>747</v>
      </c>
      <c r="G705" s="761" t="s">
        <v>1037</v>
      </c>
      <c r="H705" s="799">
        <v>0</v>
      </c>
      <c r="I705" s="799">
        <v>81232</v>
      </c>
      <c r="J705" s="799">
        <v>0</v>
      </c>
      <c r="K705" s="799">
        <v>150970</v>
      </c>
      <c r="L705" s="799">
        <v>0</v>
      </c>
      <c r="M705" s="799">
        <v>32874</v>
      </c>
      <c r="N705" s="799">
        <v>0</v>
      </c>
      <c r="O705" s="799">
        <v>72909</v>
      </c>
      <c r="P705" s="799">
        <v>39183</v>
      </c>
      <c r="Q705" s="799">
        <v>0</v>
      </c>
      <c r="R705" s="799">
        <v>40</v>
      </c>
      <c r="S705" s="799">
        <v>51917</v>
      </c>
    </row>
    <row r="706" spans="1:19" x14ac:dyDescent="0.2">
      <c r="A706" s="761">
        <v>2016</v>
      </c>
      <c r="B706" s="761">
        <v>7</v>
      </c>
      <c r="C706" s="796" t="s">
        <v>113</v>
      </c>
      <c r="D706" s="796"/>
      <c r="E706" s="796"/>
      <c r="F706" s="761">
        <v>819</v>
      </c>
      <c r="G706" s="761" t="s">
        <v>1038</v>
      </c>
      <c r="H706" s="799">
        <v>1770</v>
      </c>
      <c r="I706" s="799">
        <v>15513</v>
      </c>
      <c r="J706" s="799">
        <v>0</v>
      </c>
      <c r="K706" s="799">
        <v>0</v>
      </c>
      <c r="L706" s="799">
        <v>0</v>
      </c>
      <c r="M706" s="799">
        <v>9268</v>
      </c>
      <c r="N706" s="799">
        <v>25791</v>
      </c>
      <c r="O706" s="799">
        <v>0</v>
      </c>
      <c r="P706" s="799">
        <v>0</v>
      </c>
      <c r="Q706" s="799">
        <v>0</v>
      </c>
      <c r="R706" s="799">
        <v>0</v>
      </c>
      <c r="S706" s="799">
        <v>17563</v>
      </c>
    </row>
    <row r="707" spans="1:19" x14ac:dyDescent="0.2">
      <c r="A707" s="761">
        <v>2016</v>
      </c>
      <c r="B707" s="761">
        <v>7</v>
      </c>
      <c r="C707" s="796" t="s">
        <v>114</v>
      </c>
      <c r="D707" s="796"/>
      <c r="E707" s="796"/>
      <c r="F707" s="761">
        <v>846</v>
      </c>
      <c r="G707" s="761" t="s">
        <v>1039</v>
      </c>
      <c r="H707" s="799">
        <v>28414</v>
      </c>
      <c r="I707" s="799">
        <v>48029</v>
      </c>
      <c r="J707" s="799">
        <v>14429</v>
      </c>
      <c r="K707" s="799">
        <v>0</v>
      </c>
      <c r="L707" s="799">
        <v>0</v>
      </c>
      <c r="M707" s="799">
        <v>43711</v>
      </c>
      <c r="N707" s="799">
        <v>0</v>
      </c>
      <c r="O707" s="799">
        <v>123692</v>
      </c>
      <c r="P707" s="799">
        <v>42835</v>
      </c>
      <c r="Q707" s="799">
        <v>21086</v>
      </c>
      <c r="R707" s="799">
        <v>0</v>
      </c>
      <c r="S707" s="799">
        <v>56547</v>
      </c>
    </row>
    <row r="708" spans="1:19" x14ac:dyDescent="0.2">
      <c r="A708" s="761">
        <v>2016</v>
      </c>
      <c r="B708" s="761">
        <v>7</v>
      </c>
      <c r="C708" s="796" t="s">
        <v>115</v>
      </c>
      <c r="D708" s="796"/>
      <c r="E708" s="796"/>
      <c r="F708" s="761">
        <v>873</v>
      </c>
      <c r="G708" s="761" t="s">
        <v>1040</v>
      </c>
      <c r="H708" s="799">
        <v>0</v>
      </c>
      <c r="I708" s="799">
        <v>14371</v>
      </c>
      <c r="J708" s="799">
        <v>0</v>
      </c>
      <c r="K708" s="799">
        <v>0</v>
      </c>
      <c r="L708" s="799">
        <v>0</v>
      </c>
      <c r="M708" s="799">
        <v>0</v>
      </c>
      <c r="N708" s="799">
        <v>20278</v>
      </c>
      <c r="O708" s="799">
        <v>0</v>
      </c>
      <c r="P708" s="799">
        <v>0</v>
      </c>
      <c r="Q708" s="799">
        <v>0</v>
      </c>
      <c r="R708" s="799">
        <v>0</v>
      </c>
      <c r="S708" s="799">
        <v>1470</v>
      </c>
    </row>
    <row r="709" spans="1:19" x14ac:dyDescent="0.2">
      <c r="A709" s="761">
        <v>2016</v>
      </c>
      <c r="B709" s="761">
        <v>15</v>
      </c>
      <c r="C709" s="796" t="s">
        <v>116</v>
      </c>
      <c r="D709" s="796"/>
      <c r="E709" s="796"/>
      <c r="F709" s="761">
        <v>882</v>
      </c>
      <c r="G709" s="761" t="s">
        <v>1041</v>
      </c>
      <c r="H709" s="799">
        <v>210852</v>
      </c>
      <c r="I709" s="799">
        <v>0</v>
      </c>
      <c r="J709" s="799">
        <v>39467</v>
      </c>
      <c r="K709" s="799">
        <v>136243</v>
      </c>
      <c r="L709" s="799">
        <v>364807</v>
      </c>
      <c r="M709" s="799">
        <v>478797</v>
      </c>
      <c r="N709" s="799">
        <v>0</v>
      </c>
      <c r="O709" s="799">
        <v>122529</v>
      </c>
      <c r="P709" s="799">
        <v>328890</v>
      </c>
      <c r="Q709" s="799">
        <v>0</v>
      </c>
      <c r="R709" s="799">
        <v>291711</v>
      </c>
      <c r="S709" s="799">
        <v>14920</v>
      </c>
    </row>
    <row r="710" spans="1:19" x14ac:dyDescent="0.2">
      <c r="A710" s="761">
        <v>2016</v>
      </c>
      <c r="B710" s="761">
        <v>13</v>
      </c>
      <c r="C710" s="796" t="s">
        <v>117</v>
      </c>
      <c r="D710" s="796"/>
      <c r="E710" s="796"/>
      <c r="F710" s="761">
        <v>914</v>
      </c>
      <c r="G710" s="761" t="s">
        <v>1478</v>
      </c>
      <c r="H710" s="799">
        <v>48239</v>
      </c>
      <c r="I710" s="799">
        <v>0</v>
      </c>
      <c r="J710" s="799">
        <v>12281</v>
      </c>
      <c r="K710" s="799">
        <v>0</v>
      </c>
      <c r="L710" s="799">
        <v>0</v>
      </c>
      <c r="M710" s="799">
        <v>60820</v>
      </c>
      <c r="N710" s="799">
        <v>0</v>
      </c>
      <c r="O710" s="799">
        <v>32619</v>
      </c>
      <c r="P710" s="799">
        <v>35509</v>
      </c>
      <c r="Q710" s="799">
        <v>0</v>
      </c>
      <c r="R710" s="799">
        <v>74</v>
      </c>
      <c r="S710" s="799">
        <v>1979</v>
      </c>
    </row>
    <row r="711" spans="1:19" x14ac:dyDescent="0.2">
      <c r="A711" s="761">
        <v>2016</v>
      </c>
      <c r="B711" s="761">
        <v>7</v>
      </c>
      <c r="C711" s="796" t="s">
        <v>118</v>
      </c>
      <c r="D711" s="796"/>
      <c r="E711" s="796"/>
      <c r="F711" s="761">
        <v>916</v>
      </c>
      <c r="G711" s="761" t="s">
        <v>1042</v>
      </c>
      <c r="H711" s="799">
        <v>5841</v>
      </c>
      <c r="I711" s="799">
        <v>3033</v>
      </c>
      <c r="J711" s="799">
        <v>0</v>
      </c>
      <c r="K711" s="799">
        <v>0</v>
      </c>
      <c r="L711" s="799">
        <v>38203</v>
      </c>
      <c r="M711" s="799">
        <v>30686</v>
      </c>
      <c r="N711" s="799">
        <v>0</v>
      </c>
      <c r="O711" s="799">
        <v>18310</v>
      </c>
      <c r="P711" s="799">
        <v>19381</v>
      </c>
      <c r="Q711" s="799">
        <v>0</v>
      </c>
      <c r="R711" s="799">
        <v>0</v>
      </c>
      <c r="S711" s="799">
        <v>1207</v>
      </c>
    </row>
    <row r="712" spans="1:19" x14ac:dyDescent="0.2">
      <c r="A712" s="761">
        <v>2016</v>
      </c>
      <c r="B712" s="761">
        <v>9</v>
      </c>
      <c r="C712" s="796" t="s">
        <v>119</v>
      </c>
      <c r="D712" s="796"/>
      <c r="E712" s="796"/>
      <c r="F712" s="761">
        <v>918</v>
      </c>
      <c r="G712" s="761" t="s">
        <v>1043</v>
      </c>
      <c r="H712" s="799">
        <v>8570</v>
      </c>
      <c r="I712" s="799">
        <v>0</v>
      </c>
      <c r="J712" s="799">
        <v>16809</v>
      </c>
      <c r="K712" s="799">
        <v>0</v>
      </c>
      <c r="L712" s="799">
        <v>0</v>
      </c>
      <c r="M712" s="799">
        <v>24155</v>
      </c>
      <c r="N712" s="799">
        <v>3408</v>
      </c>
      <c r="O712" s="799">
        <v>22699</v>
      </c>
      <c r="P712" s="799">
        <v>8406</v>
      </c>
      <c r="Q712" s="799">
        <v>0</v>
      </c>
      <c r="R712" s="799">
        <v>5247</v>
      </c>
      <c r="S712" s="799">
        <v>38357</v>
      </c>
    </row>
    <row r="713" spans="1:19" x14ac:dyDescent="0.2">
      <c r="A713" s="761">
        <v>2016</v>
      </c>
      <c r="B713" s="761">
        <v>9</v>
      </c>
      <c r="C713" s="796" t="s">
        <v>120</v>
      </c>
      <c r="D713" s="796"/>
      <c r="E713" s="796"/>
      <c r="F713" s="761">
        <v>936</v>
      </c>
      <c r="G713" s="761" t="s">
        <v>1044</v>
      </c>
      <c r="H713" s="799">
        <v>0</v>
      </c>
      <c r="I713" s="799">
        <v>4911</v>
      </c>
      <c r="J713" s="799">
        <v>0</v>
      </c>
      <c r="K713" s="799">
        <v>0</v>
      </c>
      <c r="L713" s="799">
        <v>0</v>
      </c>
      <c r="M713" s="799">
        <v>2219</v>
      </c>
      <c r="N713" s="799">
        <v>16096</v>
      </c>
      <c r="O713" s="799">
        <v>0</v>
      </c>
      <c r="P713" s="799">
        <v>6283</v>
      </c>
      <c r="Q713" s="799">
        <v>0</v>
      </c>
      <c r="R713" s="799">
        <v>2851</v>
      </c>
      <c r="S713" s="799">
        <v>22670</v>
      </c>
    </row>
    <row r="714" spans="1:19" x14ac:dyDescent="0.2">
      <c r="A714" s="761">
        <v>2016</v>
      </c>
      <c r="B714" s="761">
        <v>15</v>
      </c>
      <c r="C714" s="796" t="s">
        <v>121</v>
      </c>
      <c r="D714" s="796"/>
      <c r="E714" s="796"/>
      <c r="F714" s="761">
        <v>977</v>
      </c>
      <c r="G714" s="761" t="s">
        <v>1045</v>
      </c>
      <c r="H714" s="799">
        <v>0</v>
      </c>
      <c r="I714" s="799">
        <v>0</v>
      </c>
      <c r="J714" s="799">
        <v>13469</v>
      </c>
      <c r="K714" s="799">
        <v>0</v>
      </c>
      <c r="L714" s="799">
        <v>0</v>
      </c>
      <c r="M714" s="799">
        <v>0</v>
      </c>
      <c r="N714" s="799">
        <v>0</v>
      </c>
      <c r="O714" s="799">
        <v>0</v>
      </c>
      <c r="P714" s="799">
        <v>59</v>
      </c>
      <c r="Q714" s="799">
        <v>0</v>
      </c>
      <c r="R714" s="799">
        <v>49178</v>
      </c>
      <c r="S714" s="799">
        <v>13389</v>
      </c>
    </row>
    <row r="715" spans="1:19" x14ac:dyDescent="0.2">
      <c r="A715" s="761">
        <v>2016</v>
      </c>
      <c r="B715" s="761">
        <v>11</v>
      </c>
      <c r="C715" s="796" t="s">
        <v>122</v>
      </c>
      <c r="D715" s="796"/>
      <c r="E715" s="796"/>
      <c r="F715" s="761">
        <v>981</v>
      </c>
      <c r="G715" s="761" t="s">
        <v>1046</v>
      </c>
      <c r="H715" s="799">
        <v>120548</v>
      </c>
      <c r="I715" s="799">
        <v>0</v>
      </c>
      <c r="J715" s="799">
        <v>76516</v>
      </c>
      <c r="K715" s="799">
        <v>176813</v>
      </c>
      <c r="L715" s="799">
        <v>0</v>
      </c>
      <c r="M715" s="799">
        <v>335478</v>
      </c>
      <c r="N715" s="799">
        <v>69315</v>
      </c>
      <c r="O715" s="799">
        <v>9666</v>
      </c>
      <c r="P715" s="799">
        <v>21516</v>
      </c>
      <c r="Q715" s="799">
        <v>0</v>
      </c>
      <c r="R715" s="799">
        <v>77790</v>
      </c>
      <c r="S715" s="799">
        <v>39851</v>
      </c>
    </row>
    <row r="716" spans="1:19" x14ac:dyDescent="0.2">
      <c r="A716" s="761">
        <v>2016</v>
      </c>
      <c r="B716" s="761">
        <v>11</v>
      </c>
      <c r="C716" s="796" t="s">
        <v>123</v>
      </c>
      <c r="D716" s="796"/>
      <c r="E716" s="796"/>
      <c r="F716" s="761">
        <v>999</v>
      </c>
      <c r="G716" s="761" t="s">
        <v>1047</v>
      </c>
      <c r="H716" s="799">
        <v>32004</v>
      </c>
      <c r="I716" s="799">
        <v>0</v>
      </c>
      <c r="J716" s="799">
        <v>359077</v>
      </c>
      <c r="K716" s="799">
        <v>224213</v>
      </c>
      <c r="L716" s="799">
        <v>0</v>
      </c>
      <c r="M716" s="799">
        <v>192291</v>
      </c>
      <c r="N716" s="799">
        <v>91911</v>
      </c>
      <c r="O716" s="799">
        <v>34152</v>
      </c>
      <c r="P716" s="799">
        <v>0</v>
      </c>
      <c r="Q716" s="799">
        <v>0</v>
      </c>
      <c r="R716" s="799">
        <v>135451</v>
      </c>
      <c r="S716" s="799">
        <v>528636</v>
      </c>
    </row>
    <row r="717" spans="1:19" x14ac:dyDescent="0.2">
      <c r="A717" s="761">
        <v>2016</v>
      </c>
      <c r="B717" s="761">
        <v>7</v>
      </c>
      <c r="C717" s="796" t="s">
        <v>124</v>
      </c>
      <c r="D717" s="796"/>
      <c r="E717" s="796"/>
      <c r="F717" s="761">
        <v>1044</v>
      </c>
      <c r="G717" s="761" t="s">
        <v>1048</v>
      </c>
      <c r="H717" s="799">
        <v>0</v>
      </c>
      <c r="I717" s="799">
        <v>0</v>
      </c>
      <c r="J717" s="799">
        <v>37444</v>
      </c>
      <c r="K717" s="799">
        <v>142832</v>
      </c>
      <c r="L717" s="799">
        <v>0</v>
      </c>
      <c r="M717" s="799">
        <v>110114</v>
      </c>
      <c r="N717" s="799">
        <v>69934</v>
      </c>
      <c r="O717" s="799">
        <v>93333</v>
      </c>
      <c r="P717" s="799">
        <v>147428</v>
      </c>
      <c r="Q717" s="799">
        <v>0</v>
      </c>
      <c r="R717" s="799">
        <v>0</v>
      </c>
      <c r="S717" s="799">
        <v>82232</v>
      </c>
    </row>
    <row r="718" spans="1:19" x14ac:dyDescent="0.2">
      <c r="A718" s="761">
        <v>2016</v>
      </c>
      <c r="B718" s="761">
        <v>10</v>
      </c>
      <c r="C718" s="796" t="s">
        <v>125</v>
      </c>
      <c r="D718" s="796"/>
      <c r="E718" s="796"/>
      <c r="F718" s="761">
        <v>1053</v>
      </c>
      <c r="G718" s="761" t="s">
        <v>1049</v>
      </c>
      <c r="H718" s="799">
        <v>0</v>
      </c>
      <c r="I718" s="799">
        <v>0</v>
      </c>
      <c r="J718" s="799">
        <v>21489</v>
      </c>
      <c r="K718" s="799">
        <v>515807</v>
      </c>
      <c r="L718" s="799">
        <v>0</v>
      </c>
      <c r="M718" s="799">
        <v>317038</v>
      </c>
      <c r="N718" s="799">
        <v>0</v>
      </c>
      <c r="O718" s="799">
        <v>81685</v>
      </c>
      <c r="P718" s="799">
        <v>121148</v>
      </c>
      <c r="Q718" s="799">
        <v>0</v>
      </c>
      <c r="R718" s="799">
        <v>404707</v>
      </c>
      <c r="S718" s="799">
        <v>2439672</v>
      </c>
    </row>
    <row r="719" spans="1:19" x14ac:dyDescent="0.2">
      <c r="A719" s="761">
        <v>2016</v>
      </c>
      <c r="B719" s="761">
        <v>10</v>
      </c>
      <c r="C719" s="796" t="s">
        <v>126</v>
      </c>
      <c r="D719" s="796"/>
      <c r="E719" s="796"/>
      <c r="F719" s="761">
        <v>1062</v>
      </c>
      <c r="G719" s="761" t="s">
        <v>637</v>
      </c>
      <c r="H719" s="799">
        <v>0</v>
      </c>
      <c r="I719" s="799">
        <v>0</v>
      </c>
      <c r="J719" s="799">
        <v>0</v>
      </c>
      <c r="K719" s="799">
        <v>198712</v>
      </c>
      <c r="L719" s="799">
        <v>0</v>
      </c>
      <c r="M719" s="799">
        <v>72902</v>
      </c>
      <c r="N719" s="799">
        <v>3102</v>
      </c>
      <c r="O719" s="799">
        <v>0</v>
      </c>
      <c r="P719" s="799">
        <v>0</v>
      </c>
      <c r="Q719" s="799">
        <v>0</v>
      </c>
      <c r="R719" s="799">
        <v>0</v>
      </c>
      <c r="S719" s="799">
        <v>21423</v>
      </c>
    </row>
    <row r="720" spans="1:19" x14ac:dyDescent="0.2">
      <c r="A720" s="761">
        <v>2016</v>
      </c>
      <c r="B720" s="761">
        <v>15</v>
      </c>
      <c r="C720" s="796" t="s">
        <v>127</v>
      </c>
      <c r="D720" s="796"/>
      <c r="E720" s="796"/>
      <c r="F720" s="761">
        <v>1071</v>
      </c>
      <c r="G720" s="761" t="s">
        <v>1051</v>
      </c>
      <c r="H720" s="799">
        <v>0</v>
      </c>
      <c r="I720" s="799">
        <v>0</v>
      </c>
      <c r="J720" s="799">
        <v>0</v>
      </c>
      <c r="K720" s="799">
        <v>0</v>
      </c>
      <c r="L720" s="799">
        <v>0</v>
      </c>
      <c r="M720" s="799">
        <v>181320</v>
      </c>
      <c r="N720" s="799">
        <v>76019</v>
      </c>
      <c r="O720" s="799">
        <v>59069</v>
      </c>
      <c r="P720" s="799">
        <v>84809</v>
      </c>
      <c r="Q720" s="799">
        <v>0</v>
      </c>
      <c r="R720" s="799">
        <v>0</v>
      </c>
      <c r="S720" s="799">
        <v>50592</v>
      </c>
    </row>
    <row r="721" spans="1:19" x14ac:dyDescent="0.2">
      <c r="A721" s="761">
        <v>2016</v>
      </c>
      <c r="B721" s="761">
        <v>15</v>
      </c>
      <c r="C721" s="796" t="s">
        <v>128</v>
      </c>
      <c r="D721" s="796"/>
      <c r="E721" s="796"/>
      <c r="F721" s="761">
        <v>1079</v>
      </c>
      <c r="G721" s="761" t="s">
        <v>1052</v>
      </c>
      <c r="H721" s="799">
        <v>0</v>
      </c>
      <c r="I721" s="799">
        <v>0</v>
      </c>
      <c r="J721" s="799">
        <v>40189</v>
      </c>
      <c r="K721" s="799">
        <v>0</v>
      </c>
      <c r="L721" s="799">
        <v>0</v>
      </c>
      <c r="M721" s="799">
        <v>0</v>
      </c>
      <c r="N721" s="799">
        <v>67124</v>
      </c>
      <c r="O721" s="799">
        <v>16246</v>
      </c>
      <c r="P721" s="799">
        <v>73720</v>
      </c>
      <c r="Q721" s="799">
        <v>0</v>
      </c>
      <c r="R721" s="799">
        <v>0</v>
      </c>
      <c r="S721" s="799">
        <v>24434</v>
      </c>
    </row>
    <row r="722" spans="1:19" x14ac:dyDescent="0.2">
      <c r="A722" s="761">
        <v>2016</v>
      </c>
      <c r="B722" s="761">
        <v>1</v>
      </c>
      <c r="C722" s="796" t="s">
        <v>129</v>
      </c>
      <c r="D722" s="796"/>
      <c r="E722" s="796"/>
      <c r="F722" s="761">
        <v>1080</v>
      </c>
      <c r="G722" s="761" t="s">
        <v>1053</v>
      </c>
      <c r="H722" s="799">
        <v>0</v>
      </c>
      <c r="I722" s="799">
        <v>0</v>
      </c>
      <c r="J722" s="799">
        <v>45759</v>
      </c>
      <c r="K722" s="799">
        <v>0</v>
      </c>
      <c r="L722" s="799">
        <v>0</v>
      </c>
      <c r="M722" s="799">
        <v>43983</v>
      </c>
      <c r="N722" s="799">
        <v>24865</v>
      </c>
      <c r="O722" s="799">
        <v>6744</v>
      </c>
      <c r="P722" s="799">
        <v>23353</v>
      </c>
      <c r="Q722" s="799">
        <v>2083</v>
      </c>
      <c r="R722" s="799">
        <v>2550</v>
      </c>
      <c r="S722" s="799">
        <v>28960</v>
      </c>
    </row>
    <row r="723" spans="1:19" x14ac:dyDescent="0.2">
      <c r="A723" s="761">
        <v>2016</v>
      </c>
      <c r="B723" s="761">
        <v>9</v>
      </c>
      <c r="C723" s="796" t="s">
        <v>130</v>
      </c>
      <c r="D723" s="796"/>
      <c r="E723" s="796"/>
      <c r="F723" s="761">
        <v>1082</v>
      </c>
      <c r="G723" s="761" t="s">
        <v>1722</v>
      </c>
      <c r="H723" s="799">
        <v>0</v>
      </c>
      <c r="I723" s="799">
        <v>0</v>
      </c>
      <c r="J723" s="799">
        <v>49720</v>
      </c>
      <c r="K723" s="799">
        <v>0</v>
      </c>
      <c r="L723" s="799">
        <v>0</v>
      </c>
      <c r="M723" s="799">
        <v>5883</v>
      </c>
      <c r="N723" s="799">
        <v>0</v>
      </c>
      <c r="O723" s="799">
        <v>0</v>
      </c>
      <c r="P723" s="799">
        <v>0</v>
      </c>
      <c r="Q723" s="799">
        <v>0</v>
      </c>
      <c r="R723" s="799">
        <v>0</v>
      </c>
      <c r="S723" s="799">
        <v>36244</v>
      </c>
    </row>
    <row r="724" spans="1:19" x14ac:dyDescent="0.2">
      <c r="A724" s="761">
        <v>2016</v>
      </c>
      <c r="B724" s="761">
        <v>10</v>
      </c>
      <c r="C724" s="796" t="s">
        <v>131</v>
      </c>
      <c r="D724" s="796"/>
      <c r="E724" s="796"/>
      <c r="F724" s="761">
        <v>1089</v>
      </c>
      <c r="G724" s="761" t="s">
        <v>1054</v>
      </c>
      <c r="H724" s="799">
        <v>36168</v>
      </c>
      <c r="I724" s="799">
        <v>0</v>
      </c>
      <c r="J724" s="799">
        <v>106321</v>
      </c>
      <c r="K724" s="799">
        <v>14004</v>
      </c>
      <c r="L724" s="799">
        <v>0</v>
      </c>
      <c r="M724" s="799">
        <v>212046</v>
      </c>
      <c r="N724" s="799">
        <v>8211</v>
      </c>
      <c r="O724" s="799">
        <v>12257</v>
      </c>
      <c r="P724" s="799">
        <v>11829</v>
      </c>
      <c r="Q724" s="799">
        <v>0</v>
      </c>
      <c r="R724" s="799">
        <v>5298</v>
      </c>
      <c r="S724" s="799">
        <v>16959</v>
      </c>
    </row>
    <row r="725" spans="1:19" x14ac:dyDescent="0.2">
      <c r="A725" s="761">
        <v>2016</v>
      </c>
      <c r="B725" s="761">
        <v>13</v>
      </c>
      <c r="C725" s="796" t="s">
        <v>132</v>
      </c>
      <c r="D725" s="796"/>
      <c r="E725" s="796"/>
      <c r="F725" s="761">
        <v>1093</v>
      </c>
      <c r="G725" s="761" t="s">
        <v>1055</v>
      </c>
      <c r="H725" s="799">
        <v>10717</v>
      </c>
      <c r="I725" s="799">
        <v>0</v>
      </c>
      <c r="J725" s="799">
        <v>0</v>
      </c>
      <c r="K725" s="799">
        <v>226712</v>
      </c>
      <c r="L725" s="799">
        <v>0</v>
      </c>
      <c r="M725" s="799">
        <v>0</v>
      </c>
      <c r="N725" s="799">
        <v>44591</v>
      </c>
      <c r="O725" s="799">
        <v>9798</v>
      </c>
      <c r="P725" s="799">
        <v>13281</v>
      </c>
      <c r="Q725" s="799">
        <v>0</v>
      </c>
      <c r="R725" s="799">
        <v>124960</v>
      </c>
      <c r="S725" s="799">
        <v>35926</v>
      </c>
    </row>
    <row r="726" spans="1:19" x14ac:dyDescent="0.2">
      <c r="A726" s="761">
        <v>2016</v>
      </c>
      <c r="B726" s="761">
        <v>12</v>
      </c>
      <c r="C726" s="796" t="s">
        <v>133</v>
      </c>
      <c r="D726" s="796"/>
      <c r="E726" s="796"/>
      <c r="F726" s="761">
        <v>1095</v>
      </c>
      <c r="G726" s="761" t="s">
        <v>1057</v>
      </c>
      <c r="H726" s="799">
        <v>0</v>
      </c>
      <c r="I726" s="799">
        <v>0</v>
      </c>
      <c r="J726" s="799">
        <v>0</v>
      </c>
      <c r="K726" s="799">
        <v>0</v>
      </c>
      <c r="L726" s="799">
        <v>0</v>
      </c>
      <c r="M726" s="799">
        <v>177577</v>
      </c>
      <c r="N726" s="799">
        <v>4346</v>
      </c>
      <c r="O726" s="799">
        <v>15460</v>
      </c>
      <c r="P726" s="799">
        <v>42187</v>
      </c>
      <c r="Q726" s="799">
        <v>0</v>
      </c>
      <c r="R726" s="799">
        <v>24769</v>
      </c>
      <c r="S726" s="799">
        <v>9502</v>
      </c>
    </row>
    <row r="727" spans="1:19" x14ac:dyDescent="0.2">
      <c r="A727" s="761">
        <v>2016</v>
      </c>
      <c r="B727" s="761">
        <v>15</v>
      </c>
      <c r="C727" s="796" t="s">
        <v>134</v>
      </c>
      <c r="D727" s="796"/>
      <c r="E727" s="796"/>
      <c r="F727" s="761">
        <v>1107</v>
      </c>
      <c r="G727" s="761" t="s">
        <v>1058</v>
      </c>
      <c r="H727" s="799">
        <v>0</v>
      </c>
      <c r="I727" s="799">
        <v>39927</v>
      </c>
      <c r="J727" s="799">
        <v>17741</v>
      </c>
      <c r="K727" s="799">
        <v>58170</v>
      </c>
      <c r="L727" s="799">
        <v>60360</v>
      </c>
      <c r="M727" s="799">
        <v>157824</v>
      </c>
      <c r="N727" s="799">
        <v>75665</v>
      </c>
      <c r="O727" s="799">
        <v>48762</v>
      </c>
      <c r="P727" s="799">
        <v>85100</v>
      </c>
      <c r="Q727" s="799">
        <v>0</v>
      </c>
      <c r="R727" s="799">
        <v>51729</v>
      </c>
      <c r="S727" s="799">
        <v>38518</v>
      </c>
    </row>
    <row r="728" spans="1:19" x14ac:dyDescent="0.2">
      <c r="A728" s="761">
        <v>2016</v>
      </c>
      <c r="B728" s="761">
        <v>7</v>
      </c>
      <c r="C728" s="796" t="s">
        <v>135</v>
      </c>
      <c r="D728" s="796"/>
      <c r="E728" s="796"/>
      <c r="F728" s="761">
        <v>1116</v>
      </c>
      <c r="G728" s="761" t="s">
        <v>1059</v>
      </c>
      <c r="H728" s="799">
        <v>137863</v>
      </c>
      <c r="I728" s="799">
        <v>0</v>
      </c>
      <c r="J728" s="799">
        <v>86027</v>
      </c>
      <c r="K728" s="799">
        <v>176529</v>
      </c>
      <c r="L728" s="799">
        <v>0</v>
      </c>
      <c r="M728" s="799">
        <v>0</v>
      </c>
      <c r="N728" s="799">
        <v>5165</v>
      </c>
      <c r="O728" s="799">
        <v>62595</v>
      </c>
      <c r="P728" s="799">
        <v>127143</v>
      </c>
      <c r="Q728" s="799">
        <v>0</v>
      </c>
      <c r="R728" s="799">
        <v>0</v>
      </c>
      <c r="S728" s="799">
        <v>71797</v>
      </c>
    </row>
    <row r="729" spans="1:19" x14ac:dyDescent="0.2">
      <c r="A729" s="761">
        <v>2016</v>
      </c>
      <c r="B729" s="761">
        <v>12</v>
      </c>
      <c r="C729" s="796" t="s">
        <v>136</v>
      </c>
      <c r="D729" s="796"/>
      <c r="E729" s="796"/>
      <c r="F729" s="761">
        <v>1134</v>
      </c>
      <c r="G729" s="761" t="s">
        <v>1060</v>
      </c>
      <c r="H729" s="799">
        <v>34298</v>
      </c>
      <c r="I729" s="799">
        <v>0</v>
      </c>
      <c r="J729" s="799">
        <v>0</v>
      </c>
      <c r="K729" s="799">
        <v>0</v>
      </c>
      <c r="L729" s="799">
        <v>5062</v>
      </c>
      <c r="M729" s="799">
        <v>0</v>
      </c>
      <c r="N729" s="799">
        <v>0</v>
      </c>
      <c r="O729" s="799">
        <v>0</v>
      </c>
      <c r="P729" s="799">
        <v>0</v>
      </c>
      <c r="Q729" s="799">
        <v>0</v>
      </c>
      <c r="R729" s="799">
        <v>0</v>
      </c>
      <c r="S729" s="799">
        <v>911</v>
      </c>
    </row>
    <row r="730" spans="1:19" x14ac:dyDescent="0.2">
      <c r="A730" s="761">
        <v>2016</v>
      </c>
      <c r="B730" s="761">
        <v>12</v>
      </c>
      <c r="C730" s="796" t="s">
        <v>137</v>
      </c>
      <c r="D730" s="796"/>
      <c r="E730" s="796"/>
      <c r="F730" s="761">
        <v>1152</v>
      </c>
      <c r="G730" s="761" t="s">
        <v>1061</v>
      </c>
      <c r="H730" s="799">
        <v>0</v>
      </c>
      <c r="I730" s="799">
        <v>4933</v>
      </c>
      <c r="J730" s="799">
        <v>0</v>
      </c>
      <c r="K730" s="799">
        <v>25270</v>
      </c>
      <c r="L730" s="799">
        <v>71632</v>
      </c>
      <c r="M730" s="799">
        <v>82107</v>
      </c>
      <c r="N730" s="799">
        <v>0</v>
      </c>
      <c r="O730" s="799">
        <v>6360</v>
      </c>
      <c r="P730" s="799">
        <v>18309</v>
      </c>
      <c r="Q730" s="799">
        <v>0</v>
      </c>
      <c r="R730" s="799">
        <v>3</v>
      </c>
      <c r="S730" s="799">
        <v>15485</v>
      </c>
    </row>
    <row r="731" spans="1:19" x14ac:dyDescent="0.2">
      <c r="A731" s="761">
        <v>2016</v>
      </c>
      <c r="B731" s="761">
        <v>13</v>
      </c>
      <c r="C731" s="796" t="s">
        <v>138</v>
      </c>
      <c r="D731" s="796"/>
      <c r="E731" s="796"/>
      <c r="F731" s="761">
        <v>1197</v>
      </c>
      <c r="G731" s="761" t="s">
        <v>1067</v>
      </c>
      <c r="H731" s="799">
        <v>0</v>
      </c>
      <c r="I731" s="799">
        <v>0</v>
      </c>
      <c r="J731" s="799">
        <v>0</v>
      </c>
      <c r="K731" s="799">
        <v>0</v>
      </c>
      <c r="L731" s="799">
        <v>0</v>
      </c>
      <c r="M731" s="799">
        <v>0</v>
      </c>
      <c r="N731" s="799">
        <v>39449</v>
      </c>
      <c r="O731" s="799">
        <v>0</v>
      </c>
      <c r="P731" s="799">
        <v>16223</v>
      </c>
      <c r="Q731" s="799">
        <v>0</v>
      </c>
      <c r="R731" s="799">
        <v>0</v>
      </c>
      <c r="S731" s="799">
        <v>13766</v>
      </c>
    </row>
    <row r="732" spans="1:19" x14ac:dyDescent="0.2">
      <c r="A732" s="761">
        <v>2016</v>
      </c>
      <c r="B732" s="761">
        <v>5</v>
      </c>
      <c r="C732" s="796" t="s">
        <v>139</v>
      </c>
      <c r="D732" s="761">
        <v>1854</v>
      </c>
      <c r="E732" s="796"/>
      <c r="F732" s="761">
        <v>1206</v>
      </c>
      <c r="G732" s="761" t="s">
        <v>1636</v>
      </c>
      <c r="H732" s="799">
        <v>12746</v>
      </c>
      <c r="I732" s="799">
        <v>0</v>
      </c>
      <c r="J732" s="799">
        <v>126499</v>
      </c>
      <c r="K732" s="799">
        <v>356404</v>
      </c>
      <c r="L732" s="799">
        <v>0</v>
      </c>
      <c r="M732" s="799">
        <v>0</v>
      </c>
      <c r="N732" s="799">
        <v>24273</v>
      </c>
      <c r="O732" s="799">
        <v>30369</v>
      </c>
      <c r="P732" s="799">
        <v>0</v>
      </c>
      <c r="Q732" s="799">
        <v>0</v>
      </c>
      <c r="R732" s="799">
        <v>6850</v>
      </c>
      <c r="S732" s="799">
        <v>69893</v>
      </c>
    </row>
    <row r="733" spans="1:19" x14ac:dyDescent="0.2">
      <c r="A733" s="761">
        <v>2016</v>
      </c>
      <c r="B733" s="761">
        <v>13</v>
      </c>
      <c r="C733" s="796" t="s">
        <v>140</v>
      </c>
      <c r="D733" s="796"/>
      <c r="E733" s="796"/>
      <c r="F733" s="761">
        <v>1211</v>
      </c>
      <c r="G733" s="761" t="s">
        <v>1068</v>
      </c>
      <c r="H733" s="799">
        <v>4717</v>
      </c>
      <c r="I733" s="799">
        <v>0</v>
      </c>
      <c r="J733" s="799">
        <v>0</v>
      </c>
      <c r="K733" s="799">
        <v>54550</v>
      </c>
      <c r="L733" s="799">
        <v>0</v>
      </c>
      <c r="M733" s="799">
        <v>144891</v>
      </c>
      <c r="N733" s="799">
        <v>10807</v>
      </c>
      <c r="O733" s="799">
        <v>79063</v>
      </c>
      <c r="P733" s="799">
        <v>27788</v>
      </c>
      <c r="Q733" s="799">
        <v>0</v>
      </c>
      <c r="R733" s="799">
        <v>3969</v>
      </c>
      <c r="S733" s="799">
        <v>76923</v>
      </c>
    </row>
    <row r="734" spans="1:19" x14ac:dyDescent="0.2">
      <c r="A734" s="761">
        <v>2016</v>
      </c>
      <c r="B734" s="761">
        <v>7</v>
      </c>
      <c r="C734" s="796" t="s">
        <v>141</v>
      </c>
      <c r="D734" s="796"/>
      <c r="E734" s="796"/>
      <c r="F734" s="761">
        <v>1215</v>
      </c>
      <c r="G734" s="761" t="s">
        <v>1069</v>
      </c>
      <c r="H734" s="799">
        <v>0</v>
      </c>
      <c r="I734" s="799">
        <v>877</v>
      </c>
      <c r="J734" s="799">
        <v>20935</v>
      </c>
      <c r="K734" s="799">
        <v>19187</v>
      </c>
      <c r="L734" s="799">
        <v>0</v>
      </c>
      <c r="M734" s="799">
        <v>15050</v>
      </c>
      <c r="N734" s="799">
        <v>19087</v>
      </c>
      <c r="O734" s="799">
        <v>1498</v>
      </c>
      <c r="P734" s="799">
        <v>8238</v>
      </c>
      <c r="Q734" s="799">
        <v>0</v>
      </c>
      <c r="R734" s="799">
        <v>121</v>
      </c>
      <c r="S734" s="799">
        <v>43712</v>
      </c>
    </row>
    <row r="735" spans="1:19" x14ac:dyDescent="0.2">
      <c r="A735" s="761">
        <v>2016</v>
      </c>
      <c r="B735" s="761">
        <v>5</v>
      </c>
      <c r="C735" s="796" t="s">
        <v>142</v>
      </c>
      <c r="D735" s="796"/>
      <c r="E735" s="796"/>
      <c r="F735" s="761">
        <v>1218</v>
      </c>
      <c r="G735" s="761" t="s">
        <v>1070</v>
      </c>
      <c r="H735" s="799">
        <v>3254</v>
      </c>
      <c r="I735" s="799">
        <v>0</v>
      </c>
      <c r="J735" s="799">
        <v>20627</v>
      </c>
      <c r="K735" s="799">
        <v>7786</v>
      </c>
      <c r="L735" s="799">
        <v>0</v>
      </c>
      <c r="M735" s="799">
        <v>0</v>
      </c>
      <c r="N735" s="799">
        <v>240</v>
      </c>
      <c r="O735" s="799">
        <v>15478</v>
      </c>
      <c r="P735" s="799">
        <v>5263</v>
      </c>
      <c r="Q735" s="799">
        <v>0</v>
      </c>
      <c r="R735" s="799">
        <v>11421</v>
      </c>
      <c r="S735" s="799">
        <v>14284</v>
      </c>
    </row>
    <row r="736" spans="1:19" x14ac:dyDescent="0.2">
      <c r="A736" s="761">
        <v>2016</v>
      </c>
      <c r="B736" s="761">
        <v>10</v>
      </c>
      <c r="C736" s="796" t="s">
        <v>143</v>
      </c>
      <c r="D736" s="796"/>
      <c r="E736" s="796"/>
      <c r="F736" s="761">
        <v>1221</v>
      </c>
      <c r="G736" s="761" t="s">
        <v>2006</v>
      </c>
      <c r="H736" s="799">
        <v>8992</v>
      </c>
      <c r="I736" s="799">
        <v>0</v>
      </c>
      <c r="J736" s="799">
        <v>0</v>
      </c>
      <c r="K736" s="799">
        <v>129196</v>
      </c>
      <c r="L736" s="799">
        <v>0</v>
      </c>
      <c r="M736" s="799">
        <v>273689</v>
      </c>
      <c r="N736" s="799">
        <v>16707</v>
      </c>
      <c r="O736" s="799">
        <v>11229</v>
      </c>
      <c r="P736" s="799">
        <v>62452</v>
      </c>
      <c r="Q736" s="799">
        <v>0</v>
      </c>
      <c r="R736" s="799">
        <v>88459</v>
      </c>
      <c r="S736" s="799">
        <v>59499</v>
      </c>
    </row>
    <row r="737" spans="1:19" x14ac:dyDescent="0.2">
      <c r="A737" s="761">
        <v>2016</v>
      </c>
      <c r="B737" s="761">
        <v>7</v>
      </c>
      <c r="C737" s="796" t="s">
        <v>144</v>
      </c>
      <c r="D737" s="796"/>
      <c r="E737" s="796"/>
      <c r="F737" s="761">
        <v>1233</v>
      </c>
      <c r="G737" s="761" t="s">
        <v>1071</v>
      </c>
      <c r="H737" s="799">
        <v>0</v>
      </c>
      <c r="I737" s="799">
        <v>0</v>
      </c>
      <c r="J737" s="799">
        <v>0</v>
      </c>
      <c r="K737" s="799">
        <v>0</v>
      </c>
      <c r="L737" s="799">
        <v>0</v>
      </c>
      <c r="M737" s="799">
        <v>0</v>
      </c>
      <c r="N737" s="799">
        <v>616</v>
      </c>
      <c r="O737" s="799">
        <v>61592</v>
      </c>
      <c r="P737" s="799">
        <v>47486</v>
      </c>
      <c r="Q737" s="799">
        <v>0</v>
      </c>
      <c r="R737" s="799">
        <v>0</v>
      </c>
      <c r="S737" s="799">
        <v>37618</v>
      </c>
    </row>
    <row r="738" spans="1:19" x14ac:dyDescent="0.2">
      <c r="A738" s="761">
        <v>2016</v>
      </c>
      <c r="B738" s="761">
        <v>9</v>
      </c>
      <c r="C738" s="796" t="s">
        <v>145</v>
      </c>
      <c r="D738" s="796"/>
      <c r="E738" s="796"/>
      <c r="F738" s="761">
        <v>1278</v>
      </c>
      <c r="G738" s="761" t="s">
        <v>1072</v>
      </c>
      <c r="H738" s="799">
        <v>0</v>
      </c>
      <c r="I738" s="799">
        <v>0</v>
      </c>
      <c r="J738" s="799">
        <v>129533</v>
      </c>
      <c r="K738" s="799">
        <v>66260</v>
      </c>
      <c r="L738" s="799">
        <v>0</v>
      </c>
      <c r="M738" s="799">
        <v>51803</v>
      </c>
      <c r="N738" s="799">
        <v>17388</v>
      </c>
      <c r="O738" s="799">
        <v>68612</v>
      </c>
      <c r="P738" s="799">
        <v>108615</v>
      </c>
      <c r="Q738" s="799">
        <v>0</v>
      </c>
      <c r="R738" s="799">
        <v>22158</v>
      </c>
      <c r="S738" s="799">
        <v>164693</v>
      </c>
    </row>
    <row r="739" spans="1:19" x14ac:dyDescent="0.2">
      <c r="A739" s="761">
        <v>2016</v>
      </c>
      <c r="B739" s="761">
        <v>11</v>
      </c>
      <c r="C739" s="796" t="s">
        <v>146</v>
      </c>
      <c r="D739" s="796"/>
      <c r="E739" s="796"/>
      <c r="F739" s="761">
        <v>1332</v>
      </c>
      <c r="G739" s="761" t="s">
        <v>1073</v>
      </c>
      <c r="H739" s="799">
        <v>3891</v>
      </c>
      <c r="I739" s="799">
        <v>0</v>
      </c>
      <c r="J739" s="799">
        <v>79289</v>
      </c>
      <c r="K739" s="799">
        <v>38348</v>
      </c>
      <c r="L739" s="799">
        <v>0</v>
      </c>
      <c r="M739" s="799">
        <v>197054</v>
      </c>
      <c r="N739" s="799">
        <v>0</v>
      </c>
      <c r="O739" s="799">
        <v>69713</v>
      </c>
      <c r="P739" s="799">
        <v>48040</v>
      </c>
      <c r="Q739" s="799">
        <v>3</v>
      </c>
      <c r="R739" s="799">
        <v>0</v>
      </c>
      <c r="S739" s="799">
        <v>44469</v>
      </c>
    </row>
    <row r="740" spans="1:19" x14ac:dyDescent="0.2">
      <c r="A740" s="761">
        <v>2016</v>
      </c>
      <c r="B740" s="761">
        <v>10</v>
      </c>
      <c r="C740" s="796" t="s">
        <v>147</v>
      </c>
      <c r="D740" s="796"/>
      <c r="E740" s="796"/>
      <c r="F740" s="761">
        <v>1337</v>
      </c>
      <c r="G740" s="761" t="s">
        <v>1074</v>
      </c>
      <c r="H740" s="799">
        <v>0</v>
      </c>
      <c r="I740" s="799">
        <v>0</v>
      </c>
      <c r="J740" s="799">
        <v>0</v>
      </c>
      <c r="K740" s="799">
        <v>0</v>
      </c>
      <c r="L740" s="799">
        <v>0</v>
      </c>
      <c r="M740" s="799">
        <v>52162</v>
      </c>
      <c r="N740" s="799">
        <v>211972</v>
      </c>
      <c r="O740" s="799">
        <v>0</v>
      </c>
      <c r="P740" s="799">
        <v>0</v>
      </c>
      <c r="Q740" s="799">
        <v>39951</v>
      </c>
      <c r="R740" s="799">
        <v>2720</v>
      </c>
      <c r="S740" s="799">
        <v>27708</v>
      </c>
    </row>
    <row r="741" spans="1:19" x14ac:dyDescent="0.2">
      <c r="A741" s="761">
        <v>2016</v>
      </c>
      <c r="B741" s="761">
        <v>11</v>
      </c>
      <c r="C741" s="796" t="s">
        <v>148</v>
      </c>
      <c r="D741" s="796"/>
      <c r="E741" s="796"/>
      <c r="F741" s="761">
        <v>1350</v>
      </c>
      <c r="G741" s="761" t="s">
        <v>1075</v>
      </c>
      <c r="H741" s="799">
        <v>80804</v>
      </c>
      <c r="I741" s="799">
        <v>0</v>
      </c>
      <c r="J741" s="799">
        <v>73857</v>
      </c>
      <c r="K741" s="799">
        <v>0</v>
      </c>
      <c r="L741" s="799">
        <v>0</v>
      </c>
      <c r="M741" s="799">
        <v>81917</v>
      </c>
      <c r="N741" s="799">
        <v>41818</v>
      </c>
      <c r="O741" s="799">
        <v>61819</v>
      </c>
      <c r="P741" s="799">
        <v>43367</v>
      </c>
      <c r="Q741" s="799">
        <v>0</v>
      </c>
      <c r="R741" s="799">
        <v>0</v>
      </c>
      <c r="S741" s="799">
        <v>61985</v>
      </c>
    </row>
    <row r="742" spans="1:19" x14ac:dyDescent="0.2">
      <c r="A742" s="761">
        <v>2016</v>
      </c>
      <c r="B742" s="761">
        <v>11</v>
      </c>
      <c r="C742" s="796" t="s">
        <v>149</v>
      </c>
      <c r="D742" s="796"/>
      <c r="E742" s="796"/>
      <c r="F742" s="761">
        <v>1359</v>
      </c>
      <c r="G742" s="761" t="s">
        <v>1076</v>
      </c>
      <c r="H742" s="799">
        <v>0</v>
      </c>
      <c r="I742" s="799">
        <v>0</v>
      </c>
      <c r="J742" s="799">
        <v>0</v>
      </c>
      <c r="K742" s="799">
        <v>0</v>
      </c>
      <c r="L742" s="799">
        <v>0</v>
      </c>
      <c r="M742" s="799">
        <v>0</v>
      </c>
      <c r="N742" s="799">
        <v>23700</v>
      </c>
      <c r="O742" s="799">
        <v>1548</v>
      </c>
      <c r="P742" s="799">
        <v>0</v>
      </c>
      <c r="Q742" s="799">
        <v>0</v>
      </c>
      <c r="R742" s="799">
        <v>0</v>
      </c>
      <c r="S742" s="799">
        <v>2287</v>
      </c>
    </row>
    <row r="743" spans="1:19" x14ac:dyDescent="0.2">
      <c r="A743" s="761">
        <v>2016</v>
      </c>
      <c r="B743" s="761">
        <v>9</v>
      </c>
      <c r="C743" s="796" t="s">
        <v>150</v>
      </c>
      <c r="D743" s="796"/>
      <c r="E743" s="796"/>
      <c r="F743" s="761">
        <v>1368</v>
      </c>
      <c r="G743" s="761" t="s">
        <v>1077</v>
      </c>
      <c r="H743" s="799">
        <v>0</v>
      </c>
      <c r="I743" s="799">
        <v>111464</v>
      </c>
      <c r="J743" s="799">
        <v>111703</v>
      </c>
      <c r="K743" s="799">
        <v>89981</v>
      </c>
      <c r="L743" s="799">
        <v>0</v>
      </c>
      <c r="M743" s="799">
        <v>4325</v>
      </c>
      <c r="N743" s="799">
        <v>77941</v>
      </c>
      <c r="O743" s="799">
        <v>27716</v>
      </c>
      <c r="P743" s="799">
        <v>2</v>
      </c>
      <c r="Q743" s="799">
        <v>54840</v>
      </c>
      <c r="R743" s="799">
        <v>0</v>
      </c>
      <c r="S743" s="799">
        <v>56124</v>
      </c>
    </row>
    <row r="744" spans="1:19" x14ac:dyDescent="0.2">
      <c r="A744" s="761">
        <v>2016</v>
      </c>
      <c r="B744" s="761">
        <v>11</v>
      </c>
      <c r="C744" s="796" t="s">
        <v>151</v>
      </c>
      <c r="D744" s="796"/>
      <c r="E744" s="796"/>
      <c r="F744" s="761">
        <v>1413</v>
      </c>
      <c r="G744" s="761" t="s">
        <v>638</v>
      </c>
      <c r="H744" s="799">
        <v>0</v>
      </c>
      <c r="I744" s="799">
        <v>2900</v>
      </c>
      <c r="J744" s="799">
        <v>16553</v>
      </c>
      <c r="K744" s="799">
        <v>17526</v>
      </c>
      <c r="L744" s="799">
        <v>0</v>
      </c>
      <c r="M744" s="799">
        <v>98518</v>
      </c>
      <c r="N744" s="799">
        <v>16979</v>
      </c>
      <c r="O744" s="799">
        <v>14426</v>
      </c>
      <c r="P744" s="799">
        <v>4844</v>
      </c>
      <c r="Q744" s="799">
        <v>14129</v>
      </c>
      <c r="R744" s="799">
        <v>0</v>
      </c>
      <c r="S744" s="799">
        <v>30339</v>
      </c>
    </row>
    <row r="745" spans="1:19" x14ac:dyDescent="0.2">
      <c r="A745" s="761">
        <v>2016</v>
      </c>
      <c r="B745" s="761">
        <v>13</v>
      </c>
      <c r="C745" s="796" t="s">
        <v>152</v>
      </c>
      <c r="D745" s="796"/>
      <c r="E745" s="796"/>
      <c r="F745" s="761">
        <v>1431</v>
      </c>
      <c r="G745" s="761" t="s">
        <v>1078</v>
      </c>
      <c r="H745" s="799">
        <v>37091</v>
      </c>
      <c r="I745" s="799">
        <v>0</v>
      </c>
      <c r="J745" s="799">
        <v>0</v>
      </c>
      <c r="K745" s="799">
        <v>0</v>
      </c>
      <c r="L745" s="799">
        <v>0</v>
      </c>
      <c r="M745" s="799">
        <v>91167</v>
      </c>
      <c r="N745" s="799">
        <v>19648</v>
      </c>
      <c r="O745" s="799">
        <v>10963</v>
      </c>
      <c r="P745" s="799">
        <v>42309</v>
      </c>
      <c r="Q745" s="799">
        <v>0</v>
      </c>
      <c r="R745" s="799">
        <v>5380</v>
      </c>
      <c r="S745" s="799">
        <v>1</v>
      </c>
    </row>
    <row r="746" spans="1:19" x14ac:dyDescent="0.2">
      <c r="A746" s="761">
        <v>2016</v>
      </c>
      <c r="B746" s="761">
        <v>13</v>
      </c>
      <c r="C746" s="796" t="s">
        <v>153</v>
      </c>
      <c r="D746" s="796"/>
      <c r="E746" s="796"/>
      <c r="F746" s="761">
        <v>1476</v>
      </c>
      <c r="G746" s="761" t="s">
        <v>1079</v>
      </c>
      <c r="H746" s="799">
        <v>0</v>
      </c>
      <c r="I746" s="799">
        <v>0</v>
      </c>
      <c r="J746" s="799">
        <v>34747</v>
      </c>
      <c r="K746" s="799">
        <v>15062</v>
      </c>
      <c r="L746" s="799">
        <v>0</v>
      </c>
      <c r="M746" s="799">
        <v>97303</v>
      </c>
      <c r="N746" s="799">
        <v>149732</v>
      </c>
      <c r="O746" s="799">
        <v>50000</v>
      </c>
      <c r="P746" s="799">
        <v>0</v>
      </c>
      <c r="Q746" s="799">
        <v>154348</v>
      </c>
      <c r="R746" s="799">
        <v>0</v>
      </c>
      <c r="S746" s="799">
        <v>197389</v>
      </c>
    </row>
    <row r="747" spans="1:19" x14ac:dyDescent="0.2">
      <c r="A747" s="761">
        <v>2016</v>
      </c>
      <c r="B747" s="761">
        <v>13</v>
      </c>
      <c r="C747" s="796" t="s">
        <v>154</v>
      </c>
      <c r="D747" s="761">
        <v>5328</v>
      </c>
      <c r="E747" s="796"/>
      <c r="F747" s="761">
        <v>1503</v>
      </c>
      <c r="G747" s="761" t="s">
        <v>1080</v>
      </c>
      <c r="H747" s="799">
        <v>0</v>
      </c>
      <c r="I747" s="799">
        <v>0</v>
      </c>
      <c r="J747" s="799">
        <v>64714</v>
      </c>
      <c r="K747" s="799">
        <v>206061</v>
      </c>
      <c r="L747" s="799">
        <v>0</v>
      </c>
      <c r="M747" s="799">
        <v>156124</v>
      </c>
      <c r="N747" s="799">
        <v>53981</v>
      </c>
      <c r="O747" s="799">
        <v>6176</v>
      </c>
      <c r="P747" s="799">
        <v>3413</v>
      </c>
      <c r="Q747" s="799">
        <v>5089</v>
      </c>
      <c r="R747" s="799">
        <v>7807</v>
      </c>
      <c r="S747" s="799">
        <v>62982</v>
      </c>
    </row>
    <row r="748" spans="1:19" x14ac:dyDescent="0.2">
      <c r="A748" s="761">
        <v>2016</v>
      </c>
      <c r="B748" s="761">
        <v>11</v>
      </c>
      <c r="C748" s="796" t="s">
        <v>155</v>
      </c>
      <c r="D748" s="796"/>
      <c r="E748" s="796"/>
      <c r="F748" s="761">
        <v>1576</v>
      </c>
      <c r="G748" s="761" t="s">
        <v>1081</v>
      </c>
      <c r="H748" s="799">
        <v>0</v>
      </c>
      <c r="I748" s="799">
        <v>0</v>
      </c>
      <c r="J748" s="799">
        <v>0</v>
      </c>
      <c r="K748" s="799">
        <v>0</v>
      </c>
      <c r="L748" s="799">
        <v>0</v>
      </c>
      <c r="M748" s="799">
        <v>62148</v>
      </c>
      <c r="N748" s="799">
        <v>41931</v>
      </c>
      <c r="O748" s="799">
        <v>0</v>
      </c>
      <c r="P748" s="799">
        <v>0</v>
      </c>
      <c r="Q748" s="799">
        <v>0</v>
      </c>
      <c r="R748" s="799">
        <v>118558</v>
      </c>
      <c r="S748" s="799">
        <v>21901</v>
      </c>
    </row>
    <row r="749" spans="1:19" x14ac:dyDescent="0.2">
      <c r="A749" s="761">
        <v>2016</v>
      </c>
      <c r="B749" s="761">
        <v>15</v>
      </c>
      <c r="C749" s="796" t="s">
        <v>156</v>
      </c>
      <c r="D749" s="796"/>
      <c r="E749" s="796"/>
      <c r="F749" s="761">
        <v>1602</v>
      </c>
      <c r="G749" s="761" t="s">
        <v>1082</v>
      </c>
      <c r="H749" s="799">
        <v>0</v>
      </c>
      <c r="I749" s="799">
        <v>0</v>
      </c>
      <c r="J749" s="799">
        <v>0</v>
      </c>
      <c r="K749" s="799">
        <v>60533</v>
      </c>
      <c r="L749" s="799">
        <v>0</v>
      </c>
      <c r="M749" s="799">
        <v>27457</v>
      </c>
      <c r="N749" s="799">
        <v>0</v>
      </c>
      <c r="O749" s="799">
        <v>9393</v>
      </c>
      <c r="P749" s="799">
        <v>8719</v>
      </c>
      <c r="Q749" s="799">
        <v>0</v>
      </c>
      <c r="R749" s="799">
        <v>0</v>
      </c>
      <c r="S749" s="799">
        <v>0</v>
      </c>
    </row>
    <row r="750" spans="1:19" x14ac:dyDescent="0.2">
      <c r="A750" s="761">
        <v>2016</v>
      </c>
      <c r="B750" s="761">
        <v>9</v>
      </c>
      <c r="C750" s="796" t="s">
        <v>157</v>
      </c>
      <c r="D750" s="796"/>
      <c r="E750" s="796"/>
      <c r="F750" s="761">
        <v>1611</v>
      </c>
      <c r="G750" s="761" t="s">
        <v>1083</v>
      </c>
      <c r="H750" s="799">
        <v>502356</v>
      </c>
      <c r="I750" s="799">
        <v>0</v>
      </c>
      <c r="J750" s="799">
        <v>0</v>
      </c>
      <c r="K750" s="799">
        <v>83812</v>
      </c>
      <c r="L750" s="799">
        <v>0</v>
      </c>
      <c r="M750" s="799">
        <v>896724</v>
      </c>
      <c r="N750" s="799">
        <v>555746</v>
      </c>
      <c r="O750" s="799">
        <v>637125</v>
      </c>
      <c r="P750" s="799">
        <v>255556</v>
      </c>
      <c r="Q750" s="799">
        <v>0</v>
      </c>
      <c r="R750" s="799">
        <v>1477096</v>
      </c>
      <c r="S750" s="799">
        <v>143030</v>
      </c>
    </row>
    <row r="751" spans="1:19" x14ac:dyDescent="0.2">
      <c r="A751" s="761">
        <v>2016</v>
      </c>
      <c r="B751" s="761">
        <v>15</v>
      </c>
      <c r="C751" s="796" t="s">
        <v>158</v>
      </c>
      <c r="D751" s="796"/>
      <c r="E751" s="796"/>
      <c r="F751" s="761">
        <v>1619</v>
      </c>
      <c r="G751" s="761" t="s">
        <v>1084</v>
      </c>
      <c r="H751" s="799">
        <v>82742</v>
      </c>
      <c r="I751" s="799">
        <v>0</v>
      </c>
      <c r="J751" s="799">
        <v>79893</v>
      </c>
      <c r="K751" s="799">
        <v>125574</v>
      </c>
      <c r="L751" s="799">
        <v>0</v>
      </c>
      <c r="M751" s="799">
        <v>24420</v>
      </c>
      <c r="N751" s="799">
        <v>4830</v>
      </c>
      <c r="O751" s="799">
        <v>44831</v>
      </c>
      <c r="P751" s="799">
        <v>47151</v>
      </c>
      <c r="Q751" s="799">
        <v>0</v>
      </c>
      <c r="R751" s="799">
        <v>34916</v>
      </c>
      <c r="S751" s="799">
        <v>14221</v>
      </c>
    </row>
    <row r="752" spans="1:19" x14ac:dyDescent="0.2">
      <c r="A752" s="761">
        <v>2016</v>
      </c>
      <c r="B752" s="761">
        <v>1</v>
      </c>
      <c r="C752" s="796" t="s">
        <v>159</v>
      </c>
      <c r="D752" s="796"/>
      <c r="E752" s="796"/>
      <c r="F752" s="761">
        <v>1638</v>
      </c>
      <c r="G752" s="761" t="s">
        <v>1085</v>
      </c>
      <c r="H752" s="799">
        <v>47931</v>
      </c>
      <c r="I752" s="799">
        <v>0</v>
      </c>
      <c r="J752" s="799">
        <v>0</v>
      </c>
      <c r="K752" s="799">
        <v>0</v>
      </c>
      <c r="L752" s="799">
        <v>0</v>
      </c>
      <c r="M752" s="799">
        <v>35594</v>
      </c>
      <c r="N752" s="799">
        <v>72284</v>
      </c>
      <c r="O752" s="799">
        <v>6457</v>
      </c>
      <c r="P752" s="799">
        <v>27204</v>
      </c>
      <c r="Q752" s="799">
        <v>0</v>
      </c>
      <c r="R752" s="799">
        <v>0</v>
      </c>
      <c r="S752" s="799">
        <v>33403</v>
      </c>
    </row>
    <row r="753" spans="1:19" x14ac:dyDescent="0.2">
      <c r="A753" s="761">
        <v>2016</v>
      </c>
      <c r="B753" s="761">
        <v>9</v>
      </c>
      <c r="C753" s="796" t="s">
        <v>160</v>
      </c>
      <c r="D753" s="796"/>
      <c r="E753" s="796"/>
      <c r="F753" s="761">
        <v>1675</v>
      </c>
      <c r="G753" s="761" t="s">
        <v>1086</v>
      </c>
      <c r="H753" s="799">
        <v>0</v>
      </c>
      <c r="I753" s="799">
        <v>0</v>
      </c>
      <c r="J753" s="799">
        <v>0</v>
      </c>
      <c r="K753" s="799">
        <v>83240</v>
      </c>
      <c r="L753" s="799">
        <v>13123</v>
      </c>
      <c r="M753" s="799">
        <v>2322</v>
      </c>
      <c r="N753" s="799">
        <v>7366</v>
      </c>
      <c r="O753" s="799">
        <v>4298</v>
      </c>
      <c r="P753" s="799">
        <v>0</v>
      </c>
      <c r="Q753" s="799">
        <v>0</v>
      </c>
      <c r="R753" s="799">
        <v>0</v>
      </c>
      <c r="S753" s="799">
        <v>23630</v>
      </c>
    </row>
    <row r="754" spans="1:19" x14ac:dyDescent="0.2">
      <c r="A754" s="761">
        <v>2016</v>
      </c>
      <c r="B754" s="761">
        <v>12</v>
      </c>
      <c r="C754" s="796" t="s">
        <v>161</v>
      </c>
      <c r="D754" s="796"/>
      <c r="E754" s="796"/>
      <c r="F754" s="761">
        <v>1701</v>
      </c>
      <c r="G754" s="761" t="s">
        <v>1087</v>
      </c>
      <c r="H754" s="799">
        <v>0</v>
      </c>
      <c r="I754" s="799">
        <v>16393</v>
      </c>
      <c r="J754" s="799">
        <v>0</v>
      </c>
      <c r="K754" s="799">
        <v>159852</v>
      </c>
      <c r="L754" s="799">
        <v>0</v>
      </c>
      <c r="M754" s="799">
        <v>47010</v>
      </c>
      <c r="N754" s="799">
        <v>26102</v>
      </c>
      <c r="O754" s="799">
        <v>0</v>
      </c>
      <c r="P754" s="799">
        <v>0</v>
      </c>
      <c r="Q754" s="799">
        <v>0</v>
      </c>
      <c r="R754" s="799">
        <v>0</v>
      </c>
      <c r="S754" s="799">
        <v>149192</v>
      </c>
    </row>
    <row r="755" spans="1:19" x14ac:dyDescent="0.2">
      <c r="A755" s="761">
        <v>2016</v>
      </c>
      <c r="B755" s="761">
        <v>7</v>
      </c>
      <c r="C755" s="796" t="s">
        <v>162</v>
      </c>
      <c r="D755" s="796"/>
      <c r="E755" s="796"/>
      <c r="F755" s="761">
        <v>1719</v>
      </c>
      <c r="G755" s="761" t="s">
        <v>1088</v>
      </c>
      <c r="H755" s="799">
        <v>0</v>
      </c>
      <c r="I755" s="799">
        <v>0</v>
      </c>
      <c r="J755" s="799">
        <v>74550</v>
      </c>
      <c r="K755" s="799">
        <v>34429</v>
      </c>
      <c r="L755" s="799">
        <v>0</v>
      </c>
      <c r="M755" s="799">
        <v>0</v>
      </c>
      <c r="N755" s="799">
        <v>14297</v>
      </c>
      <c r="O755" s="799">
        <v>42867</v>
      </c>
      <c r="P755" s="799">
        <v>49564</v>
      </c>
      <c r="Q755" s="799">
        <v>0</v>
      </c>
      <c r="R755" s="799">
        <v>5564</v>
      </c>
      <c r="S755" s="799">
        <v>31536</v>
      </c>
    </row>
    <row r="756" spans="1:19" x14ac:dyDescent="0.2">
      <c r="A756" s="761">
        <v>2016</v>
      </c>
      <c r="B756" s="761">
        <v>11</v>
      </c>
      <c r="C756" s="796" t="s">
        <v>163</v>
      </c>
      <c r="D756" s="796"/>
      <c r="E756" s="796"/>
      <c r="F756" s="761">
        <v>1737</v>
      </c>
      <c r="G756" s="761" t="s">
        <v>1089</v>
      </c>
      <c r="H756" s="799">
        <v>49721</v>
      </c>
      <c r="I756" s="799">
        <v>0</v>
      </c>
      <c r="J756" s="799">
        <v>721087</v>
      </c>
      <c r="K756" s="799">
        <v>3421061</v>
      </c>
      <c r="L756" s="799">
        <v>4095912</v>
      </c>
      <c r="M756" s="799">
        <v>0</v>
      </c>
      <c r="N756" s="799">
        <v>0</v>
      </c>
      <c r="O756" s="799">
        <v>108316</v>
      </c>
      <c r="P756" s="799">
        <v>3187842</v>
      </c>
      <c r="Q756" s="799">
        <v>0</v>
      </c>
      <c r="R756" s="799">
        <v>2212948</v>
      </c>
      <c r="S756" s="799">
        <v>4950856</v>
      </c>
    </row>
    <row r="757" spans="1:19" x14ac:dyDescent="0.2">
      <c r="A757" s="761">
        <v>2016</v>
      </c>
      <c r="B757" s="761">
        <v>13</v>
      </c>
      <c r="C757" s="796" t="s">
        <v>164</v>
      </c>
      <c r="D757" s="796"/>
      <c r="E757" s="796"/>
      <c r="F757" s="761">
        <v>1782</v>
      </c>
      <c r="G757" s="761" t="s">
        <v>1090</v>
      </c>
      <c r="H757" s="799">
        <v>0</v>
      </c>
      <c r="I757" s="799">
        <v>0</v>
      </c>
      <c r="J757" s="799">
        <v>3305</v>
      </c>
      <c r="K757" s="799">
        <v>36500</v>
      </c>
      <c r="L757" s="799">
        <v>0</v>
      </c>
      <c r="M757" s="799">
        <v>0</v>
      </c>
      <c r="N757" s="799">
        <v>29049</v>
      </c>
      <c r="O757" s="799">
        <v>5145</v>
      </c>
      <c r="P757" s="799">
        <v>0</v>
      </c>
      <c r="Q757" s="799">
        <v>0</v>
      </c>
      <c r="R757" s="799">
        <v>5961</v>
      </c>
      <c r="S757" s="799">
        <v>103301</v>
      </c>
    </row>
    <row r="758" spans="1:19" x14ac:dyDescent="0.2">
      <c r="A758" s="761">
        <v>2016</v>
      </c>
      <c r="B758" s="761">
        <v>7</v>
      </c>
      <c r="C758" s="796" t="s">
        <v>165</v>
      </c>
      <c r="D758" s="796"/>
      <c r="E758" s="796"/>
      <c r="F758" s="761">
        <v>1791</v>
      </c>
      <c r="G758" s="761" t="s">
        <v>2007</v>
      </c>
      <c r="H758" s="799">
        <v>7060</v>
      </c>
      <c r="I758" s="799">
        <v>0</v>
      </c>
      <c r="J758" s="799">
        <v>0</v>
      </c>
      <c r="K758" s="799">
        <v>202557</v>
      </c>
      <c r="L758" s="799">
        <v>0</v>
      </c>
      <c r="M758" s="799">
        <v>0</v>
      </c>
      <c r="N758" s="799">
        <v>48425</v>
      </c>
      <c r="O758" s="799">
        <v>11199</v>
      </c>
      <c r="P758" s="799">
        <v>85826</v>
      </c>
      <c r="Q758" s="799">
        <v>0</v>
      </c>
      <c r="R758" s="799">
        <v>0</v>
      </c>
      <c r="S758" s="799">
        <v>44375</v>
      </c>
    </row>
    <row r="759" spans="1:19" x14ac:dyDescent="0.2">
      <c r="A759" s="761">
        <v>2016</v>
      </c>
      <c r="B759" s="761">
        <v>1</v>
      </c>
      <c r="C759" s="796" t="s">
        <v>166</v>
      </c>
      <c r="D759" s="796"/>
      <c r="E759" s="796"/>
      <c r="F759" s="761">
        <v>1863</v>
      </c>
      <c r="G759" s="761" t="s">
        <v>1092</v>
      </c>
      <c r="H759" s="799">
        <v>0</v>
      </c>
      <c r="I759" s="799">
        <v>0</v>
      </c>
      <c r="J759" s="799">
        <v>0</v>
      </c>
      <c r="K759" s="799">
        <v>0</v>
      </c>
      <c r="L759" s="799">
        <v>0</v>
      </c>
      <c r="M759" s="799">
        <v>92387</v>
      </c>
      <c r="N759" s="799">
        <v>308165</v>
      </c>
      <c r="O759" s="799">
        <v>250989</v>
      </c>
      <c r="P759" s="799">
        <v>355949</v>
      </c>
      <c r="Q759" s="799">
        <v>0</v>
      </c>
      <c r="R759" s="799">
        <v>0</v>
      </c>
      <c r="S759" s="799">
        <v>37888</v>
      </c>
    </row>
    <row r="760" spans="1:19" x14ac:dyDescent="0.2">
      <c r="A760" s="761">
        <v>2016</v>
      </c>
      <c r="B760" s="761">
        <v>7</v>
      </c>
      <c r="C760" s="796" t="s">
        <v>167</v>
      </c>
      <c r="D760" s="796"/>
      <c r="E760" s="796"/>
      <c r="F760" s="761">
        <v>1908</v>
      </c>
      <c r="G760" s="761" t="s">
        <v>1093</v>
      </c>
      <c r="H760" s="799">
        <v>3087</v>
      </c>
      <c r="I760" s="799">
        <v>3475</v>
      </c>
      <c r="J760" s="799">
        <v>44317</v>
      </c>
      <c r="K760" s="799">
        <v>55519</v>
      </c>
      <c r="L760" s="799">
        <v>0</v>
      </c>
      <c r="M760" s="799">
        <v>8439</v>
      </c>
      <c r="N760" s="799">
        <v>24689</v>
      </c>
      <c r="O760" s="799">
        <v>5553</v>
      </c>
      <c r="P760" s="799">
        <v>4405</v>
      </c>
      <c r="Q760" s="799">
        <v>0</v>
      </c>
      <c r="R760" s="799">
        <v>0</v>
      </c>
      <c r="S760" s="799">
        <v>17408</v>
      </c>
    </row>
    <row r="761" spans="1:19" x14ac:dyDescent="0.2">
      <c r="A761" s="761">
        <v>2016</v>
      </c>
      <c r="B761" s="761">
        <v>13</v>
      </c>
      <c r="C761" s="796" t="s">
        <v>168</v>
      </c>
      <c r="D761" s="796"/>
      <c r="E761" s="796"/>
      <c r="F761" s="761">
        <v>1917</v>
      </c>
      <c r="G761" s="761" t="s">
        <v>1094</v>
      </c>
      <c r="H761" s="799">
        <v>0</v>
      </c>
      <c r="I761" s="799">
        <v>0</v>
      </c>
      <c r="J761" s="799">
        <v>0</v>
      </c>
      <c r="K761" s="799">
        <v>12863</v>
      </c>
      <c r="L761" s="799">
        <v>10644</v>
      </c>
      <c r="M761" s="799">
        <v>90366</v>
      </c>
      <c r="N761" s="799">
        <v>6725</v>
      </c>
      <c r="O761" s="799">
        <v>0</v>
      </c>
      <c r="P761" s="799">
        <v>27203</v>
      </c>
      <c r="Q761" s="799">
        <v>0</v>
      </c>
      <c r="R761" s="799">
        <v>4021</v>
      </c>
      <c r="S761" s="799">
        <v>4640</v>
      </c>
    </row>
    <row r="762" spans="1:19" x14ac:dyDescent="0.2">
      <c r="A762" s="761">
        <v>2016</v>
      </c>
      <c r="B762" s="761">
        <v>9</v>
      </c>
      <c r="C762" s="796" t="s">
        <v>169</v>
      </c>
      <c r="D762" s="796"/>
      <c r="E762" s="796"/>
      <c r="F762" s="761">
        <v>1926</v>
      </c>
      <c r="G762" s="761" t="s">
        <v>1095</v>
      </c>
      <c r="H762" s="799">
        <v>0</v>
      </c>
      <c r="I762" s="799">
        <v>0</v>
      </c>
      <c r="J762" s="799">
        <v>74525</v>
      </c>
      <c r="K762" s="799">
        <v>3664</v>
      </c>
      <c r="L762" s="799">
        <v>0</v>
      </c>
      <c r="M762" s="799">
        <v>0</v>
      </c>
      <c r="N762" s="799">
        <v>2450</v>
      </c>
      <c r="O762" s="799">
        <v>30530</v>
      </c>
      <c r="P762" s="799">
        <v>23910</v>
      </c>
      <c r="Q762" s="799">
        <v>0</v>
      </c>
      <c r="R762" s="799">
        <v>0</v>
      </c>
      <c r="S762" s="799">
        <v>23809</v>
      </c>
    </row>
    <row r="763" spans="1:19" x14ac:dyDescent="0.2">
      <c r="A763" s="761">
        <v>2016</v>
      </c>
      <c r="B763" s="761">
        <v>7</v>
      </c>
      <c r="C763" s="796" t="s">
        <v>170</v>
      </c>
      <c r="D763" s="796"/>
      <c r="E763" s="796"/>
      <c r="F763" s="761">
        <v>6536</v>
      </c>
      <c r="G763" s="761" t="s">
        <v>639</v>
      </c>
      <c r="H763" s="799">
        <v>0</v>
      </c>
      <c r="I763" s="799">
        <v>21717</v>
      </c>
      <c r="J763" s="799">
        <v>126399</v>
      </c>
      <c r="K763" s="799">
        <v>6055</v>
      </c>
      <c r="L763" s="799">
        <v>0</v>
      </c>
      <c r="M763" s="799">
        <v>1278</v>
      </c>
      <c r="N763" s="799">
        <v>51840</v>
      </c>
      <c r="O763" s="799">
        <v>65538</v>
      </c>
      <c r="P763" s="799">
        <v>72218</v>
      </c>
      <c r="Q763" s="799">
        <v>0</v>
      </c>
      <c r="R763" s="799">
        <v>11249</v>
      </c>
      <c r="S763" s="799">
        <v>15084</v>
      </c>
    </row>
    <row r="764" spans="1:19" x14ac:dyDescent="0.2">
      <c r="A764" s="761">
        <v>2016</v>
      </c>
      <c r="B764" s="761">
        <v>5</v>
      </c>
      <c r="C764" s="796" t="s">
        <v>171</v>
      </c>
      <c r="D764" s="796"/>
      <c r="E764" s="796"/>
      <c r="F764" s="761">
        <v>1944</v>
      </c>
      <c r="G764" s="761" t="s">
        <v>1096</v>
      </c>
      <c r="H764" s="799">
        <v>45431</v>
      </c>
      <c r="I764" s="799">
        <v>198359</v>
      </c>
      <c r="J764" s="799">
        <v>0</v>
      </c>
      <c r="K764" s="799">
        <v>0</v>
      </c>
      <c r="L764" s="799">
        <v>0</v>
      </c>
      <c r="M764" s="799">
        <v>0</v>
      </c>
      <c r="N764" s="799">
        <v>76494</v>
      </c>
      <c r="O764" s="799">
        <v>38086</v>
      </c>
      <c r="P764" s="799">
        <v>2632</v>
      </c>
      <c r="Q764" s="799">
        <v>0</v>
      </c>
      <c r="R764" s="799">
        <v>5165</v>
      </c>
      <c r="S764" s="799">
        <v>36501</v>
      </c>
    </row>
    <row r="765" spans="1:19" x14ac:dyDescent="0.2">
      <c r="A765" s="761">
        <v>2016</v>
      </c>
      <c r="B765" s="761">
        <v>11</v>
      </c>
      <c r="C765" s="796" t="s">
        <v>172</v>
      </c>
      <c r="D765" s="796"/>
      <c r="E765" s="796"/>
      <c r="F765" s="761">
        <v>1953</v>
      </c>
      <c r="G765" s="761" t="s">
        <v>1097</v>
      </c>
      <c r="H765" s="799">
        <v>0</v>
      </c>
      <c r="I765" s="799">
        <v>0</v>
      </c>
      <c r="J765" s="799">
        <v>11591</v>
      </c>
      <c r="K765" s="799">
        <v>0</v>
      </c>
      <c r="L765" s="799">
        <v>0</v>
      </c>
      <c r="M765" s="799">
        <v>8005</v>
      </c>
      <c r="N765" s="799">
        <v>109313</v>
      </c>
      <c r="O765" s="799">
        <v>3777</v>
      </c>
      <c r="P765" s="799">
        <v>22402</v>
      </c>
      <c r="Q765" s="799">
        <v>0</v>
      </c>
      <c r="R765" s="799">
        <v>1178</v>
      </c>
      <c r="S765" s="799">
        <v>1591</v>
      </c>
    </row>
    <row r="766" spans="1:19" x14ac:dyDescent="0.2">
      <c r="A766" s="761">
        <v>2016</v>
      </c>
      <c r="B766" s="761">
        <v>7</v>
      </c>
      <c r="C766" s="796" t="s">
        <v>173</v>
      </c>
      <c r="D766" s="796"/>
      <c r="E766" s="796"/>
      <c r="F766" s="761">
        <v>1963</v>
      </c>
      <c r="G766" s="761" t="s">
        <v>1098</v>
      </c>
      <c r="H766" s="799">
        <v>0</v>
      </c>
      <c r="I766" s="799">
        <v>0</v>
      </c>
      <c r="J766" s="799">
        <v>0</v>
      </c>
      <c r="K766" s="799">
        <v>0</v>
      </c>
      <c r="L766" s="799">
        <v>57105</v>
      </c>
      <c r="M766" s="799">
        <v>0</v>
      </c>
      <c r="N766" s="799">
        <v>0</v>
      </c>
      <c r="O766" s="799">
        <v>15201</v>
      </c>
      <c r="P766" s="799">
        <v>0</v>
      </c>
      <c r="Q766" s="799">
        <v>0</v>
      </c>
      <c r="R766" s="799">
        <v>0</v>
      </c>
      <c r="S766" s="799">
        <v>36410</v>
      </c>
    </row>
    <row r="767" spans="1:19" x14ac:dyDescent="0.2">
      <c r="A767" s="761">
        <v>2016</v>
      </c>
      <c r="B767" s="761">
        <v>9</v>
      </c>
      <c r="C767" s="796" t="s">
        <v>174</v>
      </c>
      <c r="D767" s="796"/>
      <c r="E767" s="796"/>
      <c r="F767" s="761">
        <v>1965</v>
      </c>
      <c r="G767" s="761" t="s">
        <v>1524</v>
      </c>
      <c r="H767" s="799">
        <v>0</v>
      </c>
      <c r="I767" s="799">
        <v>0</v>
      </c>
      <c r="J767" s="799">
        <v>0</v>
      </c>
      <c r="K767" s="799">
        <v>71253</v>
      </c>
      <c r="L767" s="799">
        <v>0</v>
      </c>
      <c r="M767" s="799">
        <v>0</v>
      </c>
      <c r="N767" s="799">
        <v>27897</v>
      </c>
      <c r="O767" s="799">
        <v>48342</v>
      </c>
      <c r="P767" s="799">
        <v>23349</v>
      </c>
      <c r="Q767" s="799">
        <v>0</v>
      </c>
      <c r="R767" s="799">
        <v>3700</v>
      </c>
      <c r="S767" s="799">
        <v>23015</v>
      </c>
    </row>
    <row r="768" spans="1:19" x14ac:dyDescent="0.2">
      <c r="A768" s="761">
        <v>2016</v>
      </c>
      <c r="B768" s="761">
        <v>13</v>
      </c>
      <c r="C768" s="796" t="s">
        <v>175</v>
      </c>
      <c r="D768" s="796"/>
      <c r="E768" s="796"/>
      <c r="F768" s="761">
        <v>1970</v>
      </c>
      <c r="G768" s="761" t="s">
        <v>1099</v>
      </c>
      <c r="H768" s="799">
        <v>0</v>
      </c>
      <c r="I768" s="799">
        <v>6498</v>
      </c>
      <c r="J768" s="799">
        <v>0</v>
      </c>
      <c r="K768" s="799">
        <v>18286</v>
      </c>
      <c r="L768" s="799">
        <v>0</v>
      </c>
      <c r="M768" s="799">
        <v>0</v>
      </c>
      <c r="N768" s="799">
        <v>48873</v>
      </c>
      <c r="O768" s="799">
        <v>0</v>
      </c>
      <c r="P768" s="799">
        <v>0</v>
      </c>
      <c r="Q768" s="799">
        <v>0</v>
      </c>
      <c r="R768" s="799">
        <v>0</v>
      </c>
      <c r="S768" s="799">
        <v>14922</v>
      </c>
    </row>
    <row r="769" spans="1:19" x14ac:dyDescent="0.2">
      <c r="A769" s="761">
        <v>2016</v>
      </c>
      <c r="B769" s="761">
        <v>1</v>
      </c>
      <c r="C769" s="796" t="s">
        <v>176</v>
      </c>
      <c r="D769" s="796"/>
      <c r="E769" s="796"/>
      <c r="F769" s="761">
        <v>1972</v>
      </c>
      <c r="G769" s="761" t="s">
        <v>1100</v>
      </c>
      <c r="H769" s="799">
        <v>0</v>
      </c>
      <c r="I769" s="799">
        <v>1401</v>
      </c>
      <c r="J769" s="799">
        <v>34439</v>
      </c>
      <c r="K769" s="799">
        <v>28706</v>
      </c>
      <c r="L769" s="799">
        <v>0</v>
      </c>
      <c r="M769" s="799">
        <v>37718</v>
      </c>
      <c r="N769" s="799">
        <v>6531</v>
      </c>
      <c r="O769" s="799">
        <v>34720</v>
      </c>
      <c r="P769" s="799">
        <v>14810</v>
      </c>
      <c r="Q769" s="799">
        <v>0</v>
      </c>
      <c r="R769" s="799">
        <v>0</v>
      </c>
      <c r="S769" s="799">
        <v>42855</v>
      </c>
    </row>
    <row r="770" spans="1:19" x14ac:dyDescent="0.2">
      <c r="A770" s="761">
        <v>2016</v>
      </c>
      <c r="B770" s="761">
        <v>12</v>
      </c>
      <c r="C770" s="796" t="s">
        <v>177</v>
      </c>
      <c r="D770" s="796"/>
      <c r="E770" s="796"/>
      <c r="F770" s="761">
        <v>1975</v>
      </c>
      <c r="G770" s="761" t="s">
        <v>1101</v>
      </c>
      <c r="H770" s="799">
        <v>40049</v>
      </c>
      <c r="I770" s="799">
        <v>0</v>
      </c>
      <c r="J770" s="799">
        <v>49609</v>
      </c>
      <c r="K770" s="799">
        <v>32376</v>
      </c>
      <c r="L770" s="799">
        <v>0</v>
      </c>
      <c r="M770" s="799">
        <v>95653</v>
      </c>
      <c r="N770" s="799">
        <v>8498</v>
      </c>
      <c r="O770" s="799">
        <v>12971</v>
      </c>
      <c r="P770" s="799">
        <v>16192</v>
      </c>
      <c r="Q770" s="799">
        <v>0</v>
      </c>
      <c r="R770" s="799">
        <v>1572</v>
      </c>
      <c r="S770" s="799">
        <v>30009</v>
      </c>
    </row>
    <row r="771" spans="1:19" x14ac:dyDescent="0.2">
      <c r="A771" s="761">
        <v>2016</v>
      </c>
      <c r="B771" s="761">
        <v>1</v>
      </c>
      <c r="C771" s="796" t="s">
        <v>178</v>
      </c>
      <c r="D771" s="796"/>
      <c r="E771" s="796"/>
      <c r="F771" s="761">
        <v>1989</v>
      </c>
      <c r="G771" s="761" t="s">
        <v>1102</v>
      </c>
      <c r="H771" s="799">
        <v>0</v>
      </c>
      <c r="I771" s="799">
        <v>0</v>
      </c>
      <c r="J771" s="799">
        <v>59300</v>
      </c>
      <c r="K771" s="799">
        <v>0</v>
      </c>
      <c r="L771" s="799">
        <v>0</v>
      </c>
      <c r="M771" s="799">
        <v>86696</v>
      </c>
      <c r="N771" s="799">
        <v>4571</v>
      </c>
      <c r="O771" s="799">
        <v>9143</v>
      </c>
      <c r="P771" s="799">
        <v>9927</v>
      </c>
      <c r="Q771" s="799">
        <v>0</v>
      </c>
      <c r="R771" s="799">
        <v>43597</v>
      </c>
      <c r="S771" s="799">
        <v>39516</v>
      </c>
    </row>
    <row r="772" spans="1:19" x14ac:dyDescent="0.2">
      <c r="A772" s="761">
        <v>2016</v>
      </c>
      <c r="B772" s="761">
        <v>7</v>
      </c>
      <c r="C772" s="796" t="s">
        <v>179</v>
      </c>
      <c r="D772" s="796"/>
      <c r="E772" s="796"/>
      <c r="F772" s="761">
        <v>2007</v>
      </c>
      <c r="G772" s="761" t="s">
        <v>1103</v>
      </c>
      <c r="H772" s="799">
        <v>254226</v>
      </c>
      <c r="I772" s="799">
        <v>827</v>
      </c>
      <c r="J772" s="799">
        <v>528</v>
      </c>
      <c r="K772" s="799">
        <v>38647</v>
      </c>
      <c r="L772" s="799">
        <v>0</v>
      </c>
      <c r="M772" s="799">
        <v>62954</v>
      </c>
      <c r="N772" s="799">
        <v>7812</v>
      </c>
      <c r="O772" s="799">
        <v>15049</v>
      </c>
      <c r="P772" s="799">
        <v>11266</v>
      </c>
      <c r="Q772" s="799">
        <v>0</v>
      </c>
      <c r="R772" s="799">
        <v>2002</v>
      </c>
      <c r="S772" s="799">
        <v>23664</v>
      </c>
    </row>
    <row r="773" spans="1:19" x14ac:dyDescent="0.2">
      <c r="A773" s="761">
        <v>2016</v>
      </c>
      <c r="B773" s="761">
        <v>5</v>
      </c>
      <c r="C773" s="796" t="s">
        <v>180</v>
      </c>
      <c r="D773" s="796"/>
      <c r="E773" s="796"/>
      <c r="F773" s="761">
        <v>2088</v>
      </c>
      <c r="G773" s="761" t="s">
        <v>1104</v>
      </c>
      <c r="H773" s="799">
        <v>0</v>
      </c>
      <c r="I773" s="799">
        <v>12582</v>
      </c>
      <c r="J773" s="799">
        <v>46629</v>
      </c>
      <c r="K773" s="799">
        <v>23794</v>
      </c>
      <c r="L773" s="799">
        <v>0</v>
      </c>
      <c r="M773" s="799">
        <v>66367</v>
      </c>
      <c r="N773" s="799">
        <v>0</v>
      </c>
      <c r="O773" s="799">
        <v>8305</v>
      </c>
      <c r="P773" s="799">
        <v>4351</v>
      </c>
      <c r="Q773" s="799">
        <v>0</v>
      </c>
      <c r="R773" s="799">
        <v>29326</v>
      </c>
      <c r="S773" s="799">
        <v>12615</v>
      </c>
    </row>
    <row r="774" spans="1:19" x14ac:dyDescent="0.2">
      <c r="A774" s="761">
        <v>2016</v>
      </c>
      <c r="B774" s="761">
        <v>10</v>
      </c>
      <c r="C774" s="796" t="s">
        <v>181</v>
      </c>
      <c r="D774" s="796"/>
      <c r="E774" s="796"/>
      <c r="F774" s="761">
        <v>2097</v>
      </c>
      <c r="G774" s="761" t="s">
        <v>2008</v>
      </c>
      <c r="H774" s="799">
        <v>0</v>
      </c>
      <c r="I774" s="799">
        <v>0</v>
      </c>
      <c r="J774" s="799">
        <v>0</v>
      </c>
      <c r="K774" s="799">
        <v>0</v>
      </c>
      <c r="L774" s="799">
        <v>0</v>
      </c>
      <c r="M774" s="799">
        <v>0</v>
      </c>
      <c r="N774" s="799">
        <v>5733</v>
      </c>
      <c r="O774" s="799">
        <v>24103</v>
      </c>
      <c r="P774" s="799">
        <v>22679</v>
      </c>
      <c r="Q774" s="799">
        <v>0</v>
      </c>
      <c r="R774" s="799">
        <v>3228</v>
      </c>
      <c r="S774" s="799">
        <v>14916</v>
      </c>
    </row>
    <row r="775" spans="1:19" x14ac:dyDescent="0.2">
      <c r="A775" s="761">
        <v>2016</v>
      </c>
      <c r="B775" s="761">
        <v>13</v>
      </c>
      <c r="C775" s="796" t="s">
        <v>182</v>
      </c>
      <c r="D775" s="796"/>
      <c r="E775" s="796"/>
      <c r="F775" s="761">
        <v>2113</v>
      </c>
      <c r="G775" s="761" t="s">
        <v>1105</v>
      </c>
      <c r="H775" s="799">
        <v>0</v>
      </c>
      <c r="I775" s="799">
        <v>0</v>
      </c>
      <c r="J775" s="799">
        <v>5441</v>
      </c>
      <c r="K775" s="799">
        <v>14241</v>
      </c>
      <c r="L775" s="799">
        <v>0</v>
      </c>
      <c r="M775" s="799">
        <v>17919</v>
      </c>
      <c r="N775" s="799">
        <v>36</v>
      </c>
      <c r="O775" s="799">
        <v>2899</v>
      </c>
      <c r="P775" s="799">
        <v>0</v>
      </c>
      <c r="Q775" s="799">
        <v>0</v>
      </c>
      <c r="R775" s="799">
        <v>4231</v>
      </c>
      <c r="S775" s="799">
        <v>30040</v>
      </c>
    </row>
    <row r="776" spans="1:19" x14ac:dyDescent="0.2">
      <c r="A776" s="761">
        <v>2016</v>
      </c>
      <c r="B776" s="761">
        <v>5</v>
      </c>
      <c r="C776" s="796" t="s">
        <v>183</v>
      </c>
      <c r="D776" s="796"/>
      <c r="E776" s="796"/>
      <c r="F776" s="761">
        <v>2124</v>
      </c>
      <c r="G776" s="761" t="s">
        <v>1106</v>
      </c>
      <c r="H776" s="799">
        <v>0</v>
      </c>
      <c r="I776" s="799">
        <v>24249</v>
      </c>
      <c r="J776" s="799">
        <v>3145</v>
      </c>
      <c r="K776" s="799">
        <v>265515</v>
      </c>
      <c r="L776" s="799">
        <v>0</v>
      </c>
      <c r="M776" s="799">
        <v>0</v>
      </c>
      <c r="N776" s="799">
        <v>53324</v>
      </c>
      <c r="O776" s="799">
        <v>8522</v>
      </c>
      <c r="P776" s="799">
        <v>90849</v>
      </c>
      <c r="Q776" s="799">
        <v>0</v>
      </c>
      <c r="R776" s="799">
        <v>5076</v>
      </c>
      <c r="S776" s="799">
        <v>40569</v>
      </c>
    </row>
    <row r="777" spans="1:19" x14ac:dyDescent="0.2">
      <c r="A777" s="761">
        <v>2016</v>
      </c>
      <c r="B777" s="761">
        <v>11</v>
      </c>
      <c r="C777" s="796" t="s">
        <v>184</v>
      </c>
      <c r="D777" s="761">
        <v>2016</v>
      </c>
      <c r="E777" s="796"/>
      <c r="F777" s="761">
        <v>2151</v>
      </c>
      <c r="G777" s="761" t="s">
        <v>1637</v>
      </c>
      <c r="H777" s="799">
        <v>123411</v>
      </c>
      <c r="I777" s="799">
        <v>0</v>
      </c>
      <c r="J777" s="799">
        <v>171905</v>
      </c>
      <c r="K777" s="799">
        <v>7041</v>
      </c>
      <c r="L777" s="799">
        <v>0</v>
      </c>
      <c r="M777" s="799">
        <v>0</v>
      </c>
      <c r="N777" s="799">
        <v>14135</v>
      </c>
      <c r="O777" s="799">
        <v>31080</v>
      </c>
      <c r="P777" s="799">
        <v>40610</v>
      </c>
      <c r="Q777" s="799">
        <v>0</v>
      </c>
      <c r="R777" s="799">
        <v>0</v>
      </c>
      <c r="S777" s="799">
        <v>25961</v>
      </c>
    </row>
    <row r="778" spans="1:19" x14ac:dyDescent="0.2">
      <c r="A778" s="761">
        <v>2016</v>
      </c>
      <c r="B778" s="761">
        <v>15</v>
      </c>
      <c r="C778" s="796" t="s">
        <v>185</v>
      </c>
      <c r="D778" s="796"/>
      <c r="E778" s="796"/>
      <c r="F778" s="761">
        <v>2169</v>
      </c>
      <c r="G778" s="761" t="s">
        <v>1107</v>
      </c>
      <c r="H778" s="799">
        <v>121223</v>
      </c>
      <c r="I778" s="799">
        <v>0</v>
      </c>
      <c r="J778" s="799">
        <v>0</v>
      </c>
      <c r="K778" s="799">
        <v>0</v>
      </c>
      <c r="L778" s="799">
        <v>0</v>
      </c>
      <c r="M778" s="799">
        <v>20874</v>
      </c>
      <c r="N778" s="799">
        <v>2125</v>
      </c>
      <c r="O778" s="799">
        <v>0</v>
      </c>
      <c r="P778" s="799">
        <v>14761</v>
      </c>
      <c r="Q778" s="799">
        <v>0</v>
      </c>
      <c r="R778" s="799">
        <v>43812</v>
      </c>
      <c r="S778" s="799">
        <v>14875</v>
      </c>
    </row>
    <row r="779" spans="1:19" x14ac:dyDescent="0.2">
      <c r="A779" s="761">
        <v>2016</v>
      </c>
      <c r="B779" s="761">
        <v>7</v>
      </c>
      <c r="C779" s="796" t="s">
        <v>187</v>
      </c>
      <c r="D779" s="796"/>
      <c r="E779" s="796"/>
      <c r="F779" s="761">
        <v>2295</v>
      </c>
      <c r="G779" s="761" t="s">
        <v>1109</v>
      </c>
      <c r="H779" s="799">
        <v>0</v>
      </c>
      <c r="I779" s="799">
        <v>0</v>
      </c>
      <c r="J779" s="799">
        <v>0</v>
      </c>
      <c r="K779" s="799">
        <v>0</v>
      </c>
      <c r="L779" s="799">
        <v>0</v>
      </c>
      <c r="M779" s="799">
        <v>216711</v>
      </c>
      <c r="N779" s="799">
        <v>83654</v>
      </c>
      <c r="O779" s="799">
        <v>0</v>
      </c>
      <c r="P779" s="799">
        <v>0</v>
      </c>
      <c r="Q779" s="799">
        <v>0</v>
      </c>
      <c r="R779" s="799">
        <v>2557</v>
      </c>
      <c r="S779" s="799">
        <v>9740</v>
      </c>
    </row>
    <row r="780" spans="1:19" x14ac:dyDescent="0.2">
      <c r="A780" s="761">
        <v>2016</v>
      </c>
      <c r="B780" s="761">
        <v>5</v>
      </c>
      <c r="C780" s="796" t="s">
        <v>188</v>
      </c>
      <c r="D780" s="796"/>
      <c r="E780" s="796"/>
      <c r="F780" s="761">
        <v>2313</v>
      </c>
      <c r="G780" s="761" t="s">
        <v>1110</v>
      </c>
      <c r="H780" s="799">
        <v>0</v>
      </c>
      <c r="I780" s="799">
        <v>0</v>
      </c>
      <c r="J780" s="799">
        <v>0</v>
      </c>
      <c r="K780" s="799">
        <v>136349</v>
      </c>
      <c r="L780" s="799">
        <v>411476</v>
      </c>
      <c r="M780" s="799">
        <v>765656</v>
      </c>
      <c r="N780" s="799">
        <v>0</v>
      </c>
      <c r="O780" s="799">
        <v>81245</v>
      </c>
      <c r="P780" s="799">
        <v>75315</v>
      </c>
      <c r="Q780" s="799">
        <v>64855</v>
      </c>
      <c r="R780" s="799">
        <v>234387</v>
      </c>
      <c r="S780" s="799">
        <v>23458</v>
      </c>
    </row>
    <row r="781" spans="1:19" x14ac:dyDescent="0.2">
      <c r="A781" s="761">
        <v>2016</v>
      </c>
      <c r="B781" s="761">
        <v>15</v>
      </c>
      <c r="C781" s="796" t="s">
        <v>189</v>
      </c>
      <c r="D781" s="796"/>
      <c r="E781" s="796"/>
      <c r="F781" s="761">
        <v>2322</v>
      </c>
      <c r="G781" s="761" t="s">
        <v>1111</v>
      </c>
      <c r="H781" s="799">
        <v>8532</v>
      </c>
      <c r="I781" s="799">
        <v>0</v>
      </c>
      <c r="J781" s="799">
        <v>25312</v>
      </c>
      <c r="K781" s="799">
        <v>0</v>
      </c>
      <c r="L781" s="799">
        <v>0</v>
      </c>
      <c r="M781" s="799">
        <v>0</v>
      </c>
      <c r="N781" s="799">
        <v>94739</v>
      </c>
      <c r="O781" s="799">
        <v>50001</v>
      </c>
      <c r="P781" s="799">
        <v>47957</v>
      </c>
      <c r="Q781" s="799">
        <v>0</v>
      </c>
      <c r="R781" s="799">
        <v>1303</v>
      </c>
      <c r="S781" s="799">
        <v>25554</v>
      </c>
    </row>
    <row r="782" spans="1:19" x14ac:dyDescent="0.2">
      <c r="A782" s="761">
        <v>2016</v>
      </c>
      <c r="B782" s="761">
        <v>13</v>
      </c>
      <c r="C782" s="796" t="s">
        <v>190</v>
      </c>
      <c r="D782" s="796"/>
      <c r="E782" s="796"/>
      <c r="F782" s="761">
        <v>2369</v>
      </c>
      <c r="G782" s="761" t="s">
        <v>1112</v>
      </c>
      <c r="H782" s="799">
        <v>0</v>
      </c>
      <c r="I782" s="799">
        <v>0</v>
      </c>
      <c r="J782" s="799">
        <v>0</v>
      </c>
      <c r="K782" s="799">
        <v>51759</v>
      </c>
      <c r="L782" s="799">
        <v>0</v>
      </c>
      <c r="M782" s="799">
        <v>59442</v>
      </c>
      <c r="N782" s="799">
        <v>27331</v>
      </c>
      <c r="O782" s="799">
        <v>64153</v>
      </c>
      <c r="P782" s="799">
        <v>32294</v>
      </c>
      <c r="Q782" s="799">
        <v>210</v>
      </c>
      <c r="R782" s="799">
        <v>159</v>
      </c>
      <c r="S782" s="799">
        <v>151866</v>
      </c>
    </row>
    <row r="783" spans="1:19" x14ac:dyDescent="0.2">
      <c r="A783" s="761">
        <v>2016</v>
      </c>
      <c r="B783" s="761">
        <v>12</v>
      </c>
      <c r="C783" s="796" t="s">
        <v>191</v>
      </c>
      <c r="D783" s="796"/>
      <c r="E783" s="796"/>
      <c r="F783" s="761">
        <v>2376</v>
      </c>
      <c r="G783" s="761" t="s">
        <v>1113</v>
      </c>
      <c r="H783" s="799">
        <v>0</v>
      </c>
      <c r="I783" s="799">
        <v>0</v>
      </c>
      <c r="J783" s="799">
        <v>8385</v>
      </c>
      <c r="K783" s="799">
        <v>0</v>
      </c>
      <c r="L783" s="799">
        <v>0</v>
      </c>
      <c r="M783" s="799">
        <v>14716</v>
      </c>
      <c r="N783" s="799">
        <v>78217</v>
      </c>
      <c r="O783" s="799">
        <v>8499</v>
      </c>
      <c r="P783" s="799">
        <v>34210</v>
      </c>
      <c r="Q783" s="799">
        <v>0</v>
      </c>
      <c r="R783" s="799">
        <v>2386</v>
      </c>
      <c r="S783" s="799">
        <v>21525</v>
      </c>
    </row>
    <row r="784" spans="1:19" x14ac:dyDescent="0.2">
      <c r="A784" s="761">
        <v>2016</v>
      </c>
      <c r="B784" s="761">
        <v>7</v>
      </c>
      <c r="C784" s="796" t="s">
        <v>192</v>
      </c>
      <c r="D784" s="761">
        <v>6633</v>
      </c>
      <c r="E784" s="796"/>
      <c r="F784" s="761">
        <v>2403</v>
      </c>
      <c r="G784" s="761" t="s">
        <v>1747</v>
      </c>
      <c r="H784" s="799">
        <v>50696</v>
      </c>
      <c r="I784" s="799">
        <v>8217</v>
      </c>
      <c r="J784" s="799">
        <v>0</v>
      </c>
      <c r="K784" s="799">
        <v>0</v>
      </c>
      <c r="L784" s="799">
        <v>0</v>
      </c>
      <c r="M784" s="799">
        <v>183948</v>
      </c>
      <c r="N784" s="799">
        <v>58897</v>
      </c>
      <c r="O784" s="799">
        <v>16235</v>
      </c>
      <c r="P784" s="799">
        <v>119512</v>
      </c>
      <c r="Q784" s="799">
        <v>2493</v>
      </c>
      <c r="R784" s="799">
        <v>9686</v>
      </c>
      <c r="S784" s="799">
        <v>55217</v>
      </c>
    </row>
    <row r="785" spans="1:19" x14ac:dyDescent="0.2">
      <c r="A785" s="761">
        <v>2016</v>
      </c>
      <c r="B785" s="761">
        <v>12</v>
      </c>
      <c r="C785" s="796" t="s">
        <v>193</v>
      </c>
      <c r="D785" s="796"/>
      <c r="E785" s="796"/>
      <c r="F785" s="761">
        <v>2457</v>
      </c>
      <c r="G785" s="761" t="s">
        <v>1002</v>
      </c>
      <c r="H785" s="799">
        <v>0</v>
      </c>
      <c r="I785" s="799">
        <v>0</v>
      </c>
      <c r="J785" s="799">
        <v>0</v>
      </c>
      <c r="K785" s="799">
        <v>71823</v>
      </c>
      <c r="L785" s="799">
        <v>0</v>
      </c>
      <c r="M785" s="799">
        <v>258853</v>
      </c>
      <c r="N785" s="799">
        <v>0</v>
      </c>
      <c r="O785" s="799">
        <v>36341</v>
      </c>
      <c r="P785" s="799">
        <v>32117</v>
      </c>
      <c r="Q785" s="799">
        <v>0</v>
      </c>
      <c r="R785" s="799">
        <v>0</v>
      </c>
      <c r="S785" s="799">
        <v>29769</v>
      </c>
    </row>
    <row r="786" spans="1:19" x14ac:dyDescent="0.2">
      <c r="A786" s="761">
        <v>2016</v>
      </c>
      <c r="B786" s="761">
        <v>11</v>
      </c>
      <c r="C786" s="796" t="s">
        <v>194</v>
      </c>
      <c r="D786" s="796"/>
      <c r="E786" s="796"/>
      <c r="F786" s="761">
        <v>2466</v>
      </c>
      <c r="G786" s="761" t="s">
        <v>1114</v>
      </c>
      <c r="H786" s="799">
        <v>134394</v>
      </c>
      <c r="I786" s="799">
        <v>0</v>
      </c>
      <c r="J786" s="799">
        <v>0</v>
      </c>
      <c r="K786" s="799">
        <v>0</v>
      </c>
      <c r="L786" s="799">
        <v>0</v>
      </c>
      <c r="M786" s="799">
        <v>19441</v>
      </c>
      <c r="N786" s="799">
        <v>71539</v>
      </c>
      <c r="O786" s="799">
        <v>32962</v>
      </c>
      <c r="P786" s="799">
        <v>33158</v>
      </c>
      <c r="Q786" s="799">
        <v>0</v>
      </c>
      <c r="R786" s="799">
        <v>71447</v>
      </c>
      <c r="S786" s="799">
        <v>47370</v>
      </c>
    </row>
    <row r="787" spans="1:19" x14ac:dyDescent="0.2">
      <c r="A787" s="761">
        <v>2016</v>
      </c>
      <c r="B787" s="761">
        <v>5</v>
      </c>
      <c r="C787" s="796" t="s">
        <v>195</v>
      </c>
      <c r="D787" s="796"/>
      <c r="E787" s="796"/>
      <c r="F787" s="761">
        <v>2493</v>
      </c>
      <c r="G787" s="761" t="s">
        <v>1115</v>
      </c>
      <c r="H787" s="799">
        <v>0</v>
      </c>
      <c r="I787" s="799">
        <v>0</v>
      </c>
      <c r="J787" s="799">
        <v>0</v>
      </c>
      <c r="K787" s="799">
        <v>0</v>
      </c>
      <c r="L787" s="799">
        <v>9316</v>
      </c>
      <c r="M787" s="799">
        <v>9244</v>
      </c>
      <c r="N787" s="799">
        <v>0</v>
      </c>
      <c r="O787" s="799">
        <v>0</v>
      </c>
      <c r="P787" s="799">
        <v>0</v>
      </c>
      <c r="Q787" s="799">
        <v>0</v>
      </c>
      <c r="R787" s="799">
        <v>0</v>
      </c>
      <c r="S787" s="799">
        <v>0</v>
      </c>
    </row>
    <row r="788" spans="1:19" x14ac:dyDescent="0.2">
      <c r="A788" s="761">
        <v>2016</v>
      </c>
      <c r="B788" s="761">
        <v>7</v>
      </c>
      <c r="C788" s="796" t="s">
        <v>196</v>
      </c>
      <c r="D788" s="796"/>
      <c r="E788" s="796"/>
      <c r="F788" s="761">
        <v>2502</v>
      </c>
      <c r="G788" s="761" t="s">
        <v>1116</v>
      </c>
      <c r="H788" s="799">
        <v>16007</v>
      </c>
      <c r="I788" s="799">
        <v>0</v>
      </c>
      <c r="J788" s="799">
        <v>55591</v>
      </c>
      <c r="K788" s="799">
        <v>0</v>
      </c>
      <c r="L788" s="799">
        <v>0</v>
      </c>
      <c r="M788" s="799">
        <v>0</v>
      </c>
      <c r="N788" s="799">
        <v>1018</v>
      </c>
      <c r="O788" s="799">
        <v>16612</v>
      </c>
      <c r="P788" s="799">
        <v>60127</v>
      </c>
      <c r="Q788" s="799">
        <v>0</v>
      </c>
      <c r="R788" s="799">
        <v>0</v>
      </c>
      <c r="S788" s="799">
        <v>43857</v>
      </c>
    </row>
    <row r="789" spans="1:19" x14ac:dyDescent="0.2">
      <c r="A789" s="761">
        <v>2016</v>
      </c>
      <c r="B789" s="761">
        <v>13</v>
      </c>
      <c r="C789" s="796" t="s">
        <v>197</v>
      </c>
      <c r="D789" s="796"/>
      <c r="E789" s="796"/>
      <c r="F789" s="761">
        <v>2511</v>
      </c>
      <c r="G789" s="761" t="s">
        <v>1117</v>
      </c>
      <c r="H789" s="799">
        <v>0</v>
      </c>
      <c r="I789" s="799">
        <v>0</v>
      </c>
      <c r="J789" s="799">
        <v>216464</v>
      </c>
      <c r="K789" s="799">
        <v>243602</v>
      </c>
      <c r="L789" s="799">
        <v>0</v>
      </c>
      <c r="M789" s="799">
        <v>109443</v>
      </c>
      <c r="N789" s="799">
        <v>93106</v>
      </c>
      <c r="O789" s="799">
        <v>112927</v>
      </c>
      <c r="P789" s="799">
        <v>86721</v>
      </c>
      <c r="Q789" s="799">
        <v>0</v>
      </c>
      <c r="R789" s="799">
        <v>44368</v>
      </c>
      <c r="S789" s="799">
        <v>108089</v>
      </c>
    </row>
    <row r="790" spans="1:19" x14ac:dyDescent="0.2">
      <c r="A790" s="761">
        <v>2016</v>
      </c>
      <c r="B790" s="761">
        <v>11</v>
      </c>
      <c r="C790" s="796" t="s">
        <v>198</v>
      </c>
      <c r="D790" s="796"/>
      <c r="E790" s="796"/>
      <c r="F790" s="761">
        <v>2520</v>
      </c>
      <c r="G790" s="761" t="s">
        <v>1118</v>
      </c>
      <c r="H790" s="799">
        <v>1911</v>
      </c>
      <c r="I790" s="799">
        <v>0</v>
      </c>
      <c r="J790" s="799">
        <v>0</v>
      </c>
      <c r="K790" s="799">
        <v>0</v>
      </c>
      <c r="L790" s="799">
        <v>0</v>
      </c>
      <c r="M790" s="799">
        <v>0</v>
      </c>
      <c r="N790" s="799">
        <v>7520</v>
      </c>
      <c r="O790" s="799">
        <v>23517</v>
      </c>
      <c r="P790" s="799">
        <v>6943</v>
      </c>
      <c r="Q790" s="799">
        <v>0</v>
      </c>
      <c r="R790" s="799">
        <v>4300</v>
      </c>
      <c r="S790" s="799">
        <v>43620</v>
      </c>
    </row>
    <row r="791" spans="1:19" x14ac:dyDescent="0.2">
      <c r="A791" s="761">
        <v>2016</v>
      </c>
      <c r="B791" s="761">
        <v>5</v>
      </c>
      <c r="C791" s="796" t="s">
        <v>199</v>
      </c>
      <c r="D791" s="796"/>
      <c r="E791" s="796"/>
      <c r="F791" s="761">
        <v>2556</v>
      </c>
      <c r="G791" s="761" t="s">
        <v>630</v>
      </c>
      <c r="H791" s="799">
        <v>0</v>
      </c>
      <c r="I791" s="799">
        <v>0</v>
      </c>
      <c r="J791" s="799">
        <v>183729</v>
      </c>
      <c r="K791" s="799">
        <v>95685</v>
      </c>
      <c r="L791" s="799">
        <v>0</v>
      </c>
      <c r="M791" s="799">
        <v>0</v>
      </c>
      <c r="N791" s="799">
        <v>36675</v>
      </c>
      <c r="O791" s="799">
        <v>0</v>
      </c>
      <c r="P791" s="799">
        <v>10512</v>
      </c>
      <c r="Q791" s="799">
        <v>22578</v>
      </c>
      <c r="R791" s="799">
        <v>4623</v>
      </c>
      <c r="S791" s="799">
        <v>73686</v>
      </c>
    </row>
    <row r="792" spans="1:19" x14ac:dyDescent="0.2">
      <c r="A792" s="761">
        <v>2016</v>
      </c>
      <c r="B792" s="761">
        <v>13</v>
      </c>
      <c r="C792" s="796" t="s">
        <v>200</v>
      </c>
      <c r="D792" s="796"/>
      <c r="E792" s="796"/>
      <c r="F792" s="761">
        <v>2673</v>
      </c>
      <c r="G792" s="761" t="s">
        <v>2009</v>
      </c>
      <c r="H792" s="799">
        <v>0</v>
      </c>
      <c r="I792" s="799">
        <v>0</v>
      </c>
      <c r="J792" s="799">
        <v>49106</v>
      </c>
      <c r="K792" s="799">
        <v>33553</v>
      </c>
      <c r="L792" s="799">
        <v>0</v>
      </c>
      <c r="M792" s="799">
        <v>0</v>
      </c>
      <c r="N792" s="799">
        <v>32111</v>
      </c>
      <c r="O792" s="799">
        <v>43216</v>
      </c>
      <c r="P792" s="799">
        <v>24205</v>
      </c>
      <c r="Q792" s="799">
        <v>0</v>
      </c>
      <c r="R792" s="799">
        <v>1364</v>
      </c>
      <c r="S792" s="799">
        <v>18186</v>
      </c>
    </row>
    <row r="793" spans="1:19" x14ac:dyDescent="0.2">
      <c r="A793" s="761">
        <v>2016</v>
      </c>
      <c r="B793" s="761">
        <v>7</v>
      </c>
      <c r="C793" s="796" t="s">
        <v>201</v>
      </c>
      <c r="D793" s="796"/>
      <c r="E793" s="796"/>
      <c r="F793" s="761">
        <v>2682</v>
      </c>
      <c r="G793" s="761" t="s">
        <v>1119</v>
      </c>
      <c r="H793" s="799">
        <v>0</v>
      </c>
      <c r="I793" s="799">
        <v>0</v>
      </c>
      <c r="J793" s="799">
        <v>0</v>
      </c>
      <c r="K793" s="799">
        <v>22385</v>
      </c>
      <c r="L793" s="799">
        <v>0</v>
      </c>
      <c r="M793" s="799">
        <v>0</v>
      </c>
      <c r="N793" s="799">
        <v>0</v>
      </c>
      <c r="O793" s="799">
        <v>0</v>
      </c>
      <c r="P793" s="799">
        <v>10442</v>
      </c>
      <c r="Q793" s="799">
        <v>0</v>
      </c>
      <c r="R793" s="799">
        <v>814</v>
      </c>
      <c r="S793" s="799">
        <v>12654</v>
      </c>
    </row>
    <row r="794" spans="1:19" x14ac:dyDescent="0.2">
      <c r="A794" s="761">
        <v>2016</v>
      </c>
      <c r="B794" s="761">
        <v>7</v>
      </c>
      <c r="C794" s="796" t="s">
        <v>202</v>
      </c>
      <c r="D794" s="796"/>
      <c r="E794" s="796"/>
      <c r="F794" s="761">
        <v>2709</v>
      </c>
      <c r="G794" s="761" t="s">
        <v>1120</v>
      </c>
      <c r="H794" s="799">
        <v>124819</v>
      </c>
      <c r="I794" s="799">
        <v>0</v>
      </c>
      <c r="J794" s="799">
        <v>434385</v>
      </c>
      <c r="K794" s="799">
        <v>29267</v>
      </c>
      <c r="L794" s="799">
        <v>0</v>
      </c>
      <c r="M794" s="799">
        <v>12749</v>
      </c>
      <c r="N794" s="799">
        <v>0</v>
      </c>
      <c r="O794" s="799">
        <v>42274</v>
      </c>
      <c r="P794" s="799">
        <v>55803</v>
      </c>
      <c r="Q794" s="799">
        <v>0</v>
      </c>
      <c r="R794" s="799">
        <v>1366</v>
      </c>
      <c r="S794" s="799">
        <v>44251</v>
      </c>
    </row>
    <row r="795" spans="1:19" x14ac:dyDescent="0.2">
      <c r="A795" s="761">
        <v>2016</v>
      </c>
      <c r="B795" s="761">
        <v>13</v>
      </c>
      <c r="C795" s="796" t="s">
        <v>203</v>
      </c>
      <c r="D795" s="796"/>
      <c r="E795" s="796"/>
      <c r="F795" s="761">
        <v>2718</v>
      </c>
      <c r="G795" s="761" t="s">
        <v>1121</v>
      </c>
      <c r="H795" s="799">
        <v>44155</v>
      </c>
      <c r="I795" s="799">
        <v>0</v>
      </c>
      <c r="J795" s="799">
        <v>0</v>
      </c>
      <c r="K795" s="799">
        <v>0</v>
      </c>
      <c r="L795" s="799">
        <v>0</v>
      </c>
      <c r="M795" s="799">
        <v>1868</v>
      </c>
      <c r="N795" s="799">
        <v>35</v>
      </c>
      <c r="O795" s="799">
        <v>0</v>
      </c>
      <c r="P795" s="799">
        <v>45494</v>
      </c>
      <c r="Q795" s="799">
        <v>25551</v>
      </c>
      <c r="R795" s="799">
        <v>4793</v>
      </c>
      <c r="S795" s="799">
        <v>35767</v>
      </c>
    </row>
    <row r="796" spans="1:19" x14ac:dyDescent="0.2">
      <c r="A796" s="761">
        <v>2016</v>
      </c>
      <c r="B796" s="761">
        <v>7</v>
      </c>
      <c r="C796" s="796" t="s">
        <v>204</v>
      </c>
      <c r="D796" s="796"/>
      <c r="E796" s="796"/>
      <c r="F796" s="761">
        <v>2727</v>
      </c>
      <c r="G796" s="761" t="s">
        <v>1122</v>
      </c>
      <c r="H796" s="799">
        <v>3707</v>
      </c>
      <c r="I796" s="799">
        <v>0</v>
      </c>
      <c r="J796" s="799">
        <v>65851</v>
      </c>
      <c r="K796" s="799">
        <v>2829</v>
      </c>
      <c r="L796" s="799">
        <v>0</v>
      </c>
      <c r="M796" s="799">
        <v>0</v>
      </c>
      <c r="N796" s="799">
        <v>0</v>
      </c>
      <c r="O796" s="799">
        <v>24428</v>
      </c>
      <c r="P796" s="799">
        <v>11504</v>
      </c>
      <c r="Q796" s="799">
        <v>0</v>
      </c>
      <c r="R796" s="799">
        <v>0</v>
      </c>
      <c r="S796" s="799">
        <v>10607</v>
      </c>
    </row>
    <row r="797" spans="1:19" x14ac:dyDescent="0.2">
      <c r="A797" s="761">
        <v>2016</v>
      </c>
      <c r="B797" s="761">
        <v>11</v>
      </c>
      <c r="C797" s="796" t="s">
        <v>205</v>
      </c>
      <c r="D797" s="796"/>
      <c r="E797" s="796"/>
      <c r="F797" s="761">
        <v>2754</v>
      </c>
      <c r="G797" s="761" t="s">
        <v>1123</v>
      </c>
      <c r="H797" s="799">
        <v>2070</v>
      </c>
      <c r="I797" s="799">
        <v>2118</v>
      </c>
      <c r="J797" s="799">
        <v>18358</v>
      </c>
      <c r="K797" s="799">
        <v>0</v>
      </c>
      <c r="L797" s="799">
        <v>0</v>
      </c>
      <c r="M797" s="799">
        <v>14643</v>
      </c>
      <c r="N797" s="799">
        <v>153</v>
      </c>
      <c r="O797" s="799">
        <v>8750</v>
      </c>
      <c r="P797" s="799">
        <v>0</v>
      </c>
      <c r="Q797" s="799">
        <v>0</v>
      </c>
      <c r="R797" s="799">
        <v>0</v>
      </c>
      <c r="S797" s="799">
        <v>14103</v>
      </c>
    </row>
    <row r="798" spans="1:19" x14ac:dyDescent="0.2">
      <c r="A798" s="761">
        <v>2016</v>
      </c>
      <c r="B798" s="761">
        <v>1</v>
      </c>
      <c r="C798" s="796" t="s">
        <v>206</v>
      </c>
      <c r="D798" s="796"/>
      <c r="E798" s="796"/>
      <c r="F798" s="761">
        <v>2763</v>
      </c>
      <c r="G798" s="761" t="s">
        <v>1056</v>
      </c>
      <c r="H798" s="799">
        <v>0</v>
      </c>
      <c r="I798" s="799">
        <v>0</v>
      </c>
      <c r="J798" s="799">
        <v>102338</v>
      </c>
      <c r="K798" s="799">
        <v>17590</v>
      </c>
      <c r="L798" s="799">
        <v>0</v>
      </c>
      <c r="M798" s="799">
        <v>0</v>
      </c>
      <c r="N798" s="799">
        <v>32821</v>
      </c>
      <c r="O798" s="799">
        <v>35810</v>
      </c>
      <c r="P798" s="799">
        <v>0</v>
      </c>
      <c r="Q798" s="799">
        <v>0</v>
      </c>
      <c r="R798" s="799">
        <v>0</v>
      </c>
      <c r="S798" s="799">
        <v>6958</v>
      </c>
    </row>
    <row r="799" spans="1:19" x14ac:dyDescent="0.2">
      <c r="A799" s="761">
        <v>2016</v>
      </c>
      <c r="B799" s="761">
        <v>10</v>
      </c>
      <c r="C799" s="796" t="s">
        <v>207</v>
      </c>
      <c r="D799" s="796"/>
      <c r="E799" s="796"/>
      <c r="F799" s="761">
        <v>2766</v>
      </c>
      <c r="G799" s="761" t="s">
        <v>920</v>
      </c>
      <c r="H799" s="799">
        <v>0</v>
      </c>
      <c r="I799" s="799">
        <v>0</v>
      </c>
      <c r="J799" s="799">
        <v>28904</v>
      </c>
      <c r="K799" s="799">
        <v>3928</v>
      </c>
      <c r="L799" s="799">
        <v>0</v>
      </c>
      <c r="M799" s="799">
        <v>89735</v>
      </c>
      <c r="N799" s="799">
        <v>251</v>
      </c>
      <c r="O799" s="799">
        <v>56279</v>
      </c>
      <c r="P799" s="799">
        <v>571</v>
      </c>
      <c r="Q799" s="799">
        <v>0</v>
      </c>
      <c r="R799" s="799">
        <v>0</v>
      </c>
      <c r="S799" s="799">
        <v>32255</v>
      </c>
    </row>
    <row r="800" spans="1:19" x14ac:dyDescent="0.2">
      <c r="A800" s="761">
        <v>2016</v>
      </c>
      <c r="B800" s="761">
        <v>13</v>
      </c>
      <c r="C800" s="796" t="s">
        <v>208</v>
      </c>
      <c r="D800" s="796"/>
      <c r="E800" s="796"/>
      <c r="F800" s="761">
        <v>2772</v>
      </c>
      <c r="G800" s="761" t="s">
        <v>1124</v>
      </c>
      <c r="H800" s="799">
        <v>3525</v>
      </c>
      <c r="I800" s="799">
        <v>28391</v>
      </c>
      <c r="J800" s="799">
        <v>81839</v>
      </c>
      <c r="K800" s="799">
        <v>3919</v>
      </c>
      <c r="L800" s="799">
        <v>0</v>
      </c>
      <c r="M800" s="799">
        <v>0</v>
      </c>
      <c r="N800" s="799">
        <v>36680</v>
      </c>
      <c r="O800" s="799">
        <v>14715</v>
      </c>
      <c r="P800" s="799">
        <v>13305</v>
      </c>
      <c r="Q800" s="799">
        <v>25065</v>
      </c>
      <c r="R800" s="799">
        <v>5572</v>
      </c>
      <c r="S800" s="799">
        <v>30255</v>
      </c>
    </row>
    <row r="801" spans="1:19" x14ac:dyDescent="0.2">
      <c r="A801" s="761">
        <v>2016</v>
      </c>
      <c r="B801" s="761">
        <v>7</v>
      </c>
      <c r="C801" s="796" t="s">
        <v>209</v>
      </c>
      <c r="D801" s="796"/>
      <c r="E801" s="796"/>
      <c r="F801" s="761">
        <v>2781</v>
      </c>
      <c r="G801" s="761" t="s">
        <v>1125</v>
      </c>
      <c r="H801" s="799">
        <v>34980</v>
      </c>
      <c r="I801" s="799">
        <v>14777</v>
      </c>
      <c r="J801" s="799">
        <v>0</v>
      </c>
      <c r="K801" s="799">
        <v>51323</v>
      </c>
      <c r="L801" s="799">
        <v>40749</v>
      </c>
      <c r="M801" s="799">
        <v>0</v>
      </c>
      <c r="N801" s="799">
        <v>1016</v>
      </c>
      <c r="O801" s="799">
        <v>0</v>
      </c>
      <c r="P801" s="799">
        <v>16573</v>
      </c>
      <c r="Q801" s="799">
        <v>0</v>
      </c>
      <c r="R801" s="799">
        <v>0</v>
      </c>
      <c r="S801" s="799">
        <v>13898</v>
      </c>
    </row>
    <row r="802" spans="1:19" x14ac:dyDescent="0.2">
      <c r="A802" s="761">
        <v>2016</v>
      </c>
      <c r="B802" s="761">
        <v>13</v>
      </c>
      <c r="C802" s="796" t="s">
        <v>210</v>
      </c>
      <c r="D802" s="796"/>
      <c r="E802" s="796"/>
      <c r="F802" s="761">
        <v>2826</v>
      </c>
      <c r="G802" s="761" t="s">
        <v>1126</v>
      </c>
      <c r="H802" s="799">
        <v>218204</v>
      </c>
      <c r="I802" s="799">
        <v>32008</v>
      </c>
      <c r="J802" s="799">
        <v>0</v>
      </c>
      <c r="K802" s="799">
        <v>24870</v>
      </c>
      <c r="L802" s="799">
        <v>0</v>
      </c>
      <c r="M802" s="799">
        <v>0</v>
      </c>
      <c r="N802" s="799">
        <v>1455</v>
      </c>
      <c r="O802" s="799">
        <v>12027</v>
      </c>
      <c r="P802" s="799">
        <v>0</v>
      </c>
      <c r="Q802" s="799">
        <v>0</v>
      </c>
      <c r="R802" s="799">
        <v>0</v>
      </c>
      <c r="S802" s="799">
        <v>1</v>
      </c>
    </row>
    <row r="803" spans="1:19" x14ac:dyDescent="0.2">
      <c r="A803" s="761">
        <v>2016</v>
      </c>
      <c r="B803" s="761">
        <v>15</v>
      </c>
      <c r="C803" s="796" t="s">
        <v>211</v>
      </c>
      <c r="D803" s="796"/>
      <c r="E803" s="796"/>
      <c r="F803" s="761">
        <v>2834</v>
      </c>
      <c r="G803" s="761" t="s">
        <v>1127</v>
      </c>
      <c r="H803" s="799">
        <v>264737</v>
      </c>
      <c r="I803" s="799">
        <v>12668</v>
      </c>
      <c r="J803" s="799">
        <v>43164</v>
      </c>
      <c r="K803" s="799">
        <v>83567</v>
      </c>
      <c r="L803" s="799">
        <v>0</v>
      </c>
      <c r="M803" s="799">
        <v>0</v>
      </c>
      <c r="N803" s="799">
        <v>0</v>
      </c>
      <c r="O803" s="799">
        <v>7072</v>
      </c>
      <c r="P803" s="799">
        <v>21654</v>
      </c>
      <c r="Q803" s="799">
        <v>0</v>
      </c>
      <c r="R803" s="799">
        <v>0</v>
      </c>
      <c r="S803" s="799">
        <v>7578</v>
      </c>
    </row>
    <row r="804" spans="1:19" x14ac:dyDescent="0.2">
      <c r="A804" s="761">
        <v>2016</v>
      </c>
      <c r="B804" s="761">
        <v>5</v>
      </c>
      <c r="C804" s="796" t="s">
        <v>212</v>
      </c>
      <c r="D804" s="796"/>
      <c r="E804" s="796"/>
      <c r="F804" s="761">
        <v>2846</v>
      </c>
      <c r="G804" s="761" t="s">
        <v>1128</v>
      </c>
      <c r="H804" s="799">
        <v>0</v>
      </c>
      <c r="I804" s="799">
        <v>0</v>
      </c>
      <c r="J804" s="799">
        <v>0</v>
      </c>
      <c r="K804" s="799">
        <v>0</v>
      </c>
      <c r="L804" s="799">
        <v>0</v>
      </c>
      <c r="M804" s="799">
        <v>0</v>
      </c>
      <c r="N804" s="799">
        <v>0</v>
      </c>
      <c r="O804" s="799">
        <v>33109</v>
      </c>
      <c r="P804" s="799">
        <v>0</v>
      </c>
      <c r="Q804" s="799">
        <v>0</v>
      </c>
      <c r="R804" s="799">
        <v>4386</v>
      </c>
      <c r="S804" s="799">
        <v>36095</v>
      </c>
    </row>
    <row r="805" spans="1:19" x14ac:dyDescent="0.2">
      <c r="A805" s="761">
        <v>2016</v>
      </c>
      <c r="B805" s="761">
        <v>12</v>
      </c>
      <c r="C805" s="796" t="s">
        <v>213</v>
      </c>
      <c r="D805" s="796"/>
      <c r="E805" s="796"/>
      <c r="F805" s="761">
        <v>2862</v>
      </c>
      <c r="G805" s="761" t="s">
        <v>1129</v>
      </c>
      <c r="H805" s="799">
        <v>0</v>
      </c>
      <c r="I805" s="799">
        <v>239</v>
      </c>
      <c r="J805" s="799">
        <v>7816</v>
      </c>
      <c r="K805" s="799">
        <v>79820</v>
      </c>
      <c r="L805" s="799">
        <v>0</v>
      </c>
      <c r="M805" s="799">
        <v>43899</v>
      </c>
      <c r="N805" s="799">
        <v>0</v>
      </c>
      <c r="O805" s="799">
        <v>9110</v>
      </c>
      <c r="P805" s="799">
        <v>9382</v>
      </c>
      <c r="Q805" s="799">
        <v>0</v>
      </c>
      <c r="R805" s="799">
        <v>6772</v>
      </c>
      <c r="S805" s="799">
        <v>16528</v>
      </c>
    </row>
    <row r="806" spans="1:19" x14ac:dyDescent="0.2">
      <c r="A806" s="761">
        <v>2016</v>
      </c>
      <c r="B806" s="761">
        <v>10</v>
      </c>
      <c r="C806" s="796" t="s">
        <v>214</v>
      </c>
      <c r="D806" s="796"/>
      <c r="E806" s="796"/>
      <c r="F806" s="761">
        <v>2977</v>
      </c>
      <c r="G806" s="761" t="s">
        <v>1130</v>
      </c>
      <c r="H806" s="799">
        <v>0</v>
      </c>
      <c r="I806" s="799">
        <v>0</v>
      </c>
      <c r="J806" s="799">
        <v>0</v>
      </c>
      <c r="K806" s="799">
        <v>0</v>
      </c>
      <c r="L806" s="799">
        <v>0</v>
      </c>
      <c r="M806" s="799">
        <v>303</v>
      </c>
      <c r="N806" s="799">
        <v>50576</v>
      </c>
      <c r="O806" s="799">
        <v>53869</v>
      </c>
      <c r="P806" s="799">
        <v>50868</v>
      </c>
      <c r="Q806" s="799">
        <v>2</v>
      </c>
      <c r="R806" s="799">
        <v>0</v>
      </c>
      <c r="S806" s="799">
        <v>9269</v>
      </c>
    </row>
    <row r="807" spans="1:19" x14ac:dyDescent="0.2">
      <c r="A807" s="761">
        <v>2016</v>
      </c>
      <c r="B807" s="761">
        <v>12</v>
      </c>
      <c r="C807" s="796" t="s">
        <v>215</v>
      </c>
      <c r="D807" s="796"/>
      <c r="E807" s="796"/>
      <c r="F807" s="761">
        <v>2988</v>
      </c>
      <c r="G807" s="761" t="s">
        <v>1131</v>
      </c>
      <c r="H807" s="799">
        <v>0</v>
      </c>
      <c r="I807" s="799">
        <v>0</v>
      </c>
      <c r="J807" s="799">
        <v>0</v>
      </c>
      <c r="K807" s="799">
        <v>0</v>
      </c>
      <c r="L807" s="799">
        <v>0</v>
      </c>
      <c r="M807" s="799">
        <v>0</v>
      </c>
      <c r="N807" s="799">
        <v>0</v>
      </c>
      <c r="O807" s="799">
        <v>0</v>
      </c>
      <c r="P807" s="799">
        <v>7761</v>
      </c>
      <c r="Q807" s="799">
        <v>0</v>
      </c>
      <c r="R807" s="799">
        <v>24622</v>
      </c>
      <c r="S807" s="799">
        <v>17387</v>
      </c>
    </row>
    <row r="808" spans="1:19" x14ac:dyDescent="0.2">
      <c r="A808" s="761">
        <v>2016</v>
      </c>
      <c r="B808" s="761">
        <v>1</v>
      </c>
      <c r="C808" s="796" t="s">
        <v>216</v>
      </c>
      <c r="D808" s="796"/>
      <c r="E808" s="796"/>
      <c r="F808" s="761">
        <v>3029</v>
      </c>
      <c r="G808" s="761" t="s">
        <v>1132</v>
      </c>
      <c r="H808" s="799">
        <v>0</v>
      </c>
      <c r="I808" s="799">
        <v>0</v>
      </c>
      <c r="J808" s="799">
        <v>87519</v>
      </c>
      <c r="K808" s="799">
        <v>0</v>
      </c>
      <c r="L808" s="799">
        <v>0</v>
      </c>
      <c r="M808" s="799">
        <v>0</v>
      </c>
      <c r="N808" s="799">
        <v>0</v>
      </c>
      <c r="O808" s="799">
        <v>27602</v>
      </c>
      <c r="P808" s="799">
        <v>157310</v>
      </c>
      <c r="Q808" s="799">
        <v>155111</v>
      </c>
      <c r="R808" s="799">
        <v>2615</v>
      </c>
      <c r="S808" s="799">
        <v>109896</v>
      </c>
    </row>
    <row r="809" spans="1:19" x14ac:dyDescent="0.2">
      <c r="A809" s="761">
        <v>2016</v>
      </c>
      <c r="B809" s="761">
        <v>7</v>
      </c>
      <c r="C809" s="796" t="s">
        <v>217</v>
      </c>
      <c r="D809" s="796"/>
      <c r="E809" s="796"/>
      <c r="F809" s="761">
        <v>3033</v>
      </c>
      <c r="G809" s="761" t="s">
        <v>640</v>
      </c>
      <c r="H809" s="799">
        <v>83736</v>
      </c>
      <c r="I809" s="799">
        <v>2743</v>
      </c>
      <c r="J809" s="799">
        <v>0</v>
      </c>
      <c r="K809" s="799">
        <v>67740</v>
      </c>
      <c r="L809" s="799">
        <v>0</v>
      </c>
      <c r="M809" s="799">
        <v>11717</v>
      </c>
      <c r="N809" s="799">
        <v>1055</v>
      </c>
      <c r="O809" s="799">
        <v>4420</v>
      </c>
      <c r="P809" s="799">
        <v>3047</v>
      </c>
      <c r="Q809" s="799">
        <v>0</v>
      </c>
      <c r="R809" s="799">
        <v>2824</v>
      </c>
      <c r="S809" s="799">
        <v>2266</v>
      </c>
    </row>
    <row r="810" spans="1:19" x14ac:dyDescent="0.2">
      <c r="A810" s="761">
        <v>2016</v>
      </c>
      <c r="B810" s="761">
        <v>7</v>
      </c>
      <c r="C810" s="796" t="s">
        <v>218</v>
      </c>
      <c r="D810" s="796"/>
      <c r="E810" s="796"/>
      <c r="F810" s="761">
        <v>3042</v>
      </c>
      <c r="G810" s="761" t="s">
        <v>1134</v>
      </c>
      <c r="H810" s="799">
        <v>0</v>
      </c>
      <c r="I810" s="799">
        <v>0</v>
      </c>
      <c r="J810" s="799">
        <v>77266</v>
      </c>
      <c r="K810" s="799">
        <v>64765</v>
      </c>
      <c r="L810" s="799">
        <v>0</v>
      </c>
      <c r="M810" s="799">
        <v>0</v>
      </c>
      <c r="N810" s="799">
        <v>0</v>
      </c>
      <c r="O810" s="799">
        <v>29213</v>
      </c>
      <c r="P810" s="799">
        <v>75879</v>
      </c>
      <c r="Q810" s="799">
        <v>0</v>
      </c>
      <c r="R810" s="799">
        <v>0</v>
      </c>
      <c r="S810" s="799">
        <v>18407</v>
      </c>
    </row>
    <row r="811" spans="1:19" x14ac:dyDescent="0.2">
      <c r="A811" s="761">
        <v>2016</v>
      </c>
      <c r="B811" s="761">
        <v>5</v>
      </c>
      <c r="C811" s="796" t="s">
        <v>219</v>
      </c>
      <c r="D811" s="796"/>
      <c r="E811" s="796"/>
      <c r="F811" s="761">
        <v>3060</v>
      </c>
      <c r="G811" s="761" t="s">
        <v>1135</v>
      </c>
      <c r="H811" s="799">
        <v>4418</v>
      </c>
      <c r="I811" s="799">
        <v>0</v>
      </c>
      <c r="J811" s="799">
        <v>0</v>
      </c>
      <c r="K811" s="799">
        <v>74430</v>
      </c>
      <c r="L811" s="799">
        <v>0</v>
      </c>
      <c r="M811" s="799">
        <v>9142</v>
      </c>
      <c r="N811" s="799">
        <v>0</v>
      </c>
      <c r="O811" s="799">
        <v>29150</v>
      </c>
      <c r="P811" s="799">
        <v>31246</v>
      </c>
      <c r="Q811" s="799">
        <v>0</v>
      </c>
      <c r="R811" s="799">
        <v>99749</v>
      </c>
      <c r="S811" s="799">
        <v>41456</v>
      </c>
    </row>
    <row r="812" spans="1:19" x14ac:dyDescent="0.2">
      <c r="A812" s="761">
        <v>2016</v>
      </c>
      <c r="B812" s="761">
        <v>7</v>
      </c>
      <c r="C812" s="796" t="s">
        <v>220</v>
      </c>
      <c r="D812" s="796"/>
      <c r="E812" s="796"/>
      <c r="F812" s="761">
        <v>3105</v>
      </c>
      <c r="G812" s="761" t="s">
        <v>1136</v>
      </c>
      <c r="H812" s="799">
        <v>31413</v>
      </c>
      <c r="I812" s="799">
        <v>0</v>
      </c>
      <c r="J812" s="799">
        <v>13805</v>
      </c>
      <c r="K812" s="799">
        <v>132593</v>
      </c>
      <c r="L812" s="799">
        <v>0</v>
      </c>
      <c r="M812" s="799">
        <v>126234</v>
      </c>
      <c r="N812" s="799">
        <v>81046</v>
      </c>
      <c r="O812" s="799">
        <v>0</v>
      </c>
      <c r="P812" s="799">
        <v>84705</v>
      </c>
      <c r="Q812" s="799">
        <v>45907</v>
      </c>
      <c r="R812" s="799">
        <v>0</v>
      </c>
      <c r="S812" s="799">
        <v>36129</v>
      </c>
    </row>
    <row r="813" spans="1:19" x14ac:dyDescent="0.2">
      <c r="A813" s="761">
        <v>2016</v>
      </c>
      <c r="B813" s="761">
        <v>11</v>
      </c>
      <c r="C813" s="796" t="s">
        <v>221</v>
      </c>
      <c r="D813" s="796"/>
      <c r="E813" s="796"/>
      <c r="F813" s="761">
        <v>3114</v>
      </c>
      <c r="G813" s="761" t="s">
        <v>1137</v>
      </c>
      <c r="H813" s="799">
        <v>8819</v>
      </c>
      <c r="I813" s="799">
        <v>0</v>
      </c>
      <c r="J813" s="799">
        <v>0</v>
      </c>
      <c r="K813" s="799">
        <v>12969</v>
      </c>
      <c r="L813" s="799">
        <v>0</v>
      </c>
      <c r="M813" s="799">
        <v>45856</v>
      </c>
      <c r="N813" s="799">
        <v>0</v>
      </c>
      <c r="O813" s="799">
        <v>34002</v>
      </c>
      <c r="P813" s="799">
        <v>37260</v>
      </c>
      <c r="Q813" s="799">
        <v>0</v>
      </c>
      <c r="R813" s="799">
        <v>0</v>
      </c>
      <c r="S813" s="799">
        <v>72421</v>
      </c>
    </row>
    <row r="814" spans="1:19" x14ac:dyDescent="0.2">
      <c r="A814" s="761">
        <v>2016</v>
      </c>
      <c r="B814" s="761">
        <v>11</v>
      </c>
      <c r="C814" s="796" t="s">
        <v>222</v>
      </c>
      <c r="D814" s="796"/>
      <c r="E814" s="796"/>
      <c r="F814" s="761">
        <v>3119</v>
      </c>
      <c r="G814" s="761" t="s">
        <v>1138</v>
      </c>
      <c r="H814" s="799">
        <v>5173</v>
      </c>
      <c r="I814" s="799">
        <v>13401</v>
      </c>
      <c r="J814" s="799">
        <v>28319</v>
      </c>
      <c r="K814" s="799">
        <v>18778</v>
      </c>
      <c r="L814" s="799">
        <v>0</v>
      </c>
      <c r="M814" s="799">
        <v>19236</v>
      </c>
      <c r="N814" s="799">
        <v>25052</v>
      </c>
      <c r="O814" s="799">
        <v>111165</v>
      </c>
      <c r="P814" s="799">
        <v>89443</v>
      </c>
      <c r="Q814" s="799">
        <v>30109</v>
      </c>
      <c r="R814" s="799">
        <v>0</v>
      </c>
      <c r="S814" s="799">
        <v>59809</v>
      </c>
    </row>
    <row r="815" spans="1:19" x14ac:dyDescent="0.2">
      <c r="A815" s="761">
        <v>2016</v>
      </c>
      <c r="B815" s="761">
        <v>10</v>
      </c>
      <c r="C815" s="796" t="s">
        <v>223</v>
      </c>
      <c r="D815" s="796"/>
      <c r="E815" s="796"/>
      <c r="F815" s="761">
        <v>3141</v>
      </c>
      <c r="G815" s="761" t="s">
        <v>1139</v>
      </c>
      <c r="H815" s="799">
        <v>773886</v>
      </c>
      <c r="I815" s="799">
        <v>0</v>
      </c>
      <c r="J815" s="799">
        <v>681544</v>
      </c>
      <c r="K815" s="799">
        <v>426571</v>
      </c>
      <c r="L815" s="799">
        <v>0</v>
      </c>
      <c r="M815" s="799">
        <v>73400</v>
      </c>
      <c r="N815" s="799">
        <v>612276</v>
      </c>
      <c r="O815" s="799">
        <v>391730</v>
      </c>
      <c r="P815" s="799">
        <v>193284</v>
      </c>
      <c r="Q815" s="799">
        <v>55000</v>
      </c>
      <c r="R815" s="799">
        <v>441425</v>
      </c>
      <c r="S815" s="799">
        <v>219432</v>
      </c>
    </row>
    <row r="816" spans="1:19" x14ac:dyDescent="0.2">
      <c r="A816" s="761">
        <v>2016</v>
      </c>
      <c r="B816" s="761">
        <v>7</v>
      </c>
      <c r="C816" s="796" t="s">
        <v>224</v>
      </c>
      <c r="D816" s="796"/>
      <c r="E816" s="796"/>
      <c r="F816" s="761">
        <v>3150</v>
      </c>
      <c r="G816" s="761" t="s">
        <v>1140</v>
      </c>
      <c r="H816" s="799">
        <v>104989</v>
      </c>
      <c r="I816" s="799">
        <v>0</v>
      </c>
      <c r="J816" s="799">
        <v>2933</v>
      </c>
      <c r="K816" s="799">
        <v>115511</v>
      </c>
      <c r="L816" s="799">
        <v>0</v>
      </c>
      <c r="M816" s="799">
        <v>0</v>
      </c>
      <c r="N816" s="799">
        <v>22350</v>
      </c>
      <c r="O816" s="799">
        <v>32699</v>
      </c>
      <c r="P816" s="799">
        <v>66429</v>
      </c>
      <c r="Q816" s="799">
        <v>0</v>
      </c>
      <c r="R816" s="799">
        <v>104883</v>
      </c>
      <c r="S816" s="799">
        <v>52913</v>
      </c>
    </row>
    <row r="817" spans="1:19" x14ac:dyDescent="0.2">
      <c r="A817" s="761">
        <v>2016</v>
      </c>
      <c r="B817" s="761">
        <v>10</v>
      </c>
      <c r="C817" s="796" t="s">
        <v>225</v>
      </c>
      <c r="D817" s="796"/>
      <c r="E817" s="796"/>
      <c r="F817" s="761">
        <v>3154</v>
      </c>
      <c r="G817" s="761" t="s">
        <v>1141</v>
      </c>
      <c r="H817" s="799">
        <v>2974</v>
      </c>
      <c r="I817" s="799">
        <v>1665</v>
      </c>
      <c r="J817" s="799">
        <v>0</v>
      </c>
      <c r="K817" s="799">
        <v>185570</v>
      </c>
      <c r="L817" s="799">
        <v>18192</v>
      </c>
      <c r="M817" s="799">
        <v>72251</v>
      </c>
      <c r="N817" s="799">
        <v>11709</v>
      </c>
      <c r="O817" s="799">
        <v>68915</v>
      </c>
      <c r="P817" s="799">
        <v>11637</v>
      </c>
      <c r="Q817" s="799">
        <v>0</v>
      </c>
      <c r="R817" s="799">
        <v>22843</v>
      </c>
      <c r="S817" s="799">
        <v>48854</v>
      </c>
    </row>
    <row r="818" spans="1:19" x14ac:dyDescent="0.2">
      <c r="A818" s="761">
        <v>2016</v>
      </c>
      <c r="B818" s="761">
        <v>13</v>
      </c>
      <c r="C818" s="796" t="s">
        <v>1484</v>
      </c>
      <c r="D818" s="796"/>
      <c r="E818" s="796"/>
      <c r="F818" s="761">
        <v>3168</v>
      </c>
      <c r="G818" s="761" t="s">
        <v>1481</v>
      </c>
      <c r="H818" s="799">
        <v>34866</v>
      </c>
      <c r="I818" s="799">
        <v>6662</v>
      </c>
      <c r="J818" s="799">
        <v>84726</v>
      </c>
      <c r="K818" s="799">
        <v>63762</v>
      </c>
      <c r="L818" s="799">
        <v>0</v>
      </c>
      <c r="M818" s="799">
        <v>0</v>
      </c>
      <c r="N818" s="799">
        <v>14584</v>
      </c>
      <c r="O818" s="799">
        <v>10879</v>
      </c>
      <c r="P818" s="799">
        <v>69883</v>
      </c>
      <c r="Q818" s="799">
        <v>0</v>
      </c>
      <c r="R818" s="799">
        <v>0</v>
      </c>
      <c r="S818" s="799">
        <v>43181</v>
      </c>
    </row>
    <row r="819" spans="1:19" x14ac:dyDescent="0.2">
      <c r="A819" s="761">
        <v>2016</v>
      </c>
      <c r="B819" s="761">
        <v>7</v>
      </c>
      <c r="C819" s="796" t="s">
        <v>226</v>
      </c>
      <c r="D819" s="796"/>
      <c r="E819" s="796"/>
      <c r="F819" s="761">
        <v>3186</v>
      </c>
      <c r="G819" s="761" t="s">
        <v>1142</v>
      </c>
      <c r="H819" s="799">
        <v>0</v>
      </c>
      <c r="I819" s="799">
        <v>0</v>
      </c>
      <c r="J819" s="799">
        <v>43155</v>
      </c>
      <c r="K819" s="799">
        <v>71569</v>
      </c>
      <c r="L819" s="799">
        <v>0</v>
      </c>
      <c r="M819" s="799">
        <v>0</v>
      </c>
      <c r="N819" s="799">
        <v>0</v>
      </c>
      <c r="O819" s="799">
        <v>1711</v>
      </c>
      <c r="P819" s="799">
        <v>7411</v>
      </c>
      <c r="Q819" s="799">
        <v>0</v>
      </c>
      <c r="R819" s="799">
        <v>0</v>
      </c>
      <c r="S819" s="799">
        <v>33499</v>
      </c>
    </row>
    <row r="820" spans="1:19" x14ac:dyDescent="0.2">
      <c r="A820" s="761">
        <v>2016</v>
      </c>
      <c r="B820" s="761">
        <v>5</v>
      </c>
      <c r="C820" s="796" t="s">
        <v>227</v>
      </c>
      <c r="D820" s="761">
        <v>1967</v>
      </c>
      <c r="E820" s="796"/>
      <c r="F820" s="761">
        <v>3195</v>
      </c>
      <c r="G820" s="761" t="s">
        <v>1638</v>
      </c>
      <c r="H820" s="799">
        <v>45377</v>
      </c>
      <c r="I820" s="799">
        <v>0</v>
      </c>
      <c r="J820" s="799">
        <v>0</v>
      </c>
      <c r="K820" s="799">
        <v>23703</v>
      </c>
      <c r="L820" s="799">
        <v>0</v>
      </c>
      <c r="M820" s="799">
        <v>186630</v>
      </c>
      <c r="N820" s="799">
        <v>1279</v>
      </c>
      <c r="O820" s="799">
        <v>61456</v>
      </c>
      <c r="P820" s="799">
        <v>18308</v>
      </c>
      <c r="Q820" s="799">
        <v>0</v>
      </c>
      <c r="R820" s="799">
        <v>85364</v>
      </c>
      <c r="S820" s="799">
        <v>10137</v>
      </c>
    </row>
    <row r="821" spans="1:19" x14ac:dyDescent="0.2">
      <c r="A821" s="761">
        <v>2016</v>
      </c>
      <c r="B821" s="761">
        <v>7</v>
      </c>
      <c r="C821" s="796" t="s">
        <v>228</v>
      </c>
      <c r="D821" s="796"/>
      <c r="E821" s="796"/>
      <c r="F821" s="761">
        <v>3204</v>
      </c>
      <c r="G821" s="761" t="s">
        <v>1146</v>
      </c>
      <c r="H821" s="799">
        <v>9693</v>
      </c>
      <c r="I821" s="799">
        <v>36616</v>
      </c>
      <c r="J821" s="799">
        <v>75905</v>
      </c>
      <c r="K821" s="799">
        <v>0</v>
      </c>
      <c r="L821" s="799">
        <v>0</v>
      </c>
      <c r="M821" s="799">
        <v>0</v>
      </c>
      <c r="N821" s="799">
        <v>39818</v>
      </c>
      <c r="O821" s="799">
        <v>43291</v>
      </c>
      <c r="P821" s="799">
        <v>84942</v>
      </c>
      <c r="Q821" s="799">
        <v>0</v>
      </c>
      <c r="R821" s="799">
        <v>5223</v>
      </c>
      <c r="S821" s="799">
        <v>33236</v>
      </c>
    </row>
    <row r="822" spans="1:19" x14ac:dyDescent="0.2">
      <c r="A822" s="761">
        <v>2016</v>
      </c>
      <c r="B822" s="761">
        <v>11</v>
      </c>
      <c r="C822" s="796" t="s">
        <v>229</v>
      </c>
      <c r="D822" s="796"/>
      <c r="E822" s="796"/>
      <c r="F822" s="761">
        <v>3231</v>
      </c>
      <c r="G822" s="761" t="s">
        <v>1147</v>
      </c>
      <c r="H822" s="799">
        <v>108901</v>
      </c>
      <c r="I822" s="799">
        <v>0</v>
      </c>
      <c r="J822" s="799">
        <v>0</v>
      </c>
      <c r="K822" s="799">
        <v>31539</v>
      </c>
      <c r="L822" s="799">
        <v>0</v>
      </c>
      <c r="M822" s="799">
        <v>429978</v>
      </c>
      <c r="N822" s="799">
        <v>170793</v>
      </c>
      <c r="O822" s="799">
        <v>177203</v>
      </c>
      <c r="P822" s="799">
        <v>47910</v>
      </c>
      <c r="Q822" s="799">
        <v>0</v>
      </c>
      <c r="R822" s="799">
        <v>459126</v>
      </c>
      <c r="S822" s="799">
        <v>100125</v>
      </c>
    </row>
    <row r="823" spans="1:19" x14ac:dyDescent="0.2">
      <c r="A823" s="761">
        <v>2016</v>
      </c>
      <c r="B823" s="761">
        <v>15</v>
      </c>
      <c r="C823" s="796" t="s">
        <v>230</v>
      </c>
      <c r="D823" s="796"/>
      <c r="E823" s="796"/>
      <c r="F823" s="761">
        <v>3312</v>
      </c>
      <c r="G823" s="761" t="s">
        <v>1148</v>
      </c>
      <c r="H823" s="799">
        <v>260805</v>
      </c>
      <c r="I823" s="799">
        <v>0</v>
      </c>
      <c r="J823" s="799">
        <v>109247</v>
      </c>
      <c r="K823" s="799">
        <v>216348</v>
      </c>
      <c r="L823" s="799">
        <v>0</v>
      </c>
      <c r="M823" s="799">
        <v>80342</v>
      </c>
      <c r="N823" s="799">
        <v>89150</v>
      </c>
      <c r="O823" s="799">
        <v>271717</v>
      </c>
      <c r="P823" s="799">
        <v>156263</v>
      </c>
      <c r="Q823" s="799">
        <v>0</v>
      </c>
      <c r="R823" s="799">
        <v>2094</v>
      </c>
      <c r="S823" s="799">
        <v>55096</v>
      </c>
    </row>
    <row r="824" spans="1:19" x14ac:dyDescent="0.2">
      <c r="A824" s="761">
        <v>2016</v>
      </c>
      <c r="B824" s="761">
        <v>15</v>
      </c>
      <c r="C824" s="796" t="s">
        <v>231</v>
      </c>
      <c r="D824" s="796"/>
      <c r="E824" s="796"/>
      <c r="F824" s="761">
        <v>3330</v>
      </c>
      <c r="G824" s="761" t="s">
        <v>1149</v>
      </c>
      <c r="H824" s="799">
        <v>19277</v>
      </c>
      <c r="I824" s="799">
        <v>0</v>
      </c>
      <c r="J824" s="799">
        <v>3002</v>
      </c>
      <c r="K824" s="799">
        <v>19492</v>
      </c>
      <c r="L824" s="799">
        <v>0</v>
      </c>
      <c r="M824" s="799">
        <v>0</v>
      </c>
      <c r="N824" s="799">
        <v>0</v>
      </c>
      <c r="O824" s="799">
        <v>19911</v>
      </c>
      <c r="P824" s="799">
        <v>25403</v>
      </c>
      <c r="Q824" s="799">
        <v>0</v>
      </c>
      <c r="R824" s="799">
        <v>0</v>
      </c>
      <c r="S824" s="799">
        <v>31835</v>
      </c>
    </row>
    <row r="825" spans="1:19" x14ac:dyDescent="0.2">
      <c r="A825" s="761">
        <v>2016</v>
      </c>
      <c r="B825" s="761">
        <v>12</v>
      </c>
      <c r="C825" s="796" t="s">
        <v>232</v>
      </c>
      <c r="D825" s="796"/>
      <c r="E825" s="796"/>
      <c r="F825" s="761">
        <v>3348</v>
      </c>
      <c r="G825" s="761" t="s">
        <v>1150</v>
      </c>
      <c r="H825" s="799">
        <v>1867</v>
      </c>
      <c r="I825" s="799">
        <v>1441</v>
      </c>
      <c r="J825" s="799">
        <v>0</v>
      </c>
      <c r="K825" s="799">
        <v>12941</v>
      </c>
      <c r="L825" s="799">
        <v>42335</v>
      </c>
      <c r="M825" s="799">
        <v>0</v>
      </c>
      <c r="N825" s="799">
        <v>5777</v>
      </c>
      <c r="O825" s="799">
        <v>0</v>
      </c>
      <c r="P825" s="799">
        <v>39987</v>
      </c>
      <c r="Q825" s="799">
        <v>20427</v>
      </c>
      <c r="R825" s="799">
        <v>0</v>
      </c>
      <c r="S825" s="799">
        <v>27548</v>
      </c>
    </row>
    <row r="826" spans="1:19" x14ac:dyDescent="0.2">
      <c r="A826" s="761">
        <v>2016</v>
      </c>
      <c r="B826" s="761">
        <v>11</v>
      </c>
      <c r="C826" s="796" t="s">
        <v>233</v>
      </c>
      <c r="D826" s="796"/>
      <c r="E826" s="796"/>
      <c r="F826" s="761">
        <v>3375</v>
      </c>
      <c r="G826" s="761" t="s">
        <v>1151</v>
      </c>
      <c r="H826" s="799">
        <v>0</v>
      </c>
      <c r="I826" s="799">
        <v>0</v>
      </c>
      <c r="J826" s="799">
        <v>0</v>
      </c>
      <c r="K826" s="799">
        <v>123316</v>
      </c>
      <c r="L826" s="799">
        <v>0</v>
      </c>
      <c r="M826" s="799">
        <v>349055</v>
      </c>
      <c r="N826" s="799">
        <v>30809</v>
      </c>
      <c r="O826" s="799">
        <v>12764</v>
      </c>
      <c r="P826" s="799">
        <v>0</v>
      </c>
      <c r="Q826" s="799">
        <v>0</v>
      </c>
      <c r="R826" s="799">
        <v>0</v>
      </c>
      <c r="S826" s="799">
        <v>7058</v>
      </c>
    </row>
    <row r="827" spans="1:19" x14ac:dyDescent="0.2">
      <c r="A827" s="761">
        <v>2016</v>
      </c>
      <c r="B827" s="761">
        <v>7</v>
      </c>
      <c r="C827" s="796" t="s">
        <v>234</v>
      </c>
      <c r="D827" s="796"/>
      <c r="E827" s="796"/>
      <c r="F827" s="761">
        <v>3420</v>
      </c>
      <c r="G827" s="761" t="s">
        <v>1152</v>
      </c>
      <c r="H827" s="799">
        <v>0</v>
      </c>
      <c r="I827" s="799">
        <v>33719</v>
      </c>
      <c r="J827" s="799">
        <v>0</v>
      </c>
      <c r="K827" s="799">
        <v>107548</v>
      </c>
      <c r="L827" s="799">
        <v>0</v>
      </c>
      <c r="M827" s="799">
        <v>41512</v>
      </c>
      <c r="N827" s="799">
        <v>0</v>
      </c>
      <c r="O827" s="799">
        <v>1433</v>
      </c>
      <c r="P827" s="799">
        <v>0</v>
      </c>
      <c r="Q827" s="799">
        <v>14525</v>
      </c>
      <c r="R827" s="799">
        <v>1023</v>
      </c>
      <c r="S827" s="799">
        <v>1</v>
      </c>
    </row>
    <row r="828" spans="1:19" x14ac:dyDescent="0.2">
      <c r="A828" s="761">
        <v>2016</v>
      </c>
      <c r="B828" s="761">
        <v>13</v>
      </c>
      <c r="C828" s="796" t="s">
        <v>235</v>
      </c>
      <c r="D828" s="796"/>
      <c r="E828" s="796"/>
      <c r="F828" s="761">
        <v>3465</v>
      </c>
      <c r="G828" s="761" t="s">
        <v>1153</v>
      </c>
      <c r="H828" s="799">
        <v>0</v>
      </c>
      <c r="I828" s="799">
        <v>0</v>
      </c>
      <c r="J828" s="799">
        <v>11270</v>
      </c>
      <c r="K828" s="799">
        <v>3171</v>
      </c>
      <c r="L828" s="799">
        <v>0</v>
      </c>
      <c r="M828" s="799">
        <v>18075</v>
      </c>
      <c r="N828" s="799">
        <v>13392</v>
      </c>
      <c r="O828" s="799">
        <v>5710</v>
      </c>
      <c r="P828" s="799">
        <v>2207</v>
      </c>
      <c r="Q828" s="799">
        <v>0</v>
      </c>
      <c r="R828" s="799">
        <v>4074</v>
      </c>
      <c r="S828" s="799">
        <v>43093</v>
      </c>
    </row>
    <row r="829" spans="1:19" x14ac:dyDescent="0.2">
      <c r="A829" s="761">
        <v>2016</v>
      </c>
      <c r="B829" s="761">
        <v>5</v>
      </c>
      <c r="C829" s="796" t="s">
        <v>236</v>
      </c>
      <c r="D829" s="796"/>
      <c r="E829" s="796"/>
      <c r="F829" s="761">
        <v>3537</v>
      </c>
      <c r="G829" s="761" t="s">
        <v>1154</v>
      </c>
      <c r="H829" s="799">
        <v>1934</v>
      </c>
      <c r="I829" s="799">
        <v>0</v>
      </c>
      <c r="J829" s="799">
        <v>46748</v>
      </c>
      <c r="K829" s="799">
        <v>21845</v>
      </c>
      <c r="L829" s="799">
        <v>0</v>
      </c>
      <c r="M829" s="799">
        <v>35891</v>
      </c>
      <c r="N829" s="799">
        <v>0</v>
      </c>
      <c r="O829" s="799">
        <v>2599</v>
      </c>
      <c r="P829" s="799">
        <v>8151</v>
      </c>
      <c r="Q829" s="799">
        <v>0</v>
      </c>
      <c r="R829" s="799">
        <v>4102</v>
      </c>
      <c r="S829" s="799">
        <v>24543</v>
      </c>
    </row>
    <row r="830" spans="1:19" x14ac:dyDescent="0.2">
      <c r="A830" s="761">
        <v>2016</v>
      </c>
      <c r="B830" s="761">
        <v>12</v>
      </c>
      <c r="C830" s="796" t="s">
        <v>237</v>
      </c>
      <c r="D830" s="796"/>
      <c r="E830" s="796"/>
      <c r="F830" s="761">
        <v>3555</v>
      </c>
      <c r="G830" s="761" t="s">
        <v>1155</v>
      </c>
      <c r="H830" s="799">
        <v>85204</v>
      </c>
      <c r="I830" s="799">
        <v>25444</v>
      </c>
      <c r="J830" s="799">
        <v>18093</v>
      </c>
      <c r="K830" s="799">
        <v>82910</v>
      </c>
      <c r="L830" s="799">
        <v>0</v>
      </c>
      <c r="M830" s="799">
        <v>48674</v>
      </c>
      <c r="N830" s="799">
        <v>37474</v>
      </c>
      <c r="O830" s="799">
        <v>57</v>
      </c>
      <c r="P830" s="799">
        <v>14590</v>
      </c>
      <c r="Q830" s="799">
        <v>0</v>
      </c>
      <c r="R830" s="799">
        <v>0</v>
      </c>
      <c r="S830" s="799">
        <v>27082</v>
      </c>
    </row>
    <row r="831" spans="1:19" x14ac:dyDescent="0.2">
      <c r="A831" s="761">
        <v>2016</v>
      </c>
      <c r="B831" s="761">
        <v>7</v>
      </c>
      <c r="C831" s="796" t="s">
        <v>238</v>
      </c>
      <c r="D831" s="796"/>
      <c r="E831" s="796"/>
      <c r="F831" s="761">
        <v>1968</v>
      </c>
      <c r="G831" s="761" t="s">
        <v>1157</v>
      </c>
      <c r="H831" s="799">
        <v>52243</v>
      </c>
      <c r="I831" s="799">
        <v>0</v>
      </c>
      <c r="J831" s="799">
        <v>44568</v>
      </c>
      <c r="K831" s="799">
        <v>0</v>
      </c>
      <c r="L831" s="799">
        <v>28634</v>
      </c>
      <c r="M831" s="799">
        <v>131338</v>
      </c>
      <c r="N831" s="799">
        <v>0</v>
      </c>
      <c r="O831" s="799">
        <v>5206</v>
      </c>
      <c r="P831" s="799">
        <v>8501</v>
      </c>
      <c r="Q831" s="799">
        <v>0</v>
      </c>
      <c r="R831" s="799">
        <v>35460</v>
      </c>
      <c r="S831" s="799">
        <v>15863</v>
      </c>
    </row>
    <row r="832" spans="1:19" x14ac:dyDescent="0.2">
      <c r="A832" s="761">
        <v>2016</v>
      </c>
      <c r="B832" s="761">
        <v>12</v>
      </c>
      <c r="C832" s="796" t="s">
        <v>239</v>
      </c>
      <c r="D832" s="796"/>
      <c r="E832" s="796"/>
      <c r="F832" s="761">
        <v>3600</v>
      </c>
      <c r="G832" s="761" t="s">
        <v>1158</v>
      </c>
      <c r="H832" s="799">
        <v>0</v>
      </c>
      <c r="I832" s="799">
        <v>0</v>
      </c>
      <c r="J832" s="799">
        <v>19041</v>
      </c>
      <c r="K832" s="799">
        <v>0</v>
      </c>
      <c r="L832" s="799">
        <v>0</v>
      </c>
      <c r="M832" s="799">
        <v>0</v>
      </c>
      <c r="N832" s="799">
        <v>0</v>
      </c>
      <c r="O832" s="799">
        <v>0</v>
      </c>
      <c r="P832" s="799">
        <v>25943</v>
      </c>
      <c r="Q832" s="799">
        <v>0</v>
      </c>
      <c r="R832" s="799">
        <v>0</v>
      </c>
      <c r="S832" s="799">
        <v>66514</v>
      </c>
    </row>
    <row r="833" spans="1:19" x14ac:dyDescent="0.2">
      <c r="A833" s="761">
        <v>2016</v>
      </c>
      <c r="B833" s="761">
        <v>13</v>
      </c>
      <c r="C833" s="796" t="s">
        <v>240</v>
      </c>
      <c r="D833" s="796"/>
      <c r="E833" s="796"/>
      <c r="F833" s="761">
        <v>3609</v>
      </c>
      <c r="G833" s="761" t="s">
        <v>1159</v>
      </c>
      <c r="H833" s="799">
        <v>39329</v>
      </c>
      <c r="I833" s="799">
        <v>0</v>
      </c>
      <c r="J833" s="799">
        <v>27193</v>
      </c>
      <c r="K833" s="799">
        <v>36470</v>
      </c>
      <c r="L833" s="799">
        <v>0</v>
      </c>
      <c r="M833" s="799">
        <v>21496</v>
      </c>
      <c r="N833" s="799">
        <v>15225</v>
      </c>
      <c r="O833" s="799">
        <v>15016</v>
      </c>
      <c r="P833" s="799">
        <v>42777</v>
      </c>
      <c r="Q833" s="799">
        <v>0</v>
      </c>
      <c r="R833" s="799">
        <v>0</v>
      </c>
      <c r="S833" s="799">
        <v>11864</v>
      </c>
    </row>
    <row r="834" spans="1:19" x14ac:dyDescent="0.2">
      <c r="A834" s="761">
        <v>2016</v>
      </c>
      <c r="B834" s="761">
        <v>13</v>
      </c>
      <c r="C834" s="796" t="s">
        <v>241</v>
      </c>
      <c r="D834" s="796"/>
      <c r="E834" s="796"/>
      <c r="F834" s="761">
        <v>3645</v>
      </c>
      <c r="G834" s="761" t="s">
        <v>1160</v>
      </c>
      <c r="H834" s="799">
        <v>0</v>
      </c>
      <c r="I834" s="799">
        <v>0</v>
      </c>
      <c r="J834" s="799">
        <v>248953</v>
      </c>
      <c r="K834" s="799">
        <v>236303</v>
      </c>
      <c r="L834" s="799">
        <v>0</v>
      </c>
      <c r="M834" s="799">
        <v>425994</v>
      </c>
      <c r="N834" s="799">
        <v>132864</v>
      </c>
      <c r="O834" s="799">
        <v>152777</v>
      </c>
      <c r="P834" s="799">
        <v>17272</v>
      </c>
      <c r="Q834" s="799">
        <v>46382</v>
      </c>
      <c r="R834" s="799">
        <v>0</v>
      </c>
      <c r="S834" s="799">
        <v>20933</v>
      </c>
    </row>
    <row r="835" spans="1:19" x14ac:dyDescent="0.2">
      <c r="A835" s="761">
        <v>2016</v>
      </c>
      <c r="B835" s="761">
        <v>10</v>
      </c>
      <c r="C835" s="796" t="s">
        <v>242</v>
      </c>
      <c r="D835" s="796"/>
      <c r="E835" s="796"/>
      <c r="F835" s="761">
        <v>3691</v>
      </c>
      <c r="G835" s="761" t="s">
        <v>1161</v>
      </c>
      <c r="H835" s="799">
        <v>4</v>
      </c>
      <c r="I835" s="799">
        <v>1239</v>
      </c>
      <c r="J835" s="799">
        <v>53667</v>
      </c>
      <c r="K835" s="799">
        <v>19134</v>
      </c>
      <c r="L835" s="799">
        <v>0</v>
      </c>
      <c r="M835" s="799">
        <v>0</v>
      </c>
      <c r="N835" s="799">
        <v>47647</v>
      </c>
      <c r="O835" s="799">
        <v>15806</v>
      </c>
      <c r="P835" s="799">
        <v>42911</v>
      </c>
      <c r="Q835" s="799">
        <v>0</v>
      </c>
      <c r="R835" s="799">
        <v>45372</v>
      </c>
      <c r="S835" s="799">
        <v>101311</v>
      </c>
    </row>
    <row r="836" spans="1:19" x14ac:dyDescent="0.2">
      <c r="A836" s="761">
        <v>2016</v>
      </c>
      <c r="B836" s="761">
        <v>10</v>
      </c>
      <c r="C836" s="796" t="s">
        <v>243</v>
      </c>
      <c r="D836" s="796"/>
      <c r="E836" s="796"/>
      <c r="F836" s="761">
        <v>3715</v>
      </c>
      <c r="G836" s="761" t="s">
        <v>1162</v>
      </c>
      <c r="H836" s="799">
        <v>0</v>
      </c>
      <c r="I836" s="799">
        <v>0</v>
      </c>
      <c r="J836" s="799">
        <v>94674</v>
      </c>
      <c r="K836" s="799">
        <v>133421</v>
      </c>
      <c r="L836" s="799">
        <v>0</v>
      </c>
      <c r="M836" s="799">
        <v>0</v>
      </c>
      <c r="N836" s="799">
        <v>171646</v>
      </c>
      <c r="O836" s="799">
        <v>304027</v>
      </c>
      <c r="P836" s="799">
        <v>350843</v>
      </c>
      <c r="Q836" s="799">
        <v>0</v>
      </c>
      <c r="R836" s="799">
        <v>112384</v>
      </c>
      <c r="S836" s="799">
        <v>196802</v>
      </c>
    </row>
    <row r="837" spans="1:19" x14ac:dyDescent="0.2">
      <c r="A837" s="761">
        <v>2016</v>
      </c>
      <c r="B837" s="761">
        <v>10</v>
      </c>
      <c r="C837" s="796" t="s">
        <v>244</v>
      </c>
      <c r="D837" s="796"/>
      <c r="E837" s="796"/>
      <c r="F837" s="761">
        <v>3744</v>
      </c>
      <c r="G837" s="761" t="s">
        <v>1163</v>
      </c>
      <c r="H837" s="799">
        <v>4545</v>
      </c>
      <c r="I837" s="799">
        <v>0</v>
      </c>
      <c r="J837" s="799">
        <v>22245</v>
      </c>
      <c r="K837" s="799">
        <v>49935</v>
      </c>
      <c r="L837" s="799">
        <v>0</v>
      </c>
      <c r="M837" s="799">
        <v>42333</v>
      </c>
      <c r="N837" s="799">
        <v>55686</v>
      </c>
      <c r="O837" s="799">
        <v>4393</v>
      </c>
      <c r="P837" s="799">
        <v>3199</v>
      </c>
      <c r="Q837" s="799">
        <v>0</v>
      </c>
      <c r="R837" s="799">
        <v>7406</v>
      </c>
      <c r="S837" s="799">
        <v>144377</v>
      </c>
    </row>
    <row r="838" spans="1:19" x14ac:dyDescent="0.2">
      <c r="A838" s="761">
        <v>2016</v>
      </c>
      <c r="B838" s="761">
        <v>13</v>
      </c>
      <c r="C838" s="796" t="s">
        <v>245</v>
      </c>
      <c r="D838" s="796"/>
      <c r="E838" s="796"/>
      <c r="F838" s="761">
        <v>3798</v>
      </c>
      <c r="G838" s="761" t="s">
        <v>1164</v>
      </c>
      <c r="H838" s="799">
        <v>34051</v>
      </c>
      <c r="I838" s="799">
        <v>0</v>
      </c>
      <c r="J838" s="799">
        <v>0</v>
      </c>
      <c r="K838" s="799">
        <v>32151</v>
      </c>
      <c r="L838" s="799">
        <v>0</v>
      </c>
      <c r="M838" s="799">
        <v>0</v>
      </c>
      <c r="N838" s="799">
        <v>0</v>
      </c>
      <c r="O838" s="799">
        <v>4801</v>
      </c>
      <c r="P838" s="799">
        <v>7673</v>
      </c>
      <c r="Q838" s="799">
        <v>0</v>
      </c>
      <c r="R838" s="799">
        <v>0</v>
      </c>
      <c r="S838" s="799">
        <v>60252</v>
      </c>
    </row>
    <row r="839" spans="1:19" x14ac:dyDescent="0.2">
      <c r="A839" s="761">
        <v>2016</v>
      </c>
      <c r="B839" s="761">
        <v>10</v>
      </c>
      <c r="C839" s="796" t="s">
        <v>246</v>
      </c>
      <c r="D839" s="796"/>
      <c r="E839" s="796"/>
      <c r="F839" s="761">
        <v>3816</v>
      </c>
      <c r="G839" s="761" t="s">
        <v>1165</v>
      </c>
      <c r="H839" s="799">
        <v>1910</v>
      </c>
      <c r="I839" s="799">
        <v>0</v>
      </c>
      <c r="J839" s="799">
        <v>0</v>
      </c>
      <c r="K839" s="799">
        <v>0</v>
      </c>
      <c r="L839" s="799">
        <v>0</v>
      </c>
      <c r="M839" s="799">
        <v>0</v>
      </c>
      <c r="N839" s="799">
        <v>1191</v>
      </c>
      <c r="O839" s="799">
        <v>0</v>
      </c>
      <c r="P839" s="799">
        <v>0</v>
      </c>
      <c r="Q839" s="799">
        <v>0</v>
      </c>
      <c r="R839" s="799">
        <v>0</v>
      </c>
      <c r="S839" s="799">
        <v>44131</v>
      </c>
    </row>
    <row r="840" spans="1:19" x14ac:dyDescent="0.2">
      <c r="A840" s="761">
        <v>2016</v>
      </c>
      <c r="B840" s="761">
        <v>9</v>
      </c>
      <c r="C840" s="796" t="s">
        <v>247</v>
      </c>
      <c r="D840" s="796"/>
      <c r="E840" s="796"/>
      <c r="F840" s="761">
        <v>3841</v>
      </c>
      <c r="G840" s="761" t="s">
        <v>1166</v>
      </c>
      <c r="H840" s="799">
        <v>0</v>
      </c>
      <c r="I840" s="799">
        <v>0</v>
      </c>
      <c r="J840" s="799">
        <v>96500</v>
      </c>
      <c r="K840" s="799">
        <v>16400</v>
      </c>
      <c r="L840" s="799">
        <v>65214</v>
      </c>
      <c r="M840" s="799">
        <v>61202</v>
      </c>
      <c r="N840" s="799">
        <v>4546</v>
      </c>
      <c r="O840" s="799">
        <v>14393</v>
      </c>
      <c r="P840" s="799">
        <v>1957</v>
      </c>
      <c r="Q840" s="799">
        <v>34718</v>
      </c>
      <c r="R840" s="799">
        <v>0</v>
      </c>
      <c r="S840" s="799">
        <v>258</v>
      </c>
    </row>
    <row r="841" spans="1:19" x14ac:dyDescent="0.2">
      <c r="A841" s="761">
        <v>2016</v>
      </c>
      <c r="B841" s="761">
        <v>5</v>
      </c>
      <c r="C841" s="796" t="s">
        <v>248</v>
      </c>
      <c r="D841" s="796"/>
      <c r="E841" s="796"/>
      <c r="F841" s="761">
        <v>3897</v>
      </c>
      <c r="G841" s="761" t="s">
        <v>1167</v>
      </c>
      <c r="H841" s="799">
        <v>0</v>
      </c>
      <c r="I841" s="799">
        <v>3695</v>
      </c>
      <c r="J841" s="799">
        <v>50619</v>
      </c>
      <c r="K841" s="799">
        <v>11316</v>
      </c>
      <c r="L841" s="799">
        <v>0</v>
      </c>
      <c r="M841" s="799">
        <v>1290</v>
      </c>
      <c r="N841" s="799">
        <v>11311</v>
      </c>
      <c r="O841" s="799">
        <v>2830</v>
      </c>
      <c r="P841" s="799">
        <v>11276</v>
      </c>
      <c r="Q841" s="799">
        <v>1460</v>
      </c>
      <c r="R841" s="799">
        <v>4617</v>
      </c>
      <c r="S841" s="799">
        <v>32816</v>
      </c>
    </row>
    <row r="842" spans="1:19" x14ac:dyDescent="0.2">
      <c r="A842" s="761">
        <v>2016</v>
      </c>
      <c r="B842" s="761">
        <v>11</v>
      </c>
      <c r="C842" s="796" t="s">
        <v>249</v>
      </c>
      <c r="D842" s="796"/>
      <c r="E842" s="796"/>
      <c r="F842" s="761">
        <v>3906</v>
      </c>
      <c r="G842" s="761" t="s">
        <v>1168</v>
      </c>
      <c r="H842" s="799">
        <v>0</v>
      </c>
      <c r="I842" s="799">
        <v>0</v>
      </c>
      <c r="J842" s="799">
        <v>0</v>
      </c>
      <c r="K842" s="799">
        <v>0</v>
      </c>
      <c r="L842" s="799">
        <v>0</v>
      </c>
      <c r="M842" s="799">
        <v>43199</v>
      </c>
      <c r="N842" s="799">
        <v>12396</v>
      </c>
      <c r="O842" s="799">
        <v>0</v>
      </c>
      <c r="P842" s="799">
        <v>0</v>
      </c>
      <c r="Q842" s="799">
        <v>0</v>
      </c>
      <c r="R842" s="799">
        <v>1472</v>
      </c>
      <c r="S842" s="799">
        <v>11831</v>
      </c>
    </row>
    <row r="843" spans="1:19" x14ac:dyDescent="0.2">
      <c r="A843" s="761">
        <v>2016</v>
      </c>
      <c r="B843" s="761">
        <v>11</v>
      </c>
      <c r="C843" s="796" t="s">
        <v>250</v>
      </c>
      <c r="D843" s="796"/>
      <c r="E843" s="796"/>
      <c r="F843" s="761">
        <v>3942</v>
      </c>
      <c r="G843" s="761" t="s">
        <v>1169</v>
      </c>
      <c r="H843" s="799">
        <v>67161</v>
      </c>
      <c r="I843" s="799">
        <v>1294</v>
      </c>
      <c r="J843" s="799">
        <v>10525</v>
      </c>
      <c r="K843" s="799">
        <v>382</v>
      </c>
      <c r="L843" s="799">
        <v>0</v>
      </c>
      <c r="M843" s="799">
        <v>0</v>
      </c>
      <c r="N843" s="799">
        <v>3281</v>
      </c>
      <c r="O843" s="799">
        <v>16328</v>
      </c>
      <c r="P843" s="799">
        <v>53309</v>
      </c>
      <c r="Q843" s="799">
        <v>0</v>
      </c>
      <c r="R843" s="799">
        <v>4210</v>
      </c>
      <c r="S843" s="799">
        <v>63403</v>
      </c>
    </row>
    <row r="844" spans="1:19" x14ac:dyDescent="0.2">
      <c r="A844" s="761">
        <v>2016</v>
      </c>
      <c r="B844" s="761">
        <v>13</v>
      </c>
      <c r="C844" s="796" t="s">
        <v>251</v>
      </c>
      <c r="D844" s="796"/>
      <c r="E844" s="796"/>
      <c r="F844" s="761">
        <v>3978</v>
      </c>
      <c r="G844" s="761" t="s">
        <v>1480</v>
      </c>
      <c r="H844" s="799">
        <v>0</v>
      </c>
      <c r="I844" s="799">
        <v>1334</v>
      </c>
      <c r="J844" s="799">
        <v>22612</v>
      </c>
      <c r="K844" s="799">
        <v>0</v>
      </c>
      <c r="L844" s="799">
        <v>0</v>
      </c>
      <c r="M844" s="799">
        <v>160739</v>
      </c>
      <c r="N844" s="799">
        <v>0</v>
      </c>
      <c r="O844" s="799">
        <v>0</v>
      </c>
      <c r="P844" s="799">
        <v>49620</v>
      </c>
      <c r="Q844" s="799">
        <v>0</v>
      </c>
      <c r="R844" s="799">
        <v>4932</v>
      </c>
      <c r="S844" s="799">
        <v>57025</v>
      </c>
    </row>
    <row r="845" spans="1:19" x14ac:dyDescent="0.2">
      <c r="A845" s="761">
        <v>2016</v>
      </c>
      <c r="B845" s="761">
        <v>5</v>
      </c>
      <c r="C845" s="796" t="s">
        <v>252</v>
      </c>
      <c r="D845" s="796"/>
      <c r="E845" s="796"/>
      <c r="F845" s="761">
        <v>4023</v>
      </c>
      <c r="G845" s="761" t="s">
        <v>1170</v>
      </c>
      <c r="H845" s="799">
        <v>0</v>
      </c>
      <c r="I845" s="799">
        <v>0</v>
      </c>
      <c r="J845" s="799">
        <v>0</v>
      </c>
      <c r="K845" s="799">
        <v>0</v>
      </c>
      <c r="L845" s="799">
        <v>0</v>
      </c>
      <c r="M845" s="799">
        <v>0</v>
      </c>
      <c r="N845" s="799">
        <v>32379</v>
      </c>
      <c r="O845" s="799">
        <v>895</v>
      </c>
      <c r="P845" s="799">
        <v>39733</v>
      </c>
      <c r="Q845" s="799">
        <v>0</v>
      </c>
      <c r="R845" s="799">
        <v>5631</v>
      </c>
      <c r="S845" s="799">
        <v>58014</v>
      </c>
    </row>
    <row r="846" spans="1:19" x14ac:dyDescent="0.2">
      <c r="A846" s="761">
        <v>2016</v>
      </c>
      <c r="B846" s="761">
        <v>12</v>
      </c>
      <c r="C846" s="796" t="s">
        <v>253</v>
      </c>
      <c r="D846" s="796"/>
      <c r="E846" s="796"/>
      <c r="F846" s="761">
        <v>4033</v>
      </c>
      <c r="G846" s="761" t="s">
        <v>1494</v>
      </c>
      <c r="H846" s="799">
        <v>63916</v>
      </c>
      <c r="I846" s="799">
        <v>0</v>
      </c>
      <c r="J846" s="799">
        <v>0</v>
      </c>
      <c r="K846" s="799">
        <v>0</v>
      </c>
      <c r="L846" s="799">
        <v>50303</v>
      </c>
      <c r="M846" s="799">
        <v>288308</v>
      </c>
      <c r="N846" s="799">
        <v>0</v>
      </c>
      <c r="O846" s="799">
        <v>7312</v>
      </c>
      <c r="P846" s="799">
        <v>91060</v>
      </c>
      <c r="Q846" s="799">
        <v>0</v>
      </c>
      <c r="R846" s="799">
        <v>7114</v>
      </c>
      <c r="S846" s="799">
        <v>46045</v>
      </c>
    </row>
    <row r="847" spans="1:19" x14ac:dyDescent="0.2">
      <c r="A847" s="761">
        <v>2016</v>
      </c>
      <c r="B847" s="761">
        <v>9</v>
      </c>
      <c r="C847" s="796" t="s">
        <v>254</v>
      </c>
      <c r="D847" s="796"/>
      <c r="E847" s="796"/>
      <c r="F847" s="761">
        <v>4041</v>
      </c>
      <c r="G847" s="761" t="s">
        <v>1171</v>
      </c>
      <c r="H847" s="799">
        <v>25903</v>
      </c>
      <c r="I847" s="799">
        <v>0</v>
      </c>
      <c r="J847" s="799">
        <v>0</v>
      </c>
      <c r="K847" s="799">
        <v>20516</v>
      </c>
      <c r="L847" s="799">
        <v>0</v>
      </c>
      <c r="M847" s="799">
        <v>49811</v>
      </c>
      <c r="N847" s="799">
        <v>9593</v>
      </c>
      <c r="O847" s="799">
        <v>28544</v>
      </c>
      <c r="P847" s="799">
        <v>60231</v>
      </c>
      <c r="Q847" s="799">
        <v>0</v>
      </c>
      <c r="R847" s="799">
        <v>2933</v>
      </c>
      <c r="S847" s="799">
        <v>65744</v>
      </c>
    </row>
    <row r="848" spans="1:19" x14ac:dyDescent="0.2">
      <c r="A848" s="761">
        <v>2016</v>
      </c>
      <c r="B848" s="761">
        <v>1</v>
      </c>
      <c r="C848" s="796" t="s">
        <v>255</v>
      </c>
      <c r="D848" s="796"/>
      <c r="E848" s="796"/>
      <c r="F848" s="761">
        <v>4043</v>
      </c>
      <c r="G848" s="761" t="s">
        <v>1172</v>
      </c>
      <c r="H848" s="799">
        <v>20322</v>
      </c>
      <c r="I848" s="799">
        <v>10997</v>
      </c>
      <c r="J848" s="799">
        <v>85812</v>
      </c>
      <c r="K848" s="799">
        <v>0</v>
      </c>
      <c r="L848" s="799">
        <v>0</v>
      </c>
      <c r="M848" s="799">
        <v>144433</v>
      </c>
      <c r="N848" s="799">
        <v>110909</v>
      </c>
      <c r="O848" s="799">
        <v>52883</v>
      </c>
      <c r="P848" s="799">
        <v>26165</v>
      </c>
      <c r="Q848" s="799">
        <v>0</v>
      </c>
      <c r="R848" s="799">
        <v>26753</v>
      </c>
      <c r="S848" s="799">
        <v>23203</v>
      </c>
    </row>
    <row r="849" spans="1:19" x14ac:dyDescent="0.2">
      <c r="A849" s="761">
        <v>2016</v>
      </c>
      <c r="B849" s="761">
        <v>12</v>
      </c>
      <c r="C849" s="796" t="s">
        <v>256</v>
      </c>
      <c r="D849" s="796"/>
      <c r="E849" s="796"/>
      <c r="F849" s="761">
        <v>4068</v>
      </c>
      <c r="G849" s="761" t="s">
        <v>1173</v>
      </c>
      <c r="H849" s="799">
        <v>89302</v>
      </c>
      <c r="I849" s="799">
        <v>0</v>
      </c>
      <c r="J849" s="799">
        <v>56744</v>
      </c>
      <c r="K849" s="799">
        <v>36536</v>
      </c>
      <c r="L849" s="799">
        <v>0</v>
      </c>
      <c r="M849" s="799">
        <v>0</v>
      </c>
      <c r="N849" s="799">
        <v>24583</v>
      </c>
      <c r="O849" s="799">
        <v>51042</v>
      </c>
      <c r="P849" s="799">
        <v>39241</v>
      </c>
      <c r="Q849" s="799">
        <v>0</v>
      </c>
      <c r="R849" s="799">
        <v>6211</v>
      </c>
      <c r="S849" s="799">
        <v>37724</v>
      </c>
    </row>
    <row r="850" spans="1:19" x14ac:dyDescent="0.2">
      <c r="A850" s="761">
        <v>2016</v>
      </c>
      <c r="B850" s="761">
        <v>10</v>
      </c>
      <c r="C850" s="796" t="s">
        <v>257</v>
      </c>
      <c r="D850" s="796"/>
      <c r="E850" s="796"/>
      <c r="F850" s="761">
        <v>4086</v>
      </c>
      <c r="G850" s="761" t="s">
        <v>1174</v>
      </c>
      <c r="H850" s="799">
        <v>1028466</v>
      </c>
      <c r="I850" s="799">
        <v>0</v>
      </c>
      <c r="J850" s="799">
        <v>0</v>
      </c>
      <c r="K850" s="799">
        <v>120740</v>
      </c>
      <c r="L850" s="799">
        <v>0</v>
      </c>
      <c r="M850" s="799">
        <v>58098</v>
      </c>
      <c r="N850" s="799">
        <v>423</v>
      </c>
      <c r="O850" s="799">
        <v>120620</v>
      </c>
      <c r="P850" s="799">
        <v>46468</v>
      </c>
      <c r="Q850" s="799">
        <v>0</v>
      </c>
      <c r="R850" s="799">
        <v>0</v>
      </c>
      <c r="S850" s="799">
        <v>30157</v>
      </c>
    </row>
    <row r="851" spans="1:19" x14ac:dyDescent="0.2">
      <c r="A851" s="761">
        <v>2016</v>
      </c>
      <c r="B851" s="761">
        <v>7</v>
      </c>
      <c r="C851" s="796" t="s">
        <v>258</v>
      </c>
      <c r="D851" s="796"/>
      <c r="E851" s="796"/>
      <c r="F851" s="761">
        <v>4104</v>
      </c>
      <c r="G851" s="761" t="s">
        <v>1175</v>
      </c>
      <c r="H851" s="799">
        <v>0</v>
      </c>
      <c r="I851" s="799">
        <v>131671</v>
      </c>
      <c r="J851" s="799">
        <v>596611</v>
      </c>
      <c r="K851" s="799">
        <v>20402</v>
      </c>
      <c r="L851" s="799">
        <v>0</v>
      </c>
      <c r="M851" s="799">
        <v>438486</v>
      </c>
      <c r="N851" s="799">
        <v>59355</v>
      </c>
      <c r="O851" s="799">
        <v>140002</v>
      </c>
      <c r="P851" s="799">
        <v>546711</v>
      </c>
      <c r="Q851" s="799">
        <v>0</v>
      </c>
      <c r="R851" s="799">
        <v>439028</v>
      </c>
      <c r="S851" s="799">
        <v>177668</v>
      </c>
    </row>
    <row r="852" spans="1:19" x14ac:dyDescent="0.2">
      <c r="A852" s="761">
        <v>2016</v>
      </c>
      <c r="B852" s="761">
        <v>11</v>
      </c>
      <c r="C852" s="796" t="s">
        <v>259</v>
      </c>
      <c r="D852" s="796"/>
      <c r="E852" s="796"/>
      <c r="F852" s="761">
        <v>4122</v>
      </c>
      <c r="G852" s="761" t="s">
        <v>1176</v>
      </c>
      <c r="H852" s="799">
        <v>0</v>
      </c>
      <c r="I852" s="799">
        <v>0</v>
      </c>
      <c r="J852" s="799">
        <v>46020</v>
      </c>
      <c r="K852" s="799">
        <v>0</v>
      </c>
      <c r="L852" s="799">
        <v>0</v>
      </c>
      <c r="M852" s="799">
        <v>0</v>
      </c>
      <c r="N852" s="799">
        <v>31958</v>
      </c>
      <c r="O852" s="799">
        <v>49284</v>
      </c>
      <c r="P852" s="799">
        <v>12642</v>
      </c>
      <c r="Q852" s="799">
        <v>17874</v>
      </c>
      <c r="R852" s="799">
        <v>2969</v>
      </c>
      <c r="S852" s="799">
        <v>49560</v>
      </c>
    </row>
    <row r="853" spans="1:19" x14ac:dyDescent="0.2">
      <c r="A853" s="761">
        <v>2016</v>
      </c>
      <c r="B853" s="761">
        <v>7</v>
      </c>
      <c r="C853" s="796" t="s">
        <v>260</v>
      </c>
      <c r="D853" s="796"/>
      <c r="E853" s="796"/>
      <c r="F853" s="761">
        <v>4131</v>
      </c>
      <c r="G853" s="761" t="s">
        <v>1177</v>
      </c>
      <c r="H853" s="799">
        <v>0</v>
      </c>
      <c r="I853" s="799">
        <v>10000</v>
      </c>
      <c r="J853" s="799">
        <v>145704</v>
      </c>
      <c r="K853" s="799">
        <v>0</v>
      </c>
      <c r="L853" s="799">
        <v>0</v>
      </c>
      <c r="M853" s="799">
        <v>104519</v>
      </c>
      <c r="N853" s="799">
        <v>191061</v>
      </c>
      <c r="O853" s="799">
        <v>16650</v>
      </c>
      <c r="P853" s="799">
        <v>14421</v>
      </c>
      <c r="Q853" s="799">
        <v>0</v>
      </c>
      <c r="R853" s="799">
        <v>0</v>
      </c>
      <c r="S853" s="799">
        <v>89897</v>
      </c>
    </row>
    <row r="854" spans="1:19" x14ac:dyDescent="0.2">
      <c r="A854" s="761">
        <v>2016</v>
      </c>
      <c r="B854" s="761">
        <v>12</v>
      </c>
      <c r="C854" s="796" t="s">
        <v>261</v>
      </c>
      <c r="D854" s="796"/>
      <c r="E854" s="796"/>
      <c r="F854" s="761">
        <v>4149</v>
      </c>
      <c r="G854" s="761" t="s">
        <v>641</v>
      </c>
      <c r="H854" s="799">
        <v>0</v>
      </c>
      <c r="I854" s="799">
        <v>0</v>
      </c>
      <c r="J854" s="799">
        <v>0</v>
      </c>
      <c r="K854" s="799">
        <v>6439</v>
      </c>
      <c r="L854" s="799">
        <v>47911</v>
      </c>
      <c r="M854" s="799">
        <v>108128</v>
      </c>
      <c r="N854" s="799">
        <v>0</v>
      </c>
      <c r="O854" s="799">
        <v>3238</v>
      </c>
      <c r="P854" s="799">
        <v>66484</v>
      </c>
      <c r="Q854" s="799">
        <v>0</v>
      </c>
      <c r="R854" s="799">
        <v>0</v>
      </c>
      <c r="S854" s="799">
        <v>49642</v>
      </c>
    </row>
    <row r="855" spans="1:19" x14ac:dyDescent="0.2">
      <c r="A855" s="761">
        <v>2016</v>
      </c>
      <c r="B855" s="761">
        <v>15</v>
      </c>
      <c r="C855" s="796" t="s">
        <v>262</v>
      </c>
      <c r="D855" s="796"/>
      <c r="E855" s="796"/>
      <c r="F855" s="761">
        <v>4203</v>
      </c>
      <c r="G855" s="761" t="s">
        <v>1178</v>
      </c>
      <c r="H855" s="799">
        <v>55743</v>
      </c>
      <c r="I855" s="799">
        <v>0</v>
      </c>
      <c r="J855" s="799">
        <v>113196</v>
      </c>
      <c r="K855" s="799">
        <v>7713</v>
      </c>
      <c r="L855" s="799">
        <v>36017</v>
      </c>
      <c r="M855" s="799">
        <v>0</v>
      </c>
      <c r="N855" s="799">
        <v>36834</v>
      </c>
      <c r="O855" s="799">
        <v>75274</v>
      </c>
      <c r="P855" s="799">
        <v>38626</v>
      </c>
      <c r="Q855" s="799">
        <v>0</v>
      </c>
      <c r="R855" s="799">
        <v>2261</v>
      </c>
      <c r="S855" s="799">
        <v>40487</v>
      </c>
    </row>
    <row r="856" spans="1:19" x14ac:dyDescent="0.2">
      <c r="A856" s="761">
        <v>2016</v>
      </c>
      <c r="B856" s="761">
        <v>11</v>
      </c>
      <c r="C856" s="796" t="s">
        <v>263</v>
      </c>
      <c r="D856" s="796"/>
      <c r="E856" s="796"/>
      <c r="F856" s="761">
        <v>4212</v>
      </c>
      <c r="G856" s="761" t="s">
        <v>1179</v>
      </c>
      <c r="H856" s="799">
        <v>0</v>
      </c>
      <c r="I856" s="799">
        <v>0</v>
      </c>
      <c r="J856" s="799">
        <v>25676</v>
      </c>
      <c r="K856" s="799">
        <v>12877</v>
      </c>
      <c r="L856" s="799">
        <v>5432</v>
      </c>
      <c r="M856" s="799">
        <v>887</v>
      </c>
      <c r="N856" s="799">
        <v>0</v>
      </c>
      <c r="O856" s="799">
        <v>3226</v>
      </c>
      <c r="P856" s="799">
        <v>23515</v>
      </c>
      <c r="Q856" s="799">
        <v>0</v>
      </c>
      <c r="R856" s="799">
        <v>3446</v>
      </c>
      <c r="S856" s="799">
        <v>14813</v>
      </c>
    </row>
    <row r="857" spans="1:19" x14ac:dyDescent="0.2">
      <c r="A857" s="761">
        <v>2016</v>
      </c>
      <c r="B857" s="761">
        <v>10</v>
      </c>
      <c r="C857" s="796" t="s">
        <v>264</v>
      </c>
      <c r="D857" s="796"/>
      <c r="E857" s="796"/>
      <c r="F857" s="761">
        <v>4269</v>
      </c>
      <c r="G857" s="761" t="s">
        <v>642</v>
      </c>
      <c r="H857" s="799">
        <v>9135</v>
      </c>
      <c r="I857" s="799">
        <v>0</v>
      </c>
      <c r="J857" s="799">
        <v>21927</v>
      </c>
      <c r="K857" s="799">
        <v>0</v>
      </c>
      <c r="L857" s="799">
        <v>0</v>
      </c>
      <c r="M857" s="799">
        <v>0</v>
      </c>
      <c r="N857" s="799">
        <v>3250</v>
      </c>
      <c r="O857" s="799">
        <v>0</v>
      </c>
      <c r="P857" s="799">
        <v>0</v>
      </c>
      <c r="Q857" s="799">
        <v>0</v>
      </c>
      <c r="R857" s="799">
        <v>0</v>
      </c>
      <c r="S857" s="799">
        <v>8630</v>
      </c>
    </row>
    <row r="858" spans="1:19" x14ac:dyDescent="0.2">
      <c r="A858" s="761">
        <v>2016</v>
      </c>
      <c r="B858" s="761">
        <v>10</v>
      </c>
      <c r="C858" s="796" t="s">
        <v>265</v>
      </c>
      <c r="D858" s="796"/>
      <c r="E858" s="796"/>
      <c r="F858" s="761">
        <v>4271</v>
      </c>
      <c r="G858" s="761" t="s">
        <v>1180</v>
      </c>
      <c r="H858" s="799">
        <v>27452</v>
      </c>
      <c r="I858" s="799">
        <v>0</v>
      </c>
      <c r="J858" s="799">
        <v>0</v>
      </c>
      <c r="K858" s="799">
        <v>27511</v>
      </c>
      <c r="L858" s="799">
        <v>0</v>
      </c>
      <c r="M858" s="799">
        <v>0</v>
      </c>
      <c r="N858" s="799">
        <v>17525</v>
      </c>
      <c r="O858" s="799">
        <v>0</v>
      </c>
      <c r="P858" s="799">
        <v>0</v>
      </c>
      <c r="Q858" s="799">
        <v>3172</v>
      </c>
      <c r="R858" s="799">
        <v>0</v>
      </c>
      <c r="S858" s="799">
        <v>109160</v>
      </c>
    </row>
    <row r="859" spans="1:19" x14ac:dyDescent="0.2">
      <c r="A859" s="761">
        <v>2016</v>
      </c>
      <c r="B859" s="761">
        <v>13</v>
      </c>
      <c r="C859" s="796" t="s">
        <v>266</v>
      </c>
      <c r="D859" s="796"/>
      <c r="E859" s="796"/>
      <c r="F859" s="761">
        <v>4356</v>
      </c>
      <c r="G859" s="761" t="s">
        <v>1181</v>
      </c>
      <c r="H859" s="799">
        <v>0</v>
      </c>
      <c r="I859" s="799">
        <v>0</v>
      </c>
      <c r="J859" s="799">
        <v>46618</v>
      </c>
      <c r="K859" s="799">
        <v>1922</v>
      </c>
      <c r="L859" s="799">
        <v>0</v>
      </c>
      <c r="M859" s="799">
        <v>36668</v>
      </c>
      <c r="N859" s="799">
        <v>323</v>
      </c>
      <c r="O859" s="799">
        <v>14931</v>
      </c>
      <c r="P859" s="799">
        <v>15116</v>
      </c>
      <c r="Q859" s="799">
        <v>17631</v>
      </c>
      <c r="R859" s="799">
        <v>325</v>
      </c>
      <c r="S859" s="799">
        <v>36666</v>
      </c>
    </row>
    <row r="860" spans="1:19" x14ac:dyDescent="0.2">
      <c r="A860" s="761">
        <v>2016</v>
      </c>
      <c r="B860" s="761">
        <v>1</v>
      </c>
      <c r="C860" s="796" t="s">
        <v>267</v>
      </c>
      <c r="D860" s="796"/>
      <c r="E860" s="796"/>
      <c r="F860" s="761">
        <v>4419</v>
      </c>
      <c r="G860" s="761" t="s">
        <v>643</v>
      </c>
      <c r="H860" s="799">
        <v>0</v>
      </c>
      <c r="I860" s="799">
        <v>0</v>
      </c>
      <c r="J860" s="799">
        <v>0</v>
      </c>
      <c r="K860" s="799">
        <v>49527</v>
      </c>
      <c r="L860" s="799">
        <v>0</v>
      </c>
      <c r="M860" s="799">
        <v>5479</v>
      </c>
      <c r="N860" s="799">
        <v>147264</v>
      </c>
      <c r="O860" s="799">
        <v>113220</v>
      </c>
      <c r="P860" s="799">
        <v>20332</v>
      </c>
      <c r="Q860" s="799">
        <v>0</v>
      </c>
      <c r="R860" s="799">
        <v>0</v>
      </c>
      <c r="S860" s="799">
        <v>21040</v>
      </c>
    </row>
    <row r="861" spans="1:19" x14ac:dyDescent="0.2">
      <c r="A861" s="761">
        <v>2016</v>
      </c>
      <c r="B861" s="761">
        <v>7</v>
      </c>
      <c r="C861" s="796" t="s">
        <v>268</v>
      </c>
      <c r="D861" s="796"/>
      <c r="E861" s="796"/>
      <c r="F861" s="761">
        <v>4437</v>
      </c>
      <c r="G861" s="761" t="s">
        <v>1182</v>
      </c>
      <c r="H861" s="799">
        <v>0</v>
      </c>
      <c r="I861" s="799">
        <v>0</v>
      </c>
      <c r="J861" s="799">
        <v>0</v>
      </c>
      <c r="K861" s="799">
        <v>0</v>
      </c>
      <c r="L861" s="799">
        <v>0</v>
      </c>
      <c r="M861" s="799">
        <v>30237</v>
      </c>
      <c r="N861" s="799">
        <v>0</v>
      </c>
      <c r="O861" s="799">
        <v>10240</v>
      </c>
      <c r="P861" s="799">
        <v>0</v>
      </c>
      <c r="Q861" s="799">
        <v>0</v>
      </c>
      <c r="R861" s="799">
        <v>0</v>
      </c>
      <c r="S861" s="799">
        <v>9213</v>
      </c>
    </row>
    <row r="862" spans="1:19" x14ac:dyDescent="0.2">
      <c r="A862" s="761">
        <v>2016</v>
      </c>
      <c r="B862" s="761">
        <v>10</v>
      </c>
      <c r="C862" s="796" t="s">
        <v>269</v>
      </c>
      <c r="D862" s="796"/>
      <c r="E862" s="796"/>
      <c r="F862" s="761">
        <v>4446</v>
      </c>
      <c r="G862" s="761" t="s">
        <v>1183</v>
      </c>
      <c r="H862" s="799">
        <v>0</v>
      </c>
      <c r="I862" s="799">
        <v>0</v>
      </c>
      <c r="J862" s="799">
        <v>0</v>
      </c>
      <c r="K862" s="799">
        <v>3451</v>
      </c>
      <c r="L862" s="799">
        <v>0</v>
      </c>
      <c r="M862" s="799">
        <v>109015</v>
      </c>
      <c r="N862" s="799">
        <v>57780</v>
      </c>
      <c r="O862" s="799">
        <v>15137</v>
      </c>
      <c r="P862" s="799">
        <v>0</v>
      </c>
      <c r="Q862" s="799">
        <v>10689</v>
      </c>
      <c r="R862" s="799">
        <v>1305</v>
      </c>
      <c r="S862" s="799">
        <v>46357</v>
      </c>
    </row>
    <row r="863" spans="1:19" x14ac:dyDescent="0.2">
      <c r="A863" s="761">
        <v>2016</v>
      </c>
      <c r="B863" s="761">
        <v>15</v>
      </c>
      <c r="C863" s="796" t="s">
        <v>270</v>
      </c>
      <c r="D863" s="796"/>
      <c r="E863" s="796"/>
      <c r="F863" s="761">
        <v>4491</v>
      </c>
      <c r="G863" s="761" t="s">
        <v>1184</v>
      </c>
      <c r="H863" s="799">
        <v>0</v>
      </c>
      <c r="I863" s="799">
        <v>0</v>
      </c>
      <c r="J863" s="799">
        <v>5273</v>
      </c>
      <c r="K863" s="799">
        <v>0</v>
      </c>
      <c r="L863" s="799">
        <v>0</v>
      </c>
      <c r="M863" s="799">
        <v>0</v>
      </c>
      <c r="N863" s="799">
        <v>0</v>
      </c>
      <c r="O863" s="799">
        <v>24047</v>
      </c>
      <c r="P863" s="799">
        <v>5145</v>
      </c>
      <c r="Q863" s="799">
        <v>0</v>
      </c>
      <c r="R863" s="799">
        <v>0</v>
      </c>
      <c r="S863" s="799">
        <v>5171</v>
      </c>
    </row>
    <row r="864" spans="1:19" x14ac:dyDescent="0.2">
      <c r="A864" s="761">
        <v>2016</v>
      </c>
      <c r="B864" s="761">
        <v>13</v>
      </c>
      <c r="C864" s="796" t="s">
        <v>271</v>
      </c>
      <c r="D864" s="796"/>
      <c r="E864" s="796"/>
      <c r="F864" s="761">
        <v>4505</v>
      </c>
      <c r="G864" s="761" t="s">
        <v>1185</v>
      </c>
      <c r="H864" s="799">
        <v>129</v>
      </c>
      <c r="I864" s="799">
        <v>0</v>
      </c>
      <c r="J864" s="799">
        <v>14628</v>
      </c>
      <c r="K864" s="799">
        <v>1585</v>
      </c>
      <c r="L864" s="799">
        <v>24816</v>
      </c>
      <c r="M864" s="799">
        <v>25636</v>
      </c>
      <c r="N864" s="799">
        <v>70269</v>
      </c>
      <c r="O864" s="799">
        <v>17388</v>
      </c>
      <c r="P864" s="799">
        <v>0</v>
      </c>
      <c r="Q864" s="799">
        <v>0</v>
      </c>
      <c r="R864" s="799">
        <v>3266</v>
      </c>
      <c r="S864" s="799">
        <v>248</v>
      </c>
    </row>
    <row r="865" spans="1:19" x14ac:dyDescent="0.2">
      <c r="A865" s="761">
        <v>2016</v>
      </c>
      <c r="B865" s="761">
        <v>15</v>
      </c>
      <c r="C865" s="796" t="s">
        <v>272</v>
      </c>
      <c r="D865" s="796"/>
      <c r="E865" s="796"/>
      <c r="F865" s="761">
        <v>4509</v>
      </c>
      <c r="G865" s="761" t="s">
        <v>1186</v>
      </c>
      <c r="H865" s="799">
        <v>0</v>
      </c>
      <c r="I865" s="799">
        <v>0</v>
      </c>
      <c r="J865" s="799">
        <v>0</v>
      </c>
      <c r="K865" s="799">
        <v>0</v>
      </c>
      <c r="L865" s="799">
        <v>0</v>
      </c>
      <c r="M865" s="799">
        <v>0</v>
      </c>
      <c r="N865" s="799">
        <v>0</v>
      </c>
      <c r="O865" s="799">
        <v>0</v>
      </c>
      <c r="P865" s="799">
        <v>0</v>
      </c>
      <c r="Q865" s="799">
        <v>0</v>
      </c>
      <c r="R865" s="799">
        <v>0</v>
      </c>
      <c r="S865" s="799">
        <v>0</v>
      </c>
    </row>
    <row r="866" spans="1:19" x14ac:dyDescent="0.2">
      <c r="A866" s="761">
        <v>2016</v>
      </c>
      <c r="B866" s="761">
        <v>15</v>
      </c>
      <c r="C866" s="796" t="s">
        <v>273</v>
      </c>
      <c r="D866" s="796"/>
      <c r="E866" s="796"/>
      <c r="F866" s="761">
        <v>4518</v>
      </c>
      <c r="G866" s="761" t="s">
        <v>1187</v>
      </c>
      <c r="H866" s="799">
        <v>0</v>
      </c>
      <c r="I866" s="799">
        <v>0</v>
      </c>
      <c r="J866" s="799">
        <v>1033</v>
      </c>
      <c r="K866" s="799">
        <v>4734</v>
      </c>
      <c r="L866" s="799">
        <v>17327</v>
      </c>
      <c r="M866" s="799">
        <v>69751</v>
      </c>
      <c r="N866" s="799">
        <v>44655</v>
      </c>
      <c r="O866" s="799">
        <v>17268</v>
      </c>
      <c r="P866" s="799">
        <v>23896</v>
      </c>
      <c r="Q866" s="799">
        <v>0</v>
      </c>
      <c r="R866" s="799">
        <v>1983</v>
      </c>
      <c r="S866" s="799">
        <v>17533</v>
      </c>
    </row>
    <row r="867" spans="1:19" x14ac:dyDescent="0.2">
      <c r="A867" s="761">
        <v>2016</v>
      </c>
      <c r="B867" s="761">
        <v>13</v>
      </c>
      <c r="C867" s="796" t="s">
        <v>274</v>
      </c>
      <c r="D867" s="796"/>
      <c r="E867" s="796"/>
      <c r="F867" s="761">
        <v>4527</v>
      </c>
      <c r="G867" s="761" t="s">
        <v>1189</v>
      </c>
      <c r="H867" s="799">
        <v>0</v>
      </c>
      <c r="I867" s="799">
        <v>0</v>
      </c>
      <c r="J867" s="799">
        <v>8619</v>
      </c>
      <c r="K867" s="799">
        <v>26807</v>
      </c>
      <c r="L867" s="799">
        <v>20014</v>
      </c>
      <c r="M867" s="799">
        <v>101767</v>
      </c>
      <c r="N867" s="799">
        <v>0</v>
      </c>
      <c r="O867" s="799">
        <v>7635</v>
      </c>
      <c r="P867" s="799">
        <v>61680</v>
      </c>
      <c r="Q867" s="799">
        <v>0</v>
      </c>
      <c r="R867" s="799">
        <v>1634</v>
      </c>
      <c r="S867" s="799">
        <v>52029</v>
      </c>
    </row>
    <row r="868" spans="1:19" x14ac:dyDescent="0.2">
      <c r="A868" s="761">
        <v>2016</v>
      </c>
      <c r="B868" s="761">
        <v>15</v>
      </c>
      <c r="C868" s="796" t="s">
        <v>275</v>
      </c>
      <c r="D868" s="796"/>
      <c r="E868" s="796"/>
      <c r="F868" s="761">
        <v>4536</v>
      </c>
      <c r="G868" s="761" t="s">
        <v>1190</v>
      </c>
      <c r="H868" s="799">
        <v>125150</v>
      </c>
      <c r="I868" s="799">
        <v>0</v>
      </c>
      <c r="J868" s="799">
        <v>0</v>
      </c>
      <c r="K868" s="799">
        <v>0</v>
      </c>
      <c r="L868" s="799">
        <v>0</v>
      </c>
      <c r="M868" s="799">
        <v>71246</v>
      </c>
      <c r="N868" s="799">
        <v>115380</v>
      </c>
      <c r="O868" s="799">
        <v>0</v>
      </c>
      <c r="P868" s="799">
        <v>23763</v>
      </c>
      <c r="Q868" s="799">
        <v>0</v>
      </c>
      <c r="R868" s="799">
        <v>374270</v>
      </c>
      <c r="S868" s="799">
        <v>23893</v>
      </c>
    </row>
    <row r="869" spans="1:19" x14ac:dyDescent="0.2">
      <c r="A869" s="761">
        <v>2016</v>
      </c>
      <c r="B869" s="761">
        <v>10</v>
      </c>
      <c r="C869" s="796" t="s">
        <v>276</v>
      </c>
      <c r="D869" s="796"/>
      <c r="E869" s="796"/>
      <c r="F869" s="761">
        <v>4554</v>
      </c>
      <c r="G869" s="761" t="s">
        <v>1191</v>
      </c>
      <c r="H869" s="799">
        <v>0</v>
      </c>
      <c r="I869" s="799">
        <v>0</v>
      </c>
      <c r="J869" s="799">
        <v>0</v>
      </c>
      <c r="K869" s="799">
        <v>0</v>
      </c>
      <c r="L869" s="799">
        <v>0</v>
      </c>
      <c r="M869" s="799">
        <v>0</v>
      </c>
      <c r="N869" s="799">
        <v>0</v>
      </c>
      <c r="O869" s="799">
        <v>66207</v>
      </c>
      <c r="P869" s="799">
        <v>0</v>
      </c>
      <c r="Q869" s="799">
        <v>0</v>
      </c>
      <c r="R869" s="799">
        <v>4311</v>
      </c>
      <c r="S869" s="799">
        <v>52379</v>
      </c>
    </row>
    <row r="870" spans="1:19" x14ac:dyDescent="0.2">
      <c r="A870" s="761">
        <v>2016</v>
      </c>
      <c r="B870" s="761">
        <v>13</v>
      </c>
      <c r="C870" s="796" t="s">
        <v>277</v>
      </c>
      <c r="D870" s="796"/>
      <c r="E870" s="796"/>
      <c r="F870" s="761">
        <v>4572</v>
      </c>
      <c r="G870" s="761" t="s">
        <v>1192</v>
      </c>
      <c r="H870" s="799">
        <v>0</v>
      </c>
      <c r="I870" s="799">
        <v>0</v>
      </c>
      <c r="J870" s="799">
        <v>31059</v>
      </c>
      <c r="K870" s="799">
        <v>0</v>
      </c>
      <c r="L870" s="799">
        <v>22735</v>
      </c>
      <c r="M870" s="799">
        <v>26077</v>
      </c>
      <c r="N870" s="799">
        <v>34148</v>
      </c>
      <c r="O870" s="799">
        <v>41971</v>
      </c>
      <c r="P870" s="799">
        <v>17023</v>
      </c>
      <c r="Q870" s="799">
        <v>9598</v>
      </c>
      <c r="R870" s="799">
        <v>346</v>
      </c>
      <c r="S870" s="799">
        <v>56313</v>
      </c>
    </row>
    <row r="871" spans="1:19" x14ac:dyDescent="0.2">
      <c r="A871" s="761">
        <v>2016</v>
      </c>
      <c r="B871" s="761">
        <v>9</v>
      </c>
      <c r="C871" s="796" t="s">
        <v>278</v>
      </c>
      <c r="D871" s="796"/>
      <c r="E871" s="796"/>
      <c r="F871" s="761">
        <v>4581</v>
      </c>
      <c r="G871" s="761" t="s">
        <v>1193</v>
      </c>
      <c r="H871" s="799">
        <v>71752</v>
      </c>
      <c r="I871" s="799">
        <v>0</v>
      </c>
      <c r="J871" s="799">
        <v>281175</v>
      </c>
      <c r="K871" s="799">
        <v>322742</v>
      </c>
      <c r="L871" s="799">
        <v>310985</v>
      </c>
      <c r="M871" s="799">
        <v>101025</v>
      </c>
      <c r="N871" s="799">
        <v>1492</v>
      </c>
      <c r="O871" s="799">
        <v>12902</v>
      </c>
      <c r="P871" s="799">
        <v>0</v>
      </c>
      <c r="Q871" s="799">
        <v>0</v>
      </c>
      <c r="R871" s="799">
        <v>442318</v>
      </c>
      <c r="S871" s="799">
        <v>94158</v>
      </c>
    </row>
    <row r="872" spans="1:19" x14ac:dyDescent="0.2">
      <c r="A872" s="761">
        <v>2016</v>
      </c>
      <c r="B872" s="761">
        <v>7</v>
      </c>
      <c r="C872" s="796" t="s">
        <v>279</v>
      </c>
      <c r="D872" s="796"/>
      <c r="E872" s="796"/>
      <c r="F872" s="761">
        <v>4599</v>
      </c>
      <c r="G872" s="761" t="s">
        <v>644</v>
      </c>
      <c r="H872" s="799">
        <v>0</v>
      </c>
      <c r="I872" s="799">
        <v>913</v>
      </c>
      <c r="J872" s="799">
        <v>49750</v>
      </c>
      <c r="K872" s="799">
        <v>37579</v>
      </c>
      <c r="L872" s="799">
        <v>0</v>
      </c>
      <c r="M872" s="799">
        <v>187267</v>
      </c>
      <c r="N872" s="799">
        <v>2</v>
      </c>
      <c r="O872" s="799">
        <v>31579</v>
      </c>
      <c r="P872" s="799">
        <v>18877</v>
      </c>
      <c r="Q872" s="799">
        <v>0</v>
      </c>
      <c r="R872" s="799">
        <v>833</v>
      </c>
      <c r="S872" s="799">
        <v>34589</v>
      </c>
    </row>
    <row r="873" spans="1:19" x14ac:dyDescent="0.2">
      <c r="A873" s="761">
        <v>2016</v>
      </c>
      <c r="B873" s="761">
        <v>11</v>
      </c>
      <c r="C873" s="796" t="s">
        <v>280</v>
      </c>
      <c r="D873" s="796"/>
      <c r="E873" s="796"/>
      <c r="F873" s="761">
        <v>4617</v>
      </c>
      <c r="G873" s="761" t="s">
        <v>1194</v>
      </c>
      <c r="H873" s="799">
        <v>69102</v>
      </c>
      <c r="I873" s="799">
        <v>0</v>
      </c>
      <c r="J873" s="799">
        <v>0</v>
      </c>
      <c r="K873" s="799">
        <v>36155</v>
      </c>
      <c r="L873" s="799">
        <v>0</v>
      </c>
      <c r="M873" s="799">
        <v>106917</v>
      </c>
      <c r="N873" s="799">
        <v>336</v>
      </c>
      <c r="O873" s="799">
        <v>43956</v>
      </c>
      <c r="P873" s="799">
        <v>15782</v>
      </c>
      <c r="Q873" s="799">
        <v>0</v>
      </c>
      <c r="R873" s="799">
        <v>68198</v>
      </c>
      <c r="S873" s="799">
        <v>41011</v>
      </c>
    </row>
    <row r="874" spans="1:19" x14ac:dyDescent="0.2">
      <c r="A874" s="761">
        <v>2016</v>
      </c>
      <c r="B874" s="761">
        <v>5</v>
      </c>
      <c r="C874" s="796" t="s">
        <v>281</v>
      </c>
      <c r="D874" s="796"/>
      <c r="E874" s="796"/>
      <c r="F874" s="761">
        <v>4644</v>
      </c>
      <c r="G874" s="761" t="s">
        <v>645</v>
      </c>
      <c r="H874" s="799">
        <v>23019</v>
      </c>
      <c r="I874" s="799">
        <v>0</v>
      </c>
      <c r="J874" s="799">
        <v>1866</v>
      </c>
      <c r="K874" s="799">
        <v>0</v>
      </c>
      <c r="L874" s="799">
        <v>17841</v>
      </c>
      <c r="M874" s="799">
        <v>251573</v>
      </c>
      <c r="N874" s="799">
        <v>25072</v>
      </c>
      <c r="O874" s="799">
        <v>16325</v>
      </c>
      <c r="P874" s="799">
        <v>28212</v>
      </c>
      <c r="Q874" s="799">
        <v>0</v>
      </c>
      <c r="R874" s="799">
        <v>5274</v>
      </c>
      <c r="S874" s="799">
        <v>49783</v>
      </c>
    </row>
    <row r="875" spans="1:19" x14ac:dyDescent="0.2">
      <c r="A875" s="761">
        <v>2016</v>
      </c>
      <c r="B875" s="761">
        <v>1</v>
      </c>
      <c r="C875" s="796" t="s">
        <v>282</v>
      </c>
      <c r="D875" s="796"/>
      <c r="E875" s="796"/>
      <c r="F875" s="761">
        <v>4662</v>
      </c>
      <c r="G875" s="761" t="s">
        <v>1195</v>
      </c>
      <c r="H875" s="799">
        <v>0</v>
      </c>
      <c r="I875" s="799">
        <v>0</v>
      </c>
      <c r="J875" s="799">
        <v>0</v>
      </c>
      <c r="K875" s="799">
        <v>89230</v>
      </c>
      <c r="L875" s="799">
        <v>0</v>
      </c>
      <c r="M875" s="799">
        <v>0</v>
      </c>
      <c r="N875" s="799">
        <v>77005</v>
      </c>
      <c r="O875" s="799">
        <v>1780</v>
      </c>
      <c r="P875" s="799">
        <v>7167</v>
      </c>
      <c r="Q875" s="799">
        <v>0</v>
      </c>
      <c r="R875" s="799">
        <v>4584</v>
      </c>
      <c r="S875" s="799">
        <v>6484</v>
      </c>
    </row>
    <row r="876" spans="1:19" x14ac:dyDescent="0.2">
      <c r="A876" s="761">
        <v>2016</v>
      </c>
      <c r="B876" s="761">
        <v>15</v>
      </c>
      <c r="C876" s="796" t="s">
        <v>283</v>
      </c>
      <c r="D876" s="796"/>
      <c r="E876" s="796"/>
      <c r="F876" s="761">
        <v>4689</v>
      </c>
      <c r="G876" s="761" t="s">
        <v>1196</v>
      </c>
      <c r="H876" s="799">
        <v>2577</v>
      </c>
      <c r="I876" s="799">
        <v>0</v>
      </c>
      <c r="J876" s="799">
        <v>0</v>
      </c>
      <c r="K876" s="799">
        <v>0</v>
      </c>
      <c r="L876" s="799">
        <v>43826</v>
      </c>
      <c r="M876" s="799">
        <v>4165</v>
      </c>
      <c r="N876" s="799">
        <v>0</v>
      </c>
      <c r="O876" s="799">
        <v>975</v>
      </c>
      <c r="P876" s="799">
        <v>4629</v>
      </c>
      <c r="Q876" s="799">
        <v>0</v>
      </c>
      <c r="R876" s="799">
        <v>0</v>
      </c>
      <c r="S876" s="799">
        <v>29738</v>
      </c>
    </row>
    <row r="877" spans="1:19" x14ac:dyDescent="0.2">
      <c r="A877" s="761">
        <v>2016</v>
      </c>
      <c r="B877" s="761">
        <v>11</v>
      </c>
      <c r="C877" s="796" t="s">
        <v>284</v>
      </c>
      <c r="D877" s="796"/>
      <c r="E877" s="796"/>
      <c r="F877" s="761">
        <v>4725</v>
      </c>
      <c r="G877" s="761" t="s">
        <v>1197</v>
      </c>
      <c r="H877" s="799">
        <v>65919</v>
      </c>
      <c r="I877" s="799">
        <v>0</v>
      </c>
      <c r="J877" s="799">
        <v>73778</v>
      </c>
      <c r="K877" s="799">
        <v>96010</v>
      </c>
      <c r="L877" s="799">
        <v>0</v>
      </c>
      <c r="M877" s="799">
        <v>74340</v>
      </c>
      <c r="N877" s="799">
        <v>117408</v>
      </c>
      <c r="O877" s="799">
        <v>17985</v>
      </c>
      <c r="P877" s="799">
        <v>76231</v>
      </c>
      <c r="Q877" s="799">
        <v>0</v>
      </c>
      <c r="R877" s="799">
        <v>6997</v>
      </c>
      <c r="S877" s="799">
        <v>245657</v>
      </c>
    </row>
    <row r="878" spans="1:19" x14ac:dyDescent="0.2">
      <c r="A878" s="761">
        <v>2016</v>
      </c>
      <c r="B878" s="761">
        <v>7</v>
      </c>
      <c r="C878" s="796" t="s">
        <v>285</v>
      </c>
      <c r="D878" s="796"/>
      <c r="E878" s="796"/>
      <c r="F878" s="761">
        <v>4772</v>
      </c>
      <c r="G878" s="761" t="s">
        <v>1479</v>
      </c>
      <c r="H878" s="799">
        <v>0</v>
      </c>
      <c r="I878" s="799">
        <v>0</v>
      </c>
      <c r="J878" s="799">
        <v>96123</v>
      </c>
      <c r="K878" s="799">
        <v>112581</v>
      </c>
      <c r="L878" s="799">
        <v>0</v>
      </c>
      <c r="M878" s="799">
        <v>0</v>
      </c>
      <c r="N878" s="799">
        <v>0</v>
      </c>
      <c r="O878" s="799">
        <v>63589</v>
      </c>
      <c r="P878" s="799">
        <v>43222</v>
      </c>
      <c r="Q878" s="799">
        <v>0</v>
      </c>
      <c r="R878" s="799">
        <v>2568</v>
      </c>
      <c r="S878" s="799">
        <v>30698</v>
      </c>
    </row>
    <row r="879" spans="1:19" x14ac:dyDescent="0.2">
      <c r="A879" s="761">
        <v>2016</v>
      </c>
      <c r="B879" s="761">
        <v>9</v>
      </c>
      <c r="C879" s="796" t="s">
        <v>286</v>
      </c>
      <c r="D879" s="796"/>
      <c r="E879" s="796"/>
      <c r="F879" s="761">
        <v>4773</v>
      </c>
      <c r="G879" s="761" t="s">
        <v>1198</v>
      </c>
      <c r="H879" s="799">
        <v>9077</v>
      </c>
      <c r="I879" s="799">
        <v>11723</v>
      </c>
      <c r="J879" s="799">
        <v>0</v>
      </c>
      <c r="K879" s="799">
        <v>31420</v>
      </c>
      <c r="L879" s="799">
        <v>0</v>
      </c>
      <c r="M879" s="799">
        <v>0</v>
      </c>
      <c r="N879" s="799">
        <v>30801</v>
      </c>
      <c r="O879" s="799">
        <v>7468</v>
      </c>
      <c r="P879" s="799">
        <v>6711</v>
      </c>
      <c r="Q879" s="799">
        <v>0</v>
      </c>
      <c r="R879" s="799">
        <v>56270</v>
      </c>
      <c r="S879" s="799">
        <v>52112</v>
      </c>
    </row>
    <row r="880" spans="1:19" x14ac:dyDescent="0.2">
      <c r="A880" s="761">
        <v>2016</v>
      </c>
      <c r="B880" s="761">
        <v>1</v>
      </c>
      <c r="C880" s="796" t="s">
        <v>287</v>
      </c>
      <c r="D880" s="796"/>
      <c r="E880" s="796"/>
      <c r="F880" s="761">
        <v>4774</v>
      </c>
      <c r="G880" s="761" t="s">
        <v>1199</v>
      </c>
      <c r="H880" s="799">
        <v>6481</v>
      </c>
      <c r="I880" s="799">
        <v>1516</v>
      </c>
      <c r="J880" s="799">
        <v>0</v>
      </c>
      <c r="K880" s="799">
        <v>179321</v>
      </c>
      <c r="L880" s="799">
        <v>0</v>
      </c>
      <c r="M880" s="799">
        <v>128079</v>
      </c>
      <c r="N880" s="799">
        <v>56227</v>
      </c>
      <c r="O880" s="799">
        <v>7254</v>
      </c>
      <c r="P880" s="799">
        <v>0</v>
      </c>
      <c r="Q880" s="799">
        <v>0</v>
      </c>
      <c r="R880" s="799">
        <v>47450</v>
      </c>
      <c r="S880" s="799">
        <v>28685</v>
      </c>
    </row>
    <row r="881" spans="1:19" x14ac:dyDescent="0.2">
      <c r="A881" s="761">
        <v>2016</v>
      </c>
      <c r="B881" s="761">
        <v>5</v>
      </c>
      <c r="C881" s="796" t="s">
        <v>288</v>
      </c>
      <c r="D881" s="796"/>
      <c r="E881" s="796"/>
      <c r="F881" s="761">
        <v>4775</v>
      </c>
      <c r="G881" s="761" t="s">
        <v>1200</v>
      </c>
      <c r="H881" s="799">
        <v>0</v>
      </c>
      <c r="I881" s="799">
        <v>0</v>
      </c>
      <c r="J881" s="799">
        <v>2369</v>
      </c>
      <c r="K881" s="799">
        <v>307</v>
      </c>
      <c r="L881" s="799">
        <v>1649</v>
      </c>
      <c r="M881" s="799">
        <v>0</v>
      </c>
      <c r="N881" s="799">
        <v>0</v>
      </c>
      <c r="O881" s="799">
        <v>11846</v>
      </c>
      <c r="P881" s="799">
        <v>10226</v>
      </c>
      <c r="Q881" s="799">
        <v>0</v>
      </c>
      <c r="R881" s="799">
        <v>1050</v>
      </c>
      <c r="S881" s="799">
        <v>36535</v>
      </c>
    </row>
    <row r="882" spans="1:19" x14ac:dyDescent="0.2">
      <c r="A882" s="761">
        <v>2016</v>
      </c>
      <c r="B882" s="761">
        <v>15</v>
      </c>
      <c r="C882" s="796" t="s">
        <v>289</v>
      </c>
      <c r="D882" s="796"/>
      <c r="E882" s="796"/>
      <c r="F882" s="761">
        <v>4776</v>
      </c>
      <c r="G882" s="761" t="s">
        <v>1201</v>
      </c>
      <c r="H882" s="799">
        <v>40752</v>
      </c>
      <c r="I882" s="799">
        <v>0</v>
      </c>
      <c r="J882" s="799">
        <v>0</v>
      </c>
      <c r="K882" s="799">
        <v>0</v>
      </c>
      <c r="L882" s="799">
        <v>0</v>
      </c>
      <c r="M882" s="799">
        <v>65085</v>
      </c>
      <c r="N882" s="799">
        <v>48907</v>
      </c>
      <c r="O882" s="799">
        <v>3723</v>
      </c>
      <c r="P882" s="799">
        <v>0</v>
      </c>
      <c r="Q882" s="799">
        <v>0</v>
      </c>
      <c r="R882" s="799">
        <v>0</v>
      </c>
      <c r="S882" s="799">
        <v>31368</v>
      </c>
    </row>
    <row r="883" spans="1:19" x14ac:dyDescent="0.2">
      <c r="A883" s="761">
        <v>2016</v>
      </c>
      <c r="B883" s="761">
        <v>10</v>
      </c>
      <c r="C883" s="796" t="s">
        <v>290</v>
      </c>
      <c r="D883" s="796"/>
      <c r="E883" s="796"/>
      <c r="F883" s="761">
        <v>4777</v>
      </c>
      <c r="G883" s="761" t="s">
        <v>1237</v>
      </c>
      <c r="H883" s="799">
        <v>14002</v>
      </c>
      <c r="I883" s="799">
        <v>3714</v>
      </c>
      <c r="J883" s="799">
        <v>0</v>
      </c>
      <c r="K883" s="799">
        <v>0</v>
      </c>
      <c r="L883" s="799">
        <v>0</v>
      </c>
      <c r="M883" s="799">
        <v>74031</v>
      </c>
      <c r="N883" s="799">
        <v>36538</v>
      </c>
      <c r="O883" s="799">
        <v>4382</v>
      </c>
      <c r="P883" s="799">
        <v>2922</v>
      </c>
      <c r="Q883" s="799">
        <v>0</v>
      </c>
      <c r="R883" s="799">
        <v>0</v>
      </c>
      <c r="S883" s="799">
        <v>23638</v>
      </c>
    </row>
    <row r="884" spans="1:19" x14ac:dyDescent="0.2">
      <c r="A884" s="761">
        <v>2016</v>
      </c>
      <c r="B884" s="761">
        <v>5</v>
      </c>
      <c r="C884" s="796" t="s">
        <v>291</v>
      </c>
      <c r="D884" s="796"/>
      <c r="E884" s="796"/>
      <c r="F884" s="761">
        <v>4778</v>
      </c>
      <c r="G884" s="761" t="s">
        <v>1238</v>
      </c>
      <c r="H884" s="799">
        <v>0</v>
      </c>
      <c r="I884" s="799">
        <v>0</v>
      </c>
      <c r="J884" s="799">
        <v>12309</v>
      </c>
      <c r="K884" s="799">
        <v>18224</v>
      </c>
      <c r="L884" s="799">
        <v>0</v>
      </c>
      <c r="M884" s="799">
        <v>0</v>
      </c>
      <c r="N884" s="799">
        <v>0</v>
      </c>
      <c r="O884" s="799">
        <v>20877</v>
      </c>
      <c r="P884" s="799">
        <v>6434</v>
      </c>
      <c r="Q884" s="799">
        <v>0</v>
      </c>
      <c r="R884" s="799">
        <v>0</v>
      </c>
      <c r="S884" s="799">
        <v>8422</v>
      </c>
    </row>
    <row r="885" spans="1:19" x14ac:dyDescent="0.2">
      <c r="A885" s="761">
        <v>2016</v>
      </c>
      <c r="B885" s="761">
        <v>11</v>
      </c>
      <c r="C885" s="796" t="s">
        <v>292</v>
      </c>
      <c r="D885" s="796"/>
      <c r="E885" s="796"/>
      <c r="F885" s="761">
        <v>4779</v>
      </c>
      <c r="G885" s="761" t="s">
        <v>1239</v>
      </c>
      <c r="H885" s="799">
        <v>116140</v>
      </c>
      <c r="I885" s="799">
        <v>0</v>
      </c>
      <c r="J885" s="799">
        <v>206185</v>
      </c>
      <c r="K885" s="799">
        <v>8111</v>
      </c>
      <c r="L885" s="799">
        <v>0</v>
      </c>
      <c r="M885" s="799">
        <v>38321</v>
      </c>
      <c r="N885" s="799">
        <v>30222</v>
      </c>
      <c r="O885" s="799">
        <v>26680</v>
      </c>
      <c r="P885" s="799">
        <v>10827</v>
      </c>
      <c r="Q885" s="799">
        <v>0</v>
      </c>
      <c r="R885" s="799">
        <v>79582</v>
      </c>
      <c r="S885" s="799">
        <v>863</v>
      </c>
    </row>
    <row r="886" spans="1:19" x14ac:dyDescent="0.2">
      <c r="A886" s="761">
        <v>2016</v>
      </c>
      <c r="B886" s="761">
        <v>9</v>
      </c>
      <c r="C886" s="796" t="s">
        <v>293</v>
      </c>
      <c r="D886" s="796"/>
      <c r="E886" s="796"/>
      <c r="F886" s="761">
        <v>4784</v>
      </c>
      <c r="G886" s="761" t="s">
        <v>1243</v>
      </c>
      <c r="H886" s="799">
        <v>0</v>
      </c>
      <c r="I886" s="799">
        <v>0</v>
      </c>
      <c r="J886" s="799">
        <v>263</v>
      </c>
      <c r="K886" s="799">
        <v>78960</v>
      </c>
      <c r="L886" s="799">
        <v>0</v>
      </c>
      <c r="M886" s="799">
        <v>209596</v>
      </c>
      <c r="N886" s="799">
        <v>93054</v>
      </c>
      <c r="O886" s="799">
        <v>74404</v>
      </c>
      <c r="P886" s="799">
        <v>32680</v>
      </c>
      <c r="Q886" s="799">
        <v>34498</v>
      </c>
      <c r="R886" s="799">
        <v>5482</v>
      </c>
      <c r="S886" s="799">
        <v>106465</v>
      </c>
    </row>
    <row r="887" spans="1:19" x14ac:dyDescent="0.2">
      <c r="A887" s="761">
        <v>2016</v>
      </c>
      <c r="B887" s="761">
        <v>7</v>
      </c>
      <c r="C887" s="796" t="s">
        <v>294</v>
      </c>
      <c r="D887" s="796"/>
      <c r="E887" s="796"/>
      <c r="F887" s="761">
        <v>4785</v>
      </c>
      <c r="G887" s="761" t="s">
        <v>1244</v>
      </c>
      <c r="H887" s="799">
        <v>27687</v>
      </c>
      <c r="I887" s="799">
        <v>0</v>
      </c>
      <c r="J887" s="799">
        <v>103920</v>
      </c>
      <c r="K887" s="799">
        <v>90477</v>
      </c>
      <c r="L887" s="799">
        <v>0</v>
      </c>
      <c r="M887" s="799">
        <v>0</v>
      </c>
      <c r="N887" s="799">
        <v>4104</v>
      </c>
      <c r="O887" s="799">
        <v>18664</v>
      </c>
      <c r="P887" s="799">
        <v>49837</v>
      </c>
      <c r="Q887" s="799">
        <v>0</v>
      </c>
      <c r="R887" s="799">
        <v>0</v>
      </c>
      <c r="S887" s="799">
        <v>31428</v>
      </c>
    </row>
    <row r="888" spans="1:19" x14ac:dyDescent="0.2">
      <c r="A888" s="761">
        <v>2016</v>
      </c>
      <c r="B888" s="761">
        <v>1</v>
      </c>
      <c r="C888" s="796" t="s">
        <v>295</v>
      </c>
      <c r="D888" s="796"/>
      <c r="E888" s="796"/>
      <c r="F888" s="761">
        <v>4787</v>
      </c>
      <c r="G888" s="761" t="s">
        <v>1245</v>
      </c>
      <c r="H888" s="799">
        <v>0</v>
      </c>
      <c r="I888" s="799">
        <v>0</v>
      </c>
      <c r="J888" s="799">
        <v>0</v>
      </c>
      <c r="K888" s="799">
        <v>0</v>
      </c>
      <c r="L888" s="799">
        <v>0</v>
      </c>
      <c r="M888" s="799">
        <v>0</v>
      </c>
      <c r="N888" s="799">
        <v>0</v>
      </c>
      <c r="O888" s="799">
        <v>0</v>
      </c>
      <c r="P888" s="799">
        <v>0</v>
      </c>
      <c r="Q888" s="799">
        <v>0</v>
      </c>
      <c r="R888" s="799">
        <v>0</v>
      </c>
      <c r="S888" s="799">
        <v>6046</v>
      </c>
    </row>
    <row r="889" spans="1:19" x14ac:dyDescent="0.2">
      <c r="A889" s="761">
        <v>2016</v>
      </c>
      <c r="B889" s="761">
        <v>7</v>
      </c>
      <c r="C889" s="796" t="s">
        <v>296</v>
      </c>
      <c r="D889" s="796"/>
      <c r="E889" s="796"/>
      <c r="F889" s="761">
        <v>4788</v>
      </c>
      <c r="G889" s="761" t="s">
        <v>1246</v>
      </c>
      <c r="H889" s="799">
        <v>0</v>
      </c>
      <c r="I889" s="799">
        <v>0</v>
      </c>
      <c r="J889" s="799">
        <v>3946</v>
      </c>
      <c r="K889" s="799">
        <v>0</v>
      </c>
      <c r="L889" s="799">
        <v>0</v>
      </c>
      <c r="M889" s="799">
        <v>71462</v>
      </c>
      <c r="N889" s="799">
        <v>3647</v>
      </c>
      <c r="O889" s="799">
        <v>35343</v>
      </c>
      <c r="P889" s="799">
        <v>10778</v>
      </c>
      <c r="Q889" s="799">
        <v>0</v>
      </c>
      <c r="R889" s="799">
        <v>795</v>
      </c>
      <c r="S889" s="799">
        <v>44778</v>
      </c>
    </row>
    <row r="890" spans="1:19" x14ac:dyDescent="0.2">
      <c r="A890" s="761">
        <v>2016</v>
      </c>
      <c r="B890" s="761">
        <v>11</v>
      </c>
      <c r="C890" s="796" t="s">
        <v>297</v>
      </c>
      <c r="D890" s="796"/>
      <c r="E890" s="796"/>
      <c r="F890" s="761">
        <v>4797</v>
      </c>
      <c r="G890" s="761" t="s">
        <v>1247</v>
      </c>
      <c r="H890" s="799">
        <v>0</v>
      </c>
      <c r="I890" s="799">
        <v>0</v>
      </c>
      <c r="J890" s="799">
        <v>281643</v>
      </c>
      <c r="K890" s="799">
        <v>0</v>
      </c>
      <c r="L890" s="799">
        <v>0</v>
      </c>
      <c r="M890" s="799">
        <v>321035</v>
      </c>
      <c r="N890" s="799">
        <v>0</v>
      </c>
      <c r="O890" s="799">
        <v>0</v>
      </c>
      <c r="P890" s="799">
        <v>22207</v>
      </c>
      <c r="Q890" s="799">
        <v>0</v>
      </c>
      <c r="R890" s="799">
        <v>0</v>
      </c>
      <c r="S890" s="799">
        <v>42060</v>
      </c>
    </row>
    <row r="891" spans="1:19" x14ac:dyDescent="0.2">
      <c r="A891" s="761">
        <v>2016</v>
      </c>
      <c r="B891" s="761">
        <v>13</v>
      </c>
      <c r="C891" s="796" t="s">
        <v>298</v>
      </c>
      <c r="D891" s="796"/>
      <c r="E891" s="796"/>
      <c r="F891" s="761">
        <v>5510</v>
      </c>
      <c r="G891" s="761" t="s">
        <v>1248</v>
      </c>
      <c r="H891" s="799">
        <v>0</v>
      </c>
      <c r="I891" s="799">
        <v>17941</v>
      </c>
      <c r="J891" s="799">
        <v>6353</v>
      </c>
      <c r="K891" s="799">
        <v>73526</v>
      </c>
      <c r="L891" s="799">
        <v>0</v>
      </c>
      <c r="M891" s="799">
        <v>0</v>
      </c>
      <c r="N891" s="799">
        <v>32</v>
      </c>
      <c r="O891" s="799">
        <v>21106</v>
      </c>
      <c r="P891" s="799">
        <v>23755</v>
      </c>
      <c r="Q891" s="799">
        <v>0</v>
      </c>
      <c r="R891" s="799">
        <v>0</v>
      </c>
      <c r="S891" s="799">
        <v>20138</v>
      </c>
    </row>
    <row r="892" spans="1:19" x14ac:dyDescent="0.2">
      <c r="A892" s="761">
        <v>2016</v>
      </c>
      <c r="B892" s="761">
        <v>5</v>
      </c>
      <c r="C892" s="796" t="s">
        <v>299</v>
      </c>
      <c r="D892" s="796"/>
      <c r="E892" s="796"/>
      <c r="F892" s="761">
        <v>4860</v>
      </c>
      <c r="G892" s="761" t="s">
        <v>1249</v>
      </c>
      <c r="H892" s="799">
        <v>0</v>
      </c>
      <c r="I892" s="799">
        <v>0</v>
      </c>
      <c r="J892" s="799">
        <v>87859</v>
      </c>
      <c r="K892" s="799">
        <v>0</v>
      </c>
      <c r="L892" s="799">
        <v>14652</v>
      </c>
      <c r="M892" s="799">
        <v>0</v>
      </c>
      <c r="N892" s="799">
        <v>110</v>
      </c>
      <c r="O892" s="799">
        <v>1964</v>
      </c>
      <c r="P892" s="799">
        <v>8189</v>
      </c>
      <c r="Q892" s="799">
        <v>0</v>
      </c>
      <c r="R892" s="799">
        <v>1214</v>
      </c>
      <c r="S892" s="799">
        <v>29193</v>
      </c>
    </row>
    <row r="893" spans="1:19" x14ac:dyDescent="0.2">
      <c r="A893" s="761">
        <v>2016</v>
      </c>
      <c r="B893" s="761">
        <v>1</v>
      </c>
      <c r="C893" s="796" t="s">
        <v>300</v>
      </c>
      <c r="D893" s="796"/>
      <c r="E893" s="796"/>
      <c r="F893" s="761">
        <v>4869</v>
      </c>
      <c r="G893" s="761" t="s">
        <v>1250</v>
      </c>
      <c r="H893" s="799">
        <v>0</v>
      </c>
      <c r="I893" s="799">
        <v>0</v>
      </c>
      <c r="J893" s="799">
        <v>0</v>
      </c>
      <c r="K893" s="799">
        <v>51820</v>
      </c>
      <c r="L893" s="799">
        <v>0</v>
      </c>
      <c r="M893" s="799">
        <v>219272</v>
      </c>
      <c r="N893" s="799">
        <v>127818</v>
      </c>
      <c r="O893" s="799">
        <v>12622</v>
      </c>
      <c r="P893" s="799">
        <v>31145</v>
      </c>
      <c r="Q893" s="799">
        <v>0</v>
      </c>
      <c r="R893" s="799">
        <v>97750</v>
      </c>
      <c r="S893" s="799">
        <v>443778</v>
      </c>
    </row>
    <row r="894" spans="1:19" x14ac:dyDescent="0.2">
      <c r="A894" s="761">
        <v>2016</v>
      </c>
      <c r="B894" s="761">
        <v>11</v>
      </c>
      <c r="C894" s="796" t="s">
        <v>301</v>
      </c>
      <c r="D894" s="796"/>
      <c r="E894" s="796"/>
      <c r="F894" s="761">
        <v>4878</v>
      </c>
      <c r="G894" s="761" t="s">
        <v>1251</v>
      </c>
      <c r="H894" s="799">
        <v>94508</v>
      </c>
      <c r="I894" s="799">
        <v>29394</v>
      </c>
      <c r="J894" s="799">
        <v>46095</v>
      </c>
      <c r="K894" s="799">
        <v>137578</v>
      </c>
      <c r="L894" s="799">
        <v>0</v>
      </c>
      <c r="M894" s="799">
        <v>0</v>
      </c>
      <c r="N894" s="799">
        <v>7401</v>
      </c>
      <c r="O894" s="799">
        <v>58654</v>
      </c>
      <c r="P894" s="799">
        <v>61678</v>
      </c>
      <c r="Q894" s="799">
        <v>1280</v>
      </c>
      <c r="R894" s="799">
        <v>806</v>
      </c>
      <c r="S894" s="799">
        <v>37868</v>
      </c>
    </row>
    <row r="895" spans="1:19" x14ac:dyDescent="0.2">
      <c r="A895" s="761">
        <v>2016</v>
      </c>
      <c r="B895" s="761">
        <v>5</v>
      </c>
      <c r="C895" s="796" t="s">
        <v>302</v>
      </c>
      <c r="D895" s="796"/>
      <c r="E895" s="796"/>
      <c r="F895" s="761">
        <v>4890</v>
      </c>
      <c r="G895" s="761" t="s">
        <v>1252</v>
      </c>
      <c r="H895" s="799">
        <v>0</v>
      </c>
      <c r="I895" s="799">
        <v>0</v>
      </c>
      <c r="J895" s="799">
        <v>0</v>
      </c>
      <c r="K895" s="799">
        <v>10989</v>
      </c>
      <c r="L895" s="799">
        <v>0</v>
      </c>
      <c r="M895" s="799">
        <v>219138</v>
      </c>
      <c r="N895" s="799">
        <v>22464</v>
      </c>
      <c r="O895" s="799">
        <v>69502</v>
      </c>
      <c r="P895" s="799">
        <v>19087</v>
      </c>
      <c r="Q895" s="799">
        <v>0</v>
      </c>
      <c r="R895" s="799">
        <v>916</v>
      </c>
      <c r="S895" s="799">
        <v>41470</v>
      </c>
    </row>
    <row r="896" spans="1:19" x14ac:dyDescent="0.2">
      <c r="A896" s="761">
        <v>2016</v>
      </c>
      <c r="B896" s="761">
        <v>10</v>
      </c>
      <c r="C896" s="796" t="s">
        <v>303</v>
      </c>
      <c r="D896" s="796"/>
      <c r="E896" s="796"/>
      <c r="F896" s="761">
        <v>4905</v>
      </c>
      <c r="G896" s="761" t="s">
        <v>1253</v>
      </c>
      <c r="H896" s="799">
        <v>12334</v>
      </c>
      <c r="I896" s="799">
        <v>0</v>
      </c>
      <c r="J896" s="799">
        <v>7393</v>
      </c>
      <c r="K896" s="799">
        <v>46868</v>
      </c>
      <c r="L896" s="799">
        <v>0</v>
      </c>
      <c r="M896" s="799">
        <v>0</v>
      </c>
      <c r="N896" s="799">
        <v>17088</v>
      </c>
      <c r="O896" s="799">
        <v>9394</v>
      </c>
      <c r="P896" s="799">
        <v>4499</v>
      </c>
      <c r="Q896" s="799">
        <v>0</v>
      </c>
      <c r="R896" s="799">
        <v>3014</v>
      </c>
      <c r="S896" s="799">
        <v>19175</v>
      </c>
    </row>
    <row r="897" spans="1:19" x14ac:dyDescent="0.2">
      <c r="A897" s="761">
        <v>2016</v>
      </c>
      <c r="B897" s="761">
        <v>13</v>
      </c>
      <c r="C897" s="796" t="s">
        <v>304</v>
      </c>
      <c r="D897" s="796"/>
      <c r="E897" s="796"/>
      <c r="F897" s="761">
        <v>4978</v>
      </c>
      <c r="G897" s="761" t="s">
        <v>1254</v>
      </c>
      <c r="H897" s="799">
        <v>0</v>
      </c>
      <c r="I897" s="799">
        <v>0</v>
      </c>
      <c r="J897" s="799">
        <v>0</v>
      </c>
      <c r="K897" s="799">
        <v>0</v>
      </c>
      <c r="L897" s="799">
        <v>9577</v>
      </c>
      <c r="M897" s="799">
        <v>0</v>
      </c>
      <c r="N897" s="799">
        <v>0</v>
      </c>
      <c r="O897" s="799">
        <v>30350</v>
      </c>
      <c r="P897" s="799">
        <v>15843</v>
      </c>
      <c r="Q897" s="799">
        <v>0</v>
      </c>
      <c r="R897" s="799">
        <v>5271</v>
      </c>
      <c r="S897" s="799">
        <v>36130</v>
      </c>
    </row>
    <row r="898" spans="1:19" x14ac:dyDescent="0.2">
      <c r="A898" s="761">
        <v>2016</v>
      </c>
      <c r="B898" s="761">
        <v>7</v>
      </c>
      <c r="C898" s="796" t="s">
        <v>305</v>
      </c>
      <c r="D898" s="796"/>
      <c r="E898" s="796"/>
      <c r="F898" s="761">
        <v>4995</v>
      </c>
      <c r="G898" s="761" t="s">
        <v>1255</v>
      </c>
      <c r="H898" s="799">
        <v>0</v>
      </c>
      <c r="I898" s="799">
        <v>0</v>
      </c>
      <c r="J898" s="799">
        <v>0</v>
      </c>
      <c r="K898" s="799">
        <v>114152</v>
      </c>
      <c r="L898" s="799">
        <v>0</v>
      </c>
      <c r="M898" s="799">
        <v>45556</v>
      </c>
      <c r="N898" s="799">
        <v>0</v>
      </c>
      <c r="O898" s="799">
        <v>89085</v>
      </c>
      <c r="P898" s="799">
        <v>103133</v>
      </c>
      <c r="Q898" s="799">
        <v>0</v>
      </c>
      <c r="R898" s="799">
        <v>0</v>
      </c>
      <c r="S898" s="799">
        <v>56091</v>
      </c>
    </row>
    <row r="899" spans="1:19" x14ac:dyDescent="0.2">
      <c r="A899" s="761">
        <v>2016</v>
      </c>
      <c r="B899" s="761">
        <v>15</v>
      </c>
      <c r="C899" s="796" t="s">
        <v>306</v>
      </c>
      <c r="D899" s="796"/>
      <c r="E899" s="796"/>
      <c r="F899" s="761">
        <v>5013</v>
      </c>
      <c r="G899" s="761" t="s">
        <v>1256</v>
      </c>
      <c r="H899" s="799">
        <v>0</v>
      </c>
      <c r="I899" s="799">
        <v>0</v>
      </c>
      <c r="J899" s="799">
        <v>0</v>
      </c>
      <c r="K899" s="799">
        <v>93098</v>
      </c>
      <c r="L899" s="799">
        <v>0</v>
      </c>
      <c r="M899" s="799">
        <v>0</v>
      </c>
      <c r="N899" s="799">
        <v>36727</v>
      </c>
      <c r="O899" s="799">
        <v>89495</v>
      </c>
      <c r="P899" s="799">
        <v>43507</v>
      </c>
      <c r="Q899" s="799">
        <v>0</v>
      </c>
      <c r="R899" s="799">
        <v>58654</v>
      </c>
      <c r="S899" s="799">
        <v>82005</v>
      </c>
    </row>
    <row r="900" spans="1:19" x14ac:dyDescent="0.2">
      <c r="A900" s="761">
        <v>2016</v>
      </c>
      <c r="B900" s="761">
        <v>15</v>
      </c>
      <c r="C900" s="796" t="s">
        <v>307</v>
      </c>
      <c r="D900" s="796"/>
      <c r="E900" s="796"/>
      <c r="F900" s="761">
        <v>5049</v>
      </c>
      <c r="G900" s="761" t="s">
        <v>1257</v>
      </c>
      <c r="H900" s="799">
        <v>111203</v>
      </c>
      <c r="I900" s="799">
        <v>0</v>
      </c>
      <c r="J900" s="799">
        <v>0</v>
      </c>
      <c r="K900" s="799">
        <v>219314</v>
      </c>
      <c r="L900" s="799">
        <v>0</v>
      </c>
      <c r="M900" s="799">
        <v>246088</v>
      </c>
      <c r="N900" s="799">
        <v>0</v>
      </c>
      <c r="O900" s="799">
        <v>9550</v>
      </c>
      <c r="P900" s="799">
        <v>341618</v>
      </c>
      <c r="Q900" s="799">
        <v>132116</v>
      </c>
      <c r="R900" s="799">
        <v>0</v>
      </c>
      <c r="S900" s="799">
        <v>186338</v>
      </c>
    </row>
    <row r="901" spans="1:19" x14ac:dyDescent="0.2">
      <c r="A901" s="761">
        <v>2016</v>
      </c>
      <c r="B901" s="761">
        <v>11</v>
      </c>
      <c r="C901" s="796" t="s">
        <v>308</v>
      </c>
      <c r="D901" s="796"/>
      <c r="E901" s="796"/>
      <c r="F901" s="761">
        <v>5121</v>
      </c>
      <c r="G901" s="761" t="s">
        <v>1258</v>
      </c>
      <c r="H901" s="799">
        <v>0</v>
      </c>
      <c r="I901" s="799">
        <v>0</v>
      </c>
      <c r="J901" s="799">
        <v>0</v>
      </c>
      <c r="K901" s="799">
        <v>59814</v>
      </c>
      <c r="L901" s="799">
        <v>0</v>
      </c>
      <c r="M901" s="799">
        <v>0</v>
      </c>
      <c r="N901" s="799">
        <v>6018</v>
      </c>
      <c r="O901" s="799">
        <v>0</v>
      </c>
      <c r="P901" s="799">
        <v>0</v>
      </c>
      <c r="Q901" s="799">
        <v>0</v>
      </c>
      <c r="R901" s="799">
        <v>5949</v>
      </c>
      <c r="S901" s="799">
        <v>14831</v>
      </c>
    </row>
    <row r="902" spans="1:19" x14ac:dyDescent="0.2">
      <c r="A902" s="761">
        <v>2016</v>
      </c>
      <c r="B902" s="761">
        <v>5</v>
      </c>
      <c r="C902" s="796" t="s">
        <v>309</v>
      </c>
      <c r="D902" s="796"/>
      <c r="E902" s="796"/>
      <c r="F902" s="761">
        <v>5139</v>
      </c>
      <c r="G902" s="761" t="s">
        <v>1259</v>
      </c>
      <c r="H902" s="799">
        <v>0</v>
      </c>
      <c r="I902" s="799">
        <v>0</v>
      </c>
      <c r="J902" s="799">
        <v>0</v>
      </c>
      <c r="K902" s="799">
        <v>1167</v>
      </c>
      <c r="L902" s="799">
        <v>0</v>
      </c>
      <c r="M902" s="799">
        <v>19554</v>
      </c>
      <c r="N902" s="799">
        <v>13578</v>
      </c>
      <c r="O902" s="799">
        <v>7532</v>
      </c>
      <c r="P902" s="799">
        <v>0</v>
      </c>
      <c r="Q902" s="799">
        <v>0</v>
      </c>
      <c r="R902" s="799">
        <v>1920</v>
      </c>
      <c r="S902" s="799">
        <v>9018</v>
      </c>
    </row>
    <row r="903" spans="1:19" x14ac:dyDescent="0.2">
      <c r="A903" s="761">
        <v>2016</v>
      </c>
      <c r="B903" s="761">
        <v>12</v>
      </c>
      <c r="C903" s="796" t="s">
        <v>310</v>
      </c>
      <c r="D903" s="796"/>
      <c r="E903" s="796"/>
      <c r="F903" s="761">
        <v>6099</v>
      </c>
      <c r="G903" s="761" t="s">
        <v>646</v>
      </c>
      <c r="H903" s="799">
        <v>0</v>
      </c>
      <c r="I903" s="799">
        <v>0</v>
      </c>
      <c r="J903" s="799">
        <v>0</v>
      </c>
      <c r="K903" s="799">
        <v>95667</v>
      </c>
      <c r="L903" s="799">
        <v>0</v>
      </c>
      <c r="M903" s="799">
        <v>32025</v>
      </c>
      <c r="N903" s="799">
        <v>10845</v>
      </c>
      <c r="O903" s="799">
        <v>23575</v>
      </c>
      <c r="P903" s="799">
        <v>22002</v>
      </c>
      <c r="Q903" s="799">
        <v>0</v>
      </c>
      <c r="R903" s="799">
        <v>1291</v>
      </c>
      <c r="S903" s="799">
        <v>70314</v>
      </c>
    </row>
    <row r="904" spans="1:19" x14ac:dyDescent="0.2">
      <c r="A904" s="761">
        <v>2016</v>
      </c>
      <c r="B904" s="761">
        <v>15</v>
      </c>
      <c r="C904" s="796" t="s">
        <v>311</v>
      </c>
      <c r="D904" s="796"/>
      <c r="E904" s="796"/>
      <c r="F904" s="761">
        <v>5163</v>
      </c>
      <c r="G904" s="761" t="s">
        <v>1260</v>
      </c>
      <c r="H904" s="799">
        <v>0</v>
      </c>
      <c r="I904" s="799">
        <v>0</v>
      </c>
      <c r="J904" s="799">
        <v>0</v>
      </c>
      <c r="K904" s="799">
        <v>113457</v>
      </c>
      <c r="L904" s="799">
        <v>0</v>
      </c>
      <c r="M904" s="799">
        <v>87111</v>
      </c>
      <c r="N904" s="799">
        <v>13356</v>
      </c>
      <c r="O904" s="799">
        <v>64660</v>
      </c>
      <c r="P904" s="799">
        <v>51473</v>
      </c>
      <c r="Q904" s="799">
        <v>0</v>
      </c>
      <c r="R904" s="799">
        <v>3743</v>
      </c>
      <c r="S904" s="799">
        <v>35084</v>
      </c>
    </row>
    <row r="905" spans="1:19" x14ac:dyDescent="0.2">
      <c r="A905" s="761">
        <v>2016</v>
      </c>
      <c r="B905" s="761">
        <v>11</v>
      </c>
      <c r="C905" s="796" t="s">
        <v>312</v>
      </c>
      <c r="D905" s="796"/>
      <c r="E905" s="796"/>
      <c r="F905" s="761">
        <v>5166</v>
      </c>
      <c r="G905" s="761" t="s">
        <v>1261</v>
      </c>
      <c r="H905" s="799">
        <v>0</v>
      </c>
      <c r="I905" s="799">
        <v>0</v>
      </c>
      <c r="J905" s="799">
        <v>0</v>
      </c>
      <c r="K905" s="799">
        <v>179261</v>
      </c>
      <c r="L905" s="799">
        <v>0</v>
      </c>
      <c r="M905" s="799">
        <v>75698</v>
      </c>
      <c r="N905" s="799">
        <v>103041</v>
      </c>
      <c r="O905" s="799">
        <v>153264</v>
      </c>
      <c r="P905" s="799">
        <v>104473</v>
      </c>
      <c r="Q905" s="799">
        <v>0</v>
      </c>
      <c r="R905" s="799">
        <v>0</v>
      </c>
      <c r="S905" s="799">
        <v>-1</v>
      </c>
    </row>
    <row r="906" spans="1:19" x14ac:dyDescent="0.2">
      <c r="A906" s="761">
        <v>2016</v>
      </c>
      <c r="B906" s="761">
        <v>11</v>
      </c>
      <c r="C906" s="796" t="s">
        <v>313</v>
      </c>
      <c r="D906" s="796"/>
      <c r="E906" s="796"/>
      <c r="F906" s="761">
        <v>5184</v>
      </c>
      <c r="G906" s="761" t="s">
        <v>1262</v>
      </c>
      <c r="H906" s="799">
        <v>0</v>
      </c>
      <c r="I906" s="799">
        <v>57889</v>
      </c>
      <c r="J906" s="799">
        <v>0</v>
      </c>
      <c r="K906" s="799">
        <v>155940</v>
      </c>
      <c r="L906" s="799">
        <v>0</v>
      </c>
      <c r="M906" s="799">
        <v>64896</v>
      </c>
      <c r="N906" s="799">
        <v>0</v>
      </c>
      <c r="O906" s="799">
        <v>58088</v>
      </c>
      <c r="P906" s="799">
        <v>76497</v>
      </c>
      <c r="Q906" s="799">
        <v>0</v>
      </c>
      <c r="R906" s="799">
        <v>0</v>
      </c>
      <c r="S906" s="799">
        <v>5333</v>
      </c>
    </row>
    <row r="907" spans="1:19" x14ac:dyDescent="0.2">
      <c r="A907" s="761">
        <v>2016</v>
      </c>
      <c r="B907" s="761">
        <v>9</v>
      </c>
      <c r="C907" s="796" t="s">
        <v>314</v>
      </c>
      <c r="D907" s="796"/>
      <c r="E907" s="796"/>
      <c r="F907" s="761">
        <v>5250</v>
      </c>
      <c r="G907" s="761" t="s">
        <v>1263</v>
      </c>
      <c r="H907" s="799">
        <v>17189</v>
      </c>
      <c r="I907" s="799">
        <v>24940</v>
      </c>
      <c r="J907" s="799">
        <v>35598</v>
      </c>
      <c r="K907" s="799">
        <v>16466</v>
      </c>
      <c r="L907" s="799">
        <v>0</v>
      </c>
      <c r="M907" s="799">
        <v>152562</v>
      </c>
      <c r="N907" s="799">
        <v>0</v>
      </c>
      <c r="O907" s="799">
        <v>1</v>
      </c>
      <c r="P907" s="799">
        <v>221229</v>
      </c>
      <c r="Q907" s="799">
        <v>0</v>
      </c>
      <c r="R907" s="799">
        <v>72120</v>
      </c>
      <c r="S907" s="799">
        <v>60418</v>
      </c>
    </row>
    <row r="908" spans="1:19" x14ac:dyDescent="0.2">
      <c r="A908" s="761">
        <v>2016</v>
      </c>
      <c r="B908" s="761">
        <v>11</v>
      </c>
      <c r="C908" s="796" t="s">
        <v>315</v>
      </c>
      <c r="D908" s="796"/>
      <c r="E908" s="796"/>
      <c r="F908" s="761">
        <v>5256</v>
      </c>
      <c r="G908" s="761" t="s">
        <v>1264</v>
      </c>
      <c r="H908" s="799">
        <v>0</v>
      </c>
      <c r="I908" s="799">
        <v>0</v>
      </c>
      <c r="J908" s="799">
        <v>0</v>
      </c>
      <c r="K908" s="799">
        <v>0</v>
      </c>
      <c r="L908" s="799">
        <v>0</v>
      </c>
      <c r="M908" s="799">
        <v>0</v>
      </c>
      <c r="N908" s="799">
        <v>0</v>
      </c>
      <c r="O908" s="799">
        <v>0</v>
      </c>
      <c r="P908" s="799">
        <v>0</v>
      </c>
      <c r="Q908" s="799">
        <v>0</v>
      </c>
      <c r="R908" s="799">
        <v>7360</v>
      </c>
      <c r="S908" s="799">
        <v>777</v>
      </c>
    </row>
    <row r="909" spans="1:19" x14ac:dyDescent="0.2">
      <c r="A909" s="761">
        <v>2016</v>
      </c>
      <c r="B909" s="761">
        <v>5</v>
      </c>
      <c r="C909" s="796" t="s">
        <v>316</v>
      </c>
      <c r="D909" s="796"/>
      <c r="E909" s="796"/>
      <c r="F909" s="761">
        <v>5283</v>
      </c>
      <c r="G909" s="761" t="s">
        <v>647</v>
      </c>
      <c r="H909" s="799">
        <v>0</v>
      </c>
      <c r="I909" s="799">
        <v>0</v>
      </c>
      <c r="J909" s="799">
        <v>0</v>
      </c>
      <c r="K909" s="799">
        <v>0</v>
      </c>
      <c r="L909" s="799">
        <v>0</v>
      </c>
      <c r="M909" s="799">
        <v>0</v>
      </c>
      <c r="N909" s="799">
        <v>25729</v>
      </c>
      <c r="O909" s="799">
        <v>6148</v>
      </c>
      <c r="P909" s="799">
        <v>5647</v>
      </c>
      <c r="Q909" s="799">
        <v>0</v>
      </c>
      <c r="R909" s="799">
        <v>0</v>
      </c>
      <c r="S909" s="799">
        <v>7153</v>
      </c>
    </row>
    <row r="910" spans="1:19" x14ac:dyDescent="0.2">
      <c r="A910" s="761">
        <v>2016</v>
      </c>
      <c r="B910" s="761">
        <v>1</v>
      </c>
      <c r="C910" s="796" t="s">
        <v>317</v>
      </c>
      <c r="D910" s="796"/>
      <c r="E910" s="796"/>
      <c r="F910" s="761">
        <v>5310</v>
      </c>
      <c r="G910" s="761" t="s">
        <v>1265</v>
      </c>
      <c r="H910" s="799">
        <v>297330</v>
      </c>
      <c r="I910" s="799">
        <v>321037</v>
      </c>
      <c r="J910" s="799">
        <v>210948</v>
      </c>
      <c r="K910" s="799">
        <v>70197</v>
      </c>
      <c r="L910" s="799">
        <v>0</v>
      </c>
      <c r="M910" s="799">
        <v>9328</v>
      </c>
      <c r="N910" s="799">
        <v>44094</v>
      </c>
      <c r="O910" s="799">
        <v>0</v>
      </c>
      <c r="P910" s="799">
        <v>27122</v>
      </c>
      <c r="Q910" s="799">
        <v>3077</v>
      </c>
      <c r="R910" s="799">
        <v>3458</v>
      </c>
      <c r="S910" s="799">
        <v>41975</v>
      </c>
    </row>
    <row r="911" spans="1:19" x14ac:dyDescent="0.2">
      <c r="A911" s="761">
        <v>2016</v>
      </c>
      <c r="B911" s="761">
        <v>11</v>
      </c>
      <c r="C911" s="796" t="s">
        <v>318</v>
      </c>
      <c r="D911" s="796"/>
      <c r="E911" s="796"/>
      <c r="F911" s="761">
        <v>5160</v>
      </c>
      <c r="G911" s="761" t="s">
        <v>648</v>
      </c>
      <c r="H911" s="799">
        <v>1322</v>
      </c>
      <c r="I911" s="799">
        <v>1231</v>
      </c>
      <c r="J911" s="799">
        <v>29313</v>
      </c>
      <c r="K911" s="799">
        <v>41485</v>
      </c>
      <c r="L911" s="799">
        <v>0</v>
      </c>
      <c r="M911" s="799">
        <v>89491</v>
      </c>
      <c r="N911" s="799">
        <v>3276</v>
      </c>
      <c r="O911" s="799">
        <v>72526</v>
      </c>
      <c r="P911" s="799">
        <v>27744</v>
      </c>
      <c r="Q911" s="799">
        <v>314</v>
      </c>
      <c r="R911" s="799">
        <v>0</v>
      </c>
      <c r="S911" s="799">
        <v>19583</v>
      </c>
    </row>
    <row r="912" spans="1:19" x14ac:dyDescent="0.2">
      <c r="A912" s="761">
        <v>2016</v>
      </c>
      <c r="B912" s="761">
        <v>5</v>
      </c>
      <c r="C912" s="796" t="s">
        <v>319</v>
      </c>
      <c r="D912" s="796"/>
      <c r="E912" s="796"/>
      <c r="F912" s="761">
        <v>5325</v>
      </c>
      <c r="G912" s="761" t="s">
        <v>649</v>
      </c>
      <c r="H912" s="799">
        <v>7518</v>
      </c>
      <c r="I912" s="799">
        <v>2591</v>
      </c>
      <c r="J912" s="799">
        <v>0</v>
      </c>
      <c r="K912" s="799">
        <v>0</v>
      </c>
      <c r="L912" s="799">
        <v>0</v>
      </c>
      <c r="M912" s="799">
        <v>31641</v>
      </c>
      <c r="N912" s="799">
        <v>0</v>
      </c>
      <c r="O912" s="799">
        <v>64227</v>
      </c>
      <c r="P912" s="799">
        <v>21180</v>
      </c>
      <c r="Q912" s="799">
        <v>0</v>
      </c>
      <c r="R912" s="799">
        <v>4475</v>
      </c>
      <c r="S912" s="799">
        <v>45552</v>
      </c>
    </row>
    <row r="913" spans="1:19" x14ac:dyDescent="0.2">
      <c r="A913" s="761">
        <v>2016</v>
      </c>
      <c r="B913" s="761">
        <v>13</v>
      </c>
      <c r="C913" s="796" t="s">
        <v>320</v>
      </c>
      <c r="D913" s="796"/>
      <c r="E913" s="796"/>
      <c r="F913" s="761">
        <v>5463</v>
      </c>
      <c r="G913" s="761" t="s">
        <v>1266</v>
      </c>
      <c r="H913" s="799">
        <v>10895</v>
      </c>
      <c r="I913" s="799">
        <v>0</v>
      </c>
      <c r="J913" s="799">
        <v>46713</v>
      </c>
      <c r="K913" s="799">
        <v>21662</v>
      </c>
      <c r="L913" s="799">
        <v>0</v>
      </c>
      <c r="M913" s="799">
        <v>136367</v>
      </c>
      <c r="N913" s="799">
        <v>40586</v>
      </c>
      <c r="O913" s="799">
        <v>14680</v>
      </c>
      <c r="P913" s="799">
        <v>49386</v>
      </c>
      <c r="Q913" s="799">
        <v>0</v>
      </c>
      <c r="R913" s="799">
        <v>13765</v>
      </c>
      <c r="S913" s="799">
        <v>49224</v>
      </c>
    </row>
    <row r="914" spans="1:19" x14ac:dyDescent="0.2">
      <c r="A914" s="761">
        <v>2016</v>
      </c>
      <c r="B914" s="761">
        <v>12</v>
      </c>
      <c r="C914" s="796" t="s">
        <v>321</v>
      </c>
      <c r="D914" s="796"/>
      <c r="E914" s="796"/>
      <c r="F914" s="761">
        <v>5486</v>
      </c>
      <c r="G914" s="761" t="s">
        <v>1267</v>
      </c>
      <c r="H914" s="799">
        <v>0</v>
      </c>
      <c r="I914" s="799">
        <v>0</v>
      </c>
      <c r="J914" s="799">
        <v>0</v>
      </c>
      <c r="K914" s="799">
        <v>0</v>
      </c>
      <c r="L914" s="799">
        <v>46938</v>
      </c>
      <c r="M914" s="799">
        <v>0</v>
      </c>
      <c r="N914" s="799">
        <v>0</v>
      </c>
      <c r="O914" s="799">
        <v>0</v>
      </c>
      <c r="P914" s="799">
        <v>0</v>
      </c>
      <c r="Q914" s="799">
        <v>0</v>
      </c>
      <c r="R914" s="799">
        <v>0</v>
      </c>
      <c r="S914" s="799">
        <v>0</v>
      </c>
    </row>
    <row r="915" spans="1:19" x14ac:dyDescent="0.2">
      <c r="A915" s="761">
        <v>2016</v>
      </c>
      <c r="B915" s="761">
        <v>1</v>
      </c>
      <c r="C915" s="796" t="s">
        <v>322</v>
      </c>
      <c r="D915" s="796"/>
      <c r="E915" s="796"/>
      <c r="F915" s="761">
        <v>5508</v>
      </c>
      <c r="G915" s="761" t="s">
        <v>1268</v>
      </c>
      <c r="H915" s="799">
        <v>0</v>
      </c>
      <c r="I915" s="799">
        <v>0</v>
      </c>
      <c r="J915" s="799">
        <v>9473</v>
      </c>
      <c r="K915" s="799">
        <v>0</v>
      </c>
      <c r="L915" s="799">
        <v>0</v>
      </c>
      <c r="M915" s="799">
        <v>0</v>
      </c>
      <c r="N915" s="799">
        <v>4148</v>
      </c>
      <c r="O915" s="799">
        <v>51157</v>
      </c>
      <c r="P915" s="799">
        <v>34134</v>
      </c>
      <c r="Q915" s="799">
        <v>0</v>
      </c>
      <c r="R915" s="799">
        <v>6082</v>
      </c>
      <c r="S915" s="799">
        <v>13809</v>
      </c>
    </row>
    <row r="916" spans="1:19" x14ac:dyDescent="0.2">
      <c r="A916" s="761">
        <v>2016</v>
      </c>
      <c r="B916" s="761">
        <v>12</v>
      </c>
      <c r="C916" s="796" t="s">
        <v>323</v>
      </c>
      <c r="D916" s="796"/>
      <c r="E916" s="796"/>
      <c r="F916" s="761">
        <v>5607</v>
      </c>
      <c r="G916" s="761" t="s">
        <v>1269</v>
      </c>
      <c r="H916" s="799">
        <v>0</v>
      </c>
      <c r="I916" s="799">
        <v>220283</v>
      </c>
      <c r="J916" s="799">
        <v>16884</v>
      </c>
      <c r="K916" s="799">
        <v>114329</v>
      </c>
      <c r="L916" s="799">
        <v>5523</v>
      </c>
      <c r="M916" s="799">
        <v>49957</v>
      </c>
      <c r="N916" s="799">
        <v>31111</v>
      </c>
      <c r="O916" s="799">
        <v>3035</v>
      </c>
      <c r="P916" s="799">
        <v>144</v>
      </c>
      <c r="Q916" s="799">
        <v>6492</v>
      </c>
      <c r="R916" s="799">
        <v>24045</v>
      </c>
      <c r="S916" s="799">
        <v>127484</v>
      </c>
    </row>
    <row r="917" spans="1:19" x14ac:dyDescent="0.2">
      <c r="A917" s="761">
        <v>2016</v>
      </c>
      <c r="B917" s="761">
        <v>11</v>
      </c>
      <c r="C917" s="796" t="s">
        <v>324</v>
      </c>
      <c r="D917" s="796"/>
      <c r="E917" s="796"/>
      <c r="F917" s="761">
        <v>5643</v>
      </c>
      <c r="G917" s="761" t="s">
        <v>1270</v>
      </c>
      <c r="H917" s="799">
        <v>0</v>
      </c>
      <c r="I917" s="799">
        <v>0</v>
      </c>
      <c r="J917" s="799">
        <v>0</v>
      </c>
      <c r="K917" s="799">
        <v>0</v>
      </c>
      <c r="L917" s="799">
        <v>0</v>
      </c>
      <c r="M917" s="799">
        <v>19436</v>
      </c>
      <c r="N917" s="799">
        <v>41202</v>
      </c>
      <c r="O917" s="799">
        <v>26370</v>
      </c>
      <c r="P917" s="799">
        <v>2582</v>
      </c>
      <c r="Q917" s="799">
        <v>0</v>
      </c>
      <c r="R917" s="799">
        <v>87780</v>
      </c>
      <c r="S917" s="799">
        <v>48778</v>
      </c>
    </row>
    <row r="918" spans="1:19" x14ac:dyDescent="0.2">
      <c r="A918" s="761">
        <v>2016</v>
      </c>
      <c r="B918" s="761">
        <v>7</v>
      </c>
      <c r="C918" s="796" t="s">
        <v>325</v>
      </c>
      <c r="D918" s="796"/>
      <c r="E918" s="796"/>
      <c r="F918" s="761">
        <v>5697</v>
      </c>
      <c r="G918" s="761" t="s">
        <v>1271</v>
      </c>
      <c r="H918" s="799">
        <v>0</v>
      </c>
      <c r="I918" s="799">
        <v>0</v>
      </c>
      <c r="J918" s="799">
        <v>79705</v>
      </c>
      <c r="K918" s="799">
        <v>0</v>
      </c>
      <c r="L918" s="799">
        <v>0</v>
      </c>
      <c r="M918" s="799">
        <v>0</v>
      </c>
      <c r="N918" s="799">
        <v>214</v>
      </c>
      <c r="O918" s="799">
        <v>4151</v>
      </c>
      <c r="P918" s="799">
        <v>857</v>
      </c>
      <c r="Q918" s="799">
        <v>0</v>
      </c>
      <c r="R918" s="799">
        <v>1500</v>
      </c>
      <c r="S918" s="799">
        <v>25911</v>
      </c>
    </row>
    <row r="919" spans="1:19" x14ac:dyDescent="0.2">
      <c r="A919" s="761">
        <v>2016</v>
      </c>
      <c r="B919" s="761">
        <v>5</v>
      </c>
      <c r="C919" s="796" t="s">
        <v>326</v>
      </c>
      <c r="D919" s="796"/>
      <c r="E919" s="796"/>
      <c r="F919" s="761">
        <v>5724</v>
      </c>
      <c r="G919" s="761" t="s">
        <v>1272</v>
      </c>
      <c r="H919" s="799">
        <v>0</v>
      </c>
      <c r="I919" s="799">
        <v>0</v>
      </c>
      <c r="J919" s="799">
        <v>83461</v>
      </c>
      <c r="K919" s="799">
        <v>41492</v>
      </c>
      <c r="L919" s="799">
        <v>0</v>
      </c>
      <c r="M919" s="799">
        <v>0</v>
      </c>
      <c r="N919" s="799">
        <v>0</v>
      </c>
      <c r="O919" s="799">
        <v>7996</v>
      </c>
      <c r="P919" s="799">
        <v>16026</v>
      </c>
      <c r="Q919" s="799">
        <v>0</v>
      </c>
      <c r="R919" s="799">
        <v>5323</v>
      </c>
      <c r="S919" s="799">
        <v>27970</v>
      </c>
    </row>
    <row r="920" spans="1:19" x14ac:dyDescent="0.2">
      <c r="A920" s="761">
        <v>2016</v>
      </c>
      <c r="B920" s="761">
        <v>7</v>
      </c>
      <c r="C920" s="796" t="s">
        <v>327</v>
      </c>
      <c r="D920" s="796"/>
      <c r="E920" s="796"/>
      <c r="F920" s="761">
        <v>5751</v>
      </c>
      <c r="G920" s="761" t="s">
        <v>1273</v>
      </c>
      <c r="H920" s="799">
        <v>0</v>
      </c>
      <c r="I920" s="799">
        <v>360</v>
      </c>
      <c r="J920" s="799">
        <v>56412</v>
      </c>
      <c r="K920" s="799">
        <v>0</v>
      </c>
      <c r="L920" s="799">
        <v>0</v>
      </c>
      <c r="M920" s="799">
        <v>0</v>
      </c>
      <c r="N920" s="799">
        <v>18732</v>
      </c>
      <c r="O920" s="799">
        <v>78945</v>
      </c>
      <c r="P920" s="799">
        <v>12922</v>
      </c>
      <c r="Q920" s="799">
        <v>0</v>
      </c>
      <c r="R920" s="799">
        <v>0</v>
      </c>
      <c r="S920" s="799">
        <v>48763</v>
      </c>
    </row>
    <row r="921" spans="1:19" x14ac:dyDescent="0.2">
      <c r="A921" s="761">
        <v>2016</v>
      </c>
      <c r="B921" s="761">
        <v>11</v>
      </c>
      <c r="C921" s="796" t="s">
        <v>328</v>
      </c>
      <c r="D921" s="796"/>
      <c r="E921" s="796"/>
      <c r="F921" s="761">
        <v>5805</v>
      </c>
      <c r="G921" s="761" t="s">
        <v>1274</v>
      </c>
      <c r="H921" s="799">
        <v>0</v>
      </c>
      <c r="I921" s="799">
        <v>0</v>
      </c>
      <c r="J921" s="799">
        <v>0</v>
      </c>
      <c r="K921" s="799">
        <v>7885</v>
      </c>
      <c r="L921" s="799">
        <v>0</v>
      </c>
      <c r="M921" s="799">
        <v>115750</v>
      </c>
      <c r="N921" s="799">
        <v>34397</v>
      </c>
      <c r="O921" s="799">
        <v>49973</v>
      </c>
      <c r="P921" s="799">
        <v>17336</v>
      </c>
      <c r="Q921" s="799">
        <v>14728</v>
      </c>
      <c r="R921" s="799">
        <v>474617</v>
      </c>
      <c r="S921" s="799">
        <v>246480</v>
      </c>
    </row>
    <row r="922" spans="1:19" x14ac:dyDescent="0.2">
      <c r="A922" s="761">
        <v>2016</v>
      </c>
      <c r="B922" s="761">
        <v>5</v>
      </c>
      <c r="C922" s="796" t="s">
        <v>329</v>
      </c>
      <c r="D922" s="796"/>
      <c r="E922" s="796"/>
      <c r="F922" s="761">
        <v>5823</v>
      </c>
      <c r="G922" s="761" t="s">
        <v>650</v>
      </c>
      <c r="H922" s="799">
        <v>2697</v>
      </c>
      <c r="I922" s="799">
        <v>0</v>
      </c>
      <c r="J922" s="799">
        <v>85458</v>
      </c>
      <c r="K922" s="799">
        <v>46611</v>
      </c>
      <c r="L922" s="799">
        <v>0</v>
      </c>
      <c r="M922" s="799">
        <v>0</v>
      </c>
      <c r="N922" s="799">
        <v>49258</v>
      </c>
      <c r="O922" s="799">
        <v>16650</v>
      </c>
      <c r="P922" s="799">
        <v>32897</v>
      </c>
      <c r="Q922" s="799">
        <v>0</v>
      </c>
      <c r="R922" s="799">
        <v>3706</v>
      </c>
      <c r="S922" s="799">
        <v>47208</v>
      </c>
    </row>
    <row r="923" spans="1:19" x14ac:dyDescent="0.2">
      <c r="A923" s="761">
        <v>2016</v>
      </c>
      <c r="B923" s="761">
        <v>12</v>
      </c>
      <c r="C923" s="796" t="s">
        <v>330</v>
      </c>
      <c r="D923" s="796"/>
      <c r="E923" s="796"/>
      <c r="F923" s="761">
        <v>5832</v>
      </c>
      <c r="G923" s="761" t="s">
        <v>1275</v>
      </c>
      <c r="H923" s="799">
        <v>0</v>
      </c>
      <c r="I923" s="799">
        <v>72737</v>
      </c>
      <c r="J923" s="799">
        <v>0</v>
      </c>
      <c r="K923" s="799">
        <v>43644</v>
      </c>
      <c r="L923" s="799">
        <v>0</v>
      </c>
      <c r="M923" s="799">
        <v>0</v>
      </c>
      <c r="N923" s="799">
        <v>25189</v>
      </c>
      <c r="O923" s="799">
        <v>22875</v>
      </c>
      <c r="P923" s="799">
        <v>2012</v>
      </c>
      <c r="Q923" s="799">
        <v>0</v>
      </c>
      <c r="R923" s="799">
        <v>0</v>
      </c>
      <c r="S923" s="799">
        <v>365012</v>
      </c>
    </row>
    <row r="924" spans="1:19" x14ac:dyDescent="0.2">
      <c r="A924" s="761">
        <v>2016</v>
      </c>
      <c r="B924" s="761">
        <v>12</v>
      </c>
      <c r="C924" s="796" t="s">
        <v>331</v>
      </c>
      <c r="D924" s="796"/>
      <c r="E924" s="796"/>
      <c r="F924" s="761">
        <v>5877</v>
      </c>
      <c r="G924" s="761" t="s">
        <v>1276</v>
      </c>
      <c r="H924" s="799">
        <v>0</v>
      </c>
      <c r="I924" s="799">
        <v>0</v>
      </c>
      <c r="J924" s="799">
        <v>0</v>
      </c>
      <c r="K924" s="799">
        <v>0</v>
      </c>
      <c r="L924" s="799">
        <v>0</v>
      </c>
      <c r="M924" s="799">
        <v>291796</v>
      </c>
      <c r="N924" s="799">
        <v>15492</v>
      </c>
      <c r="O924" s="799">
        <v>71746</v>
      </c>
      <c r="P924" s="799">
        <v>50264</v>
      </c>
      <c r="Q924" s="799">
        <v>0</v>
      </c>
      <c r="R924" s="799">
        <v>0</v>
      </c>
      <c r="S924" s="799">
        <v>46849</v>
      </c>
    </row>
    <row r="925" spans="1:19" x14ac:dyDescent="0.2">
      <c r="A925" s="761">
        <v>2016</v>
      </c>
      <c r="B925" s="761">
        <v>15</v>
      </c>
      <c r="C925" s="796" t="s">
        <v>332</v>
      </c>
      <c r="D925" s="796"/>
      <c r="E925" s="796"/>
      <c r="F925" s="761">
        <v>5895</v>
      </c>
      <c r="G925" s="761" t="s">
        <v>1277</v>
      </c>
      <c r="H925" s="799">
        <v>0</v>
      </c>
      <c r="I925" s="799">
        <v>0</v>
      </c>
      <c r="J925" s="799">
        <v>259</v>
      </c>
      <c r="K925" s="799">
        <v>15400</v>
      </c>
      <c r="L925" s="799">
        <v>0</v>
      </c>
      <c r="M925" s="799">
        <v>0</v>
      </c>
      <c r="N925" s="799">
        <v>15505</v>
      </c>
      <c r="O925" s="799">
        <v>0</v>
      </c>
      <c r="P925" s="799">
        <v>0</v>
      </c>
      <c r="Q925" s="799">
        <v>0</v>
      </c>
      <c r="R925" s="799">
        <v>1893</v>
      </c>
      <c r="S925" s="799">
        <v>0</v>
      </c>
    </row>
    <row r="926" spans="1:19" x14ac:dyDescent="0.2">
      <c r="A926" s="761">
        <v>2016</v>
      </c>
      <c r="B926" s="761">
        <v>7</v>
      </c>
      <c r="C926" s="796" t="s">
        <v>333</v>
      </c>
      <c r="D926" s="796"/>
      <c r="E926" s="796"/>
      <c r="F926" s="761">
        <v>5922</v>
      </c>
      <c r="G926" s="761" t="s">
        <v>1483</v>
      </c>
      <c r="H926" s="799">
        <v>0</v>
      </c>
      <c r="I926" s="799">
        <v>0</v>
      </c>
      <c r="J926" s="799">
        <v>23105</v>
      </c>
      <c r="K926" s="799">
        <v>22851</v>
      </c>
      <c r="L926" s="799">
        <v>0</v>
      </c>
      <c r="M926" s="799">
        <v>0</v>
      </c>
      <c r="N926" s="799">
        <v>89340</v>
      </c>
      <c r="O926" s="799">
        <v>0</v>
      </c>
      <c r="P926" s="799">
        <v>18480</v>
      </c>
      <c r="Q926" s="799">
        <v>0</v>
      </c>
      <c r="R926" s="799">
        <v>0</v>
      </c>
      <c r="S926" s="799">
        <v>0</v>
      </c>
    </row>
    <row r="927" spans="1:19" x14ac:dyDescent="0.2">
      <c r="A927" s="761">
        <v>2016</v>
      </c>
      <c r="B927" s="761">
        <v>12</v>
      </c>
      <c r="C927" s="796" t="s">
        <v>334</v>
      </c>
      <c r="D927" s="796"/>
      <c r="E927" s="796"/>
      <c r="F927" s="761">
        <v>5949</v>
      </c>
      <c r="G927" s="761" t="s">
        <v>1278</v>
      </c>
      <c r="H927" s="799">
        <v>0</v>
      </c>
      <c r="I927" s="799">
        <v>5131</v>
      </c>
      <c r="J927" s="799">
        <v>79436</v>
      </c>
      <c r="K927" s="799">
        <v>16949</v>
      </c>
      <c r="L927" s="799">
        <v>0</v>
      </c>
      <c r="M927" s="799">
        <v>128460</v>
      </c>
      <c r="N927" s="799">
        <v>0</v>
      </c>
      <c r="O927" s="799">
        <v>0</v>
      </c>
      <c r="P927" s="799">
        <v>1161</v>
      </c>
      <c r="Q927" s="799">
        <v>0</v>
      </c>
      <c r="R927" s="799">
        <v>0</v>
      </c>
      <c r="S927" s="799">
        <v>28217</v>
      </c>
    </row>
    <row r="928" spans="1:19" x14ac:dyDescent="0.2">
      <c r="A928" s="761">
        <v>2016</v>
      </c>
      <c r="B928" s="761">
        <v>13</v>
      </c>
      <c r="C928" s="796" t="s">
        <v>335</v>
      </c>
      <c r="D928" s="796"/>
      <c r="E928" s="796"/>
      <c r="F928" s="761">
        <v>5976</v>
      </c>
      <c r="G928" s="761" t="s">
        <v>1279</v>
      </c>
      <c r="H928" s="799">
        <v>21598</v>
      </c>
      <c r="I928" s="799">
        <v>0</v>
      </c>
      <c r="J928" s="799">
        <v>40</v>
      </c>
      <c r="K928" s="799">
        <v>45039</v>
      </c>
      <c r="L928" s="799">
        <v>0</v>
      </c>
      <c r="M928" s="799">
        <v>4709</v>
      </c>
      <c r="N928" s="799">
        <v>0</v>
      </c>
      <c r="O928" s="799">
        <v>100493</v>
      </c>
      <c r="P928" s="799">
        <v>16671</v>
      </c>
      <c r="Q928" s="799">
        <v>0</v>
      </c>
      <c r="R928" s="799">
        <v>0</v>
      </c>
      <c r="S928" s="799">
        <v>20771</v>
      </c>
    </row>
    <row r="929" spans="1:19" x14ac:dyDescent="0.2">
      <c r="A929" s="761">
        <v>2016</v>
      </c>
      <c r="B929" s="761">
        <v>12</v>
      </c>
      <c r="C929" s="796" t="s">
        <v>336</v>
      </c>
      <c r="D929" s="796"/>
      <c r="E929" s="796"/>
      <c r="F929" s="761">
        <v>5994</v>
      </c>
      <c r="G929" s="761" t="s">
        <v>1280</v>
      </c>
      <c r="H929" s="799">
        <v>0</v>
      </c>
      <c r="I929" s="799">
        <v>130782</v>
      </c>
      <c r="J929" s="799">
        <v>322</v>
      </c>
      <c r="K929" s="799">
        <v>75117</v>
      </c>
      <c r="L929" s="799">
        <v>0</v>
      </c>
      <c r="M929" s="799">
        <v>48478</v>
      </c>
      <c r="N929" s="799">
        <v>652</v>
      </c>
      <c r="O929" s="799">
        <v>73927</v>
      </c>
      <c r="P929" s="799">
        <v>54306</v>
      </c>
      <c r="Q929" s="799">
        <v>345</v>
      </c>
      <c r="R929" s="799">
        <v>6785</v>
      </c>
      <c r="S929" s="799">
        <v>34371</v>
      </c>
    </row>
    <row r="930" spans="1:19" x14ac:dyDescent="0.2">
      <c r="A930" s="761">
        <v>2016</v>
      </c>
      <c r="B930" s="761">
        <v>13</v>
      </c>
      <c r="C930" s="796" t="s">
        <v>337</v>
      </c>
      <c r="D930" s="796"/>
      <c r="E930" s="796"/>
      <c r="F930" s="761">
        <v>6003</v>
      </c>
      <c r="G930" s="761" t="s">
        <v>1281</v>
      </c>
      <c r="H930" s="799">
        <v>48892</v>
      </c>
      <c r="I930" s="799">
        <v>8756</v>
      </c>
      <c r="J930" s="799">
        <v>49674</v>
      </c>
      <c r="K930" s="799">
        <v>0</v>
      </c>
      <c r="L930" s="799">
        <v>0</v>
      </c>
      <c r="M930" s="799">
        <v>19781</v>
      </c>
      <c r="N930" s="799">
        <v>0</v>
      </c>
      <c r="O930" s="799">
        <v>10511</v>
      </c>
      <c r="P930" s="799">
        <v>0</v>
      </c>
      <c r="Q930" s="799">
        <v>0</v>
      </c>
      <c r="R930" s="799">
        <v>5680</v>
      </c>
      <c r="S930" s="799">
        <v>23481</v>
      </c>
    </row>
    <row r="931" spans="1:19" x14ac:dyDescent="0.2">
      <c r="A931" s="761">
        <v>2016</v>
      </c>
      <c r="B931" s="761">
        <v>15</v>
      </c>
      <c r="C931" s="796" t="s">
        <v>338</v>
      </c>
      <c r="D931" s="796"/>
      <c r="E931" s="796"/>
      <c r="F931" s="761">
        <v>6012</v>
      </c>
      <c r="G931" s="761" t="s">
        <v>1282</v>
      </c>
      <c r="H931" s="799">
        <v>4978</v>
      </c>
      <c r="I931" s="799">
        <v>0</v>
      </c>
      <c r="J931" s="799">
        <v>8221</v>
      </c>
      <c r="K931" s="799">
        <v>4752</v>
      </c>
      <c r="L931" s="799">
        <v>4199</v>
      </c>
      <c r="M931" s="799">
        <v>22268</v>
      </c>
      <c r="N931" s="799">
        <v>17465</v>
      </c>
      <c r="O931" s="799">
        <v>27259</v>
      </c>
      <c r="P931" s="799">
        <v>24186</v>
      </c>
      <c r="Q931" s="799">
        <v>0</v>
      </c>
      <c r="R931" s="799">
        <v>6064</v>
      </c>
      <c r="S931" s="799">
        <v>30295</v>
      </c>
    </row>
    <row r="932" spans="1:19" x14ac:dyDescent="0.2">
      <c r="A932" s="761">
        <v>2016</v>
      </c>
      <c r="B932" s="761">
        <v>12</v>
      </c>
      <c r="C932" s="796" t="s">
        <v>339</v>
      </c>
      <c r="D932" s="796"/>
      <c r="E932" s="796"/>
      <c r="F932" s="761">
        <v>6030</v>
      </c>
      <c r="G932" s="761" t="s">
        <v>1283</v>
      </c>
      <c r="H932" s="799">
        <v>0</v>
      </c>
      <c r="I932" s="799">
        <v>154224</v>
      </c>
      <c r="J932" s="799">
        <v>21402</v>
      </c>
      <c r="K932" s="799">
        <v>28084</v>
      </c>
      <c r="L932" s="799">
        <v>0</v>
      </c>
      <c r="M932" s="799">
        <v>16803</v>
      </c>
      <c r="N932" s="799">
        <v>0</v>
      </c>
      <c r="O932" s="799">
        <v>547</v>
      </c>
      <c r="P932" s="799">
        <v>17660</v>
      </c>
      <c r="Q932" s="799">
        <v>0</v>
      </c>
      <c r="R932" s="799">
        <v>3481</v>
      </c>
      <c r="S932" s="799">
        <v>77495</v>
      </c>
    </row>
    <row r="933" spans="1:19" x14ac:dyDescent="0.2">
      <c r="A933" s="761">
        <v>2016</v>
      </c>
      <c r="B933" s="761">
        <v>12</v>
      </c>
      <c r="C933" s="796" t="s">
        <v>340</v>
      </c>
      <c r="D933" s="796"/>
      <c r="E933" s="796"/>
      <c r="F933" s="761">
        <v>6039</v>
      </c>
      <c r="G933" s="761" t="s">
        <v>1284</v>
      </c>
      <c r="H933" s="799">
        <v>18126</v>
      </c>
      <c r="I933" s="799">
        <v>0</v>
      </c>
      <c r="J933" s="799">
        <v>724068</v>
      </c>
      <c r="K933" s="799">
        <v>572264</v>
      </c>
      <c r="L933" s="799">
        <v>0</v>
      </c>
      <c r="M933" s="799">
        <v>368240</v>
      </c>
      <c r="N933" s="799">
        <v>239716</v>
      </c>
      <c r="O933" s="799">
        <v>178892</v>
      </c>
      <c r="P933" s="799">
        <v>1241210</v>
      </c>
      <c r="Q933" s="799">
        <v>0</v>
      </c>
      <c r="R933" s="799">
        <v>500678</v>
      </c>
      <c r="S933" s="799">
        <v>154217</v>
      </c>
    </row>
    <row r="934" spans="1:19" x14ac:dyDescent="0.2">
      <c r="A934" s="761">
        <v>2016</v>
      </c>
      <c r="B934" s="761">
        <v>5</v>
      </c>
      <c r="C934" s="796" t="s">
        <v>341</v>
      </c>
      <c r="D934" s="796"/>
      <c r="E934" s="796"/>
      <c r="F934" s="761">
        <v>6035</v>
      </c>
      <c r="G934" s="761" t="s">
        <v>651</v>
      </c>
      <c r="H934" s="799">
        <v>0</v>
      </c>
      <c r="I934" s="799">
        <v>0</v>
      </c>
      <c r="J934" s="799">
        <v>106103</v>
      </c>
      <c r="K934" s="799">
        <v>59206</v>
      </c>
      <c r="L934" s="799">
        <v>0</v>
      </c>
      <c r="M934" s="799">
        <v>0</v>
      </c>
      <c r="N934" s="799">
        <v>386</v>
      </c>
      <c r="O934" s="799">
        <v>59769</v>
      </c>
      <c r="P934" s="799">
        <v>59235</v>
      </c>
      <c r="Q934" s="799">
        <v>0</v>
      </c>
      <c r="R934" s="799">
        <v>2</v>
      </c>
      <c r="S934" s="799">
        <v>51903</v>
      </c>
    </row>
    <row r="935" spans="1:19" x14ac:dyDescent="0.2">
      <c r="A935" s="761">
        <v>2016</v>
      </c>
      <c r="B935" s="761">
        <v>5</v>
      </c>
      <c r="C935" s="796" t="s">
        <v>1871</v>
      </c>
      <c r="D935" s="761">
        <v>5625</v>
      </c>
      <c r="E935" s="796"/>
      <c r="F935" s="761">
        <v>6091</v>
      </c>
      <c r="G935" s="761" t="s">
        <v>1639</v>
      </c>
      <c r="H935" s="799">
        <v>1779</v>
      </c>
      <c r="I935" s="799">
        <v>0</v>
      </c>
      <c r="J935" s="799">
        <v>62609</v>
      </c>
      <c r="K935" s="799">
        <v>0</v>
      </c>
      <c r="L935" s="799">
        <v>0</v>
      </c>
      <c r="M935" s="799">
        <v>0</v>
      </c>
      <c r="N935" s="799">
        <v>0</v>
      </c>
      <c r="O935" s="799">
        <v>5671</v>
      </c>
      <c r="P935" s="799">
        <v>2561</v>
      </c>
      <c r="Q935" s="799">
        <v>0</v>
      </c>
      <c r="R935" s="799">
        <v>0</v>
      </c>
      <c r="S935" s="799">
        <v>22235</v>
      </c>
    </row>
    <row r="936" spans="1:19" x14ac:dyDescent="0.2">
      <c r="A936" s="761">
        <v>2016</v>
      </c>
      <c r="B936" s="761">
        <v>10</v>
      </c>
      <c r="C936" s="796" t="s">
        <v>342</v>
      </c>
      <c r="D936" s="796"/>
      <c r="E936" s="796"/>
      <c r="F936" s="761">
        <v>6093</v>
      </c>
      <c r="G936" s="761" t="s">
        <v>1285</v>
      </c>
      <c r="H936" s="799">
        <v>0</v>
      </c>
      <c r="I936" s="799">
        <v>0</v>
      </c>
      <c r="J936" s="799">
        <v>44956</v>
      </c>
      <c r="K936" s="799">
        <v>86921</v>
      </c>
      <c r="L936" s="799">
        <v>0</v>
      </c>
      <c r="M936" s="799">
        <v>228586</v>
      </c>
      <c r="N936" s="799">
        <v>0</v>
      </c>
      <c r="O936" s="799">
        <v>0</v>
      </c>
      <c r="P936" s="799">
        <v>10379</v>
      </c>
      <c r="Q936" s="799">
        <v>0</v>
      </c>
      <c r="R936" s="799">
        <v>52699</v>
      </c>
      <c r="S936" s="799">
        <v>0</v>
      </c>
    </row>
    <row r="937" spans="1:19" x14ac:dyDescent="0.2">
      <c r="A937" s="761">
        <v>2016</v>
      </c>
      <c r="B937" s="761">
        <v>11</v>
      </c>
      <c r="C937" s="796" t="s">
        <v>343</v>
      </c>
      <c r="D937" s="796"/>
      <c r="E937" s="796"/>
      <c r="F937" s="761">
        <v>6094</v>
      </c>
      <c r="G937" s="761" t="s">
        <v>1286</v>
      </c>
      <c r="H937" s="799">
        <v>0</v>
      </c>
      <c r="I937" s="799">
        <v>4254</v>
      </c>
      <c r="J937" s="799">
        <v>95488</v>
      </c>
      <c r="K937" s="799">
        <v>77740</v>
      </c>
      <c r="L937" s="799">
        <v>0</v>
      </c>
      <c r="M937" s="799">
        <v>71382</v>
      </c>
      <c r="N937" s="799">
        <v>28199</v>
      </c>
      <c r="O937" s="799">
        <v>15517</v>
      </c>
      <c r="P937" s="799">
        <v>47217</v>
      </c>
      <c r="Q937" s="799">
        <v>42635</v>
      </c>
      <c r="R937" s="799">
        <v>0</v>
      </c>
      <c r="S937" s="799">
        <v>42458</v>
      </c>
    </row>
    <row r="938" spans="1:19" x14ac:dyDescent="0.2">
      <c r="A938" s="761">
        <v>2016</v>
      </c>
      <c r="B938" s="761">
        <v>5</v>
      </c>
      <c r="C938" s="796" t="s">
        <v>344</v>
      </c>
      <c r="D938" s="796"/>
      <c r="E938" s="796"/>
      <c r="F938" s="761">
        <v>6095</v>
      </c>
      <c r="G938" s="761" t="s">
        <v>1287</v>
      </c>
      <c r="H938" s="799">
        <v>135515</v>
      </c>
      <c r="I938" s="799">
        <v>0</v>
      </c>
      <c r="J938" s="799">
        <v>83863</v>
      </c>
      <c r="K938" s="799">
        <v>0</v>
      </c>
      <c r="L938" s="799">
        <v>0</v>
      </c>
      <c r="M938" s="799">
        <v>171420</v>
      </c>
      <c r="N938" s="799">
        <v>7469</v>
      </c>
      <c r="O938" s="799">
        <v>44945</v>
      </c>
      <c r="P938" s="799">
        <v>40271</v>
      </c>
      <c r="Q938" s="799">
        <v>0</v>
      </c>
      <c r="R938" s="799">
        <v>5028</v>
      </c>
      <c r="S938" s="799">
        <v>38522</v>
      </c>
    </row>
    <row r="939" spans="1:19" x14ac:dyDescent="0.2">
      <c r="A939" s="761">
        <v>2016</v>
      </c>
      <c r="B939" s="761">
        <v>5</v>
      </c>
      <c r="C939" s="796" t="s">
        <v>1469</v>
      </c>
      <c r="D939" s="796"/>
      <c r="E939" s="796"/>
      <c r="F939" s="761">
        <v>6096</v>
      </c>
      <c r="G939" s="761" t="s">
        <v>980</v>
      </c>
      <c r="H939" s="799">
        <v>0</v>
      </c>
      <c r="I939" s="799">
        <v>0</v>
      </c>
      <c r="J939" s="799">
        <v>0</v>
      </c>
      <c r="K939" s="799">
        <v>0</v>
      </c>
      <c r="L939" s="799">
        <v>48464</v>
      </c>
      <c r="M939" s="799">
        <v>58546</v>
      </c>
      <c r="N939" s="799">
        <v>0</v>
      </c>
      <c r="O939" s="799">
        <v>30653</v>
      </c>
      <c r="P939" s="799">
        <v>19825</v>
      </c>
      <c r="Q939" s="799">
        <v>0</v>
      </c>
      <c r="R939" s="799">
        <v>0</v>
      </c>
      <c r="S939" s="799">
        <v>67122</v>
      </c>
    </row>
    <row r="940" spans="1:19" x14ac:dyDescent="0.2">
      <c r="A940" s="761">
        <v>2016</v>
      </c>
      <c r="B940" s="761">
        <v>13</v>
      </c>
      <c r="C940" s="796" t="s">
        <v>345</v>
      </c>
      <c r="D940" s="796"/>
      <c r="E940" s="796"/>
      <c r="F940" s="761">
        <v>6097</v>
      </c>
      <c r="G940" s="761" t="s">
        <v>1288</v>
      </c>
      <c r="H940" s="799">
        <v>0</v>
      </c>
      <c r="I940" s="799">
        <v>0</v>
      </c>
      <c r="J940" s="799">
        <v>0</v>
      </c>
      <c r="K940" s="799">
        <v>0</v>
      </c>
      <c r="L940" s="799">
        <v>0</v>
      </c>
      <c r="M940" s="799">
        <v>8258</v>
      </c>
      <c r="N940" s="799">
        <v>0</v>
      </c>
      <c r="O940" s="799">
        <v>20167</v>
      </c>
      <c r="P940" s="799">
        <v>0</v>
      </c>
      <c r="Q940" s="799">
        <v>0</v>
      </c>
      <c r="R940" s="799">
        <v>4194</v>
      </c>
      <c r="S940" s="799">
        <v>18145</v>
      </c>
    </row>
    <row r="941" spans="1:19" x14ac:dyDescent="0.2">
      <c r="A941" s="761">
        <v>2016</v>
      </c>
      <c r="B941" s="761">
        <v>7</v>
      </c>
      <c r="C941" s="796" t="s">
        <v>346</v>
      </c>
      <c r="D941" s="796"/>
      <c r="E941" s="796"/>
      <c r="F941" s="761">
        <v>6098</v>
      </c>
      <c r="G941" s="761" t="s">
        <v>1289</v>
      </c>
      <c r="H941" s="799">
        <v>0</v>
      </c>
      <c r="I941" s="799">
        <v>0</v>
      </c>
      <c r="J941" s="799">
        <v>12963</v>
      </c>
      <c r="K941" s="799">
        <v>112986</v>
      </c>
      <c r="L941" s="799">
        <v>0</v>
      </c>
      <c r="M941" s="799">
        <v>75603</v>
      </c>
      <c r="N941" s="799">
        <v>0</v>
      </c>
      <c r="O941" s="799">
        <v>90486</v>
      </c>
      <c r="P941" s="799">
        <v>0</v>
      </c>
      <c r="Q941" s="799">
        <v>5372</v>
      </c>
      <c r="R941" s="799">
        <v>0</v>
      </c>
      <c r="S941" s="799">
        <v>81142</v>
      </c>
    </row>
    <row r="942" spans="1:19" x14ac:dyDescent="0.2">
      <c r="A942" s="761">
        <v>2016</v>
      </c>
      <c r="B942" s="761">
        <v>1</v>
      </c>
      <c r="C942" s="796" t="s">
        <v>347</v>
      </c>
      <c r="D942" s="796"/>
      <c r="E942" s="796"/>
      <c r="F942" s="761">
        <v>6100</v>
      </c>
      <c r="G942" s="761" t="s">
        <v>1290</v>
      </c>
      <c r="H942" s="799">
        <v>0</v>
      </c>
      <c r="I942" s="799">
        <v>0</v>
      </c>
      <c r="J942" s="799">
        <v>39214</v>
      </c>
      <c r="K942" s="799">
        <v>0</v>
      </c>
      <c r="L942" s="799">
        <v>0</v>
      </c>
      <c r="M942" s="799">
        <v>34732</v>
      </c>
      <c r="N942" s="799">
        <v>1586</v>
      </c>
      <c r="O942" s="799">
        <v>0</v>
      </c>
      <c r="P942" s="799">
        <v>0</v>
      </c>
      <c r="Q942" s="799">
        <v>0</v>
      </c>
      <c r="R942" s="799">
        <v>2890</v>
      </c>
      <c r="S942" s="799">
        <v>1827</v>
      </c>
    </row>
    <row r="943" spans="1:19" x14ac:dyDescent="0.2">
      <c r="A943" s="761">
        <v>2016</v>
      </c>
      <c r="B943" s="761">
        <v>11</v>
      </c>
      <c r="C943" s="796" t="s">
        <v>348</v>
      </c>
      <c r="D943" s="796"/>
      <c r="E943" s="796"/>
      <c r="F943" s="761">
        <v>6101</v>
      </c>
      <c r="G943" s="761" t="s">
        <v>1291</v>
      </c>
      <c r="H943" s="799">
        <v>163172</v>
      </c>
      <c r="I943" s="799">
        <v>0</v>
      </c>
      <c r="J943" s="799">
        <v>7857</v>
      </c>
      <c r="K943" s="799">
        <v>131416</v>
      </c>
      <c r="L943" s="799">
        <v>0</v>
      </c>
      <c r="M943" s="799">
        <v>0</v>
      </c>
      <c r="N943" s="799">
        <v>200454</v>
      </c>
      <c r="O943" s="799">
        <v>496052</v>
      </c>
      <c r="P943" s="799">
        <v>0</v>
      </c>
      <c r="Q943" s="799">
        <v>0</v>
      </c>
      <c r="R943" s="799">
        <v>0</v>
      </c>
      <c r="S943" s="799">
        <v>314718</v>
      </c>
    </row>
    <row r="944" spans="1:19" x14ac:dyDescent="0.2">
      <c r="A944" s="761">
        <v>2016</v>
      </c>
      <c r="B944" s="761">
        <v>5</v>
      </c>
      <c r="C944" s="796" t="s">
        <v>349</v>
      </c>
      <c r="D944" s="796"/>
      <c r="E944" s="796"/>
      <c r="F944" s="761">
        <v>6102</v>
      </c>
      <c r="G944" s="761" t="s">
        <v>1292</v>
      </c>
      <c r="H944" s="799">
        <v>0</v>
      </c>
      <c r="I944" s="799">
        <v>0</v>
      </c>
      <c r="J944" s="799">
        <v>8140</v>
      </c>
      <c r="K944" s="799">
        <v>144078</v>
      </c>
      <c r="L944" s="799">
        <v>0</v>
      </c>
      <c r="M944" s="799">
        <v>0</v>
      </c>
      <c r="N944" s="799">
        <v>82114</v>
      </c>
      <c r="O944" s="799">
        <v>1396</v>
      </c>
      <c r="P944" s="799">
        <v>113435</v>
      </c>
      <c r="Q944" s="799">
        <v>41522</v>
      </c>
      <c r="R944" s="799">
        <v>60986</v>
      </c>
      <c r="S944" s="799">
        <v>52076</v>
      </c>
    </row>
    <row r="945" spans="1:19" x14ac:dyDescent="0.2">
      <c r="A945" s="761">
        <v>2016</v>
      </c>
      <c r="B945" s="761">
        <v>5</v>
      </c>
      <c r="C945" s="796" t="s">
        <v>350</v>
      </c>
      <c r="D945" s="796"/>
      <c r="E945" s="796"/>
      <c r="F945" s="761">
        <v>6120</v>
      </c>
      <c r="G945" s="761" t="s">
        <v>1293</v>
      </c>
      <c r="H945" s="799">
        <v>0</v>
      </c>
      <c r="I945" s="799">
        <v>0</v>
      </c>
      <c r="J945" s="799">
        <v>227126</v>
      </c>
      <c r="K945" s="799">
        <v>47494</v>
      </c>
      <c r="L945" s="799">
        <v>0</v>
      </c>
      <c r="M945" s="799">
        <v>96304</v>
      </c>
      <c r="N945" s="799">
        <v>0</v>
      </c>
      <c r="O945" s="799">
        <v>2082</v>
      </c>
      <c r="P945" s="799">
        <v>26572</v>
      </c>
      <c r="Q945" s="799">
        <v>0</v>
      </c>
      <c r="R945" s="799">
        <v>1432</v>
      </c>
      <c r="S945" s="799">
        <v>14062</v>
      </c>
    </row>
    <row r="946" spans="1:19" x14ac:dyDescent="0.2">
      <c r="A946" s="761">
        <v>2016</v>
      </c>
      <c r="B946" s="761">
        <v>10</v>
      </c>
      <c r="C946" s="796" t="s">
        <v>351</v>
      </c>
      <c r="D946" s="796"/>
      <c r="E946" s="796"/>
      <c r="F946" s="761">
        <v>6138</v>
      </c>
      <c r="G946" s="761" t="s">
        <v>1294</v>
      </c>
      <c r="H946" s="799">
        <v>15826</v>
      </c>
      <c r="I946" s="799">
        <v>0</v>
      </c>
      <c r="J946" s="799">
        <v>0</v>
      </c>
      <c r="K946" s="799">
        <v>33067</v>
      </c>
      <c r="L946" s="799">
        <v>29975</v>
      </c>
      <c r="M946" s="799">
        <v>0</v>
      </c>
      <c r="N946" s="799">
        <v>31451</v>
      </c>
      <c r="O946" s="799">
        <v>4</v>
      </c>
      <c r="P946" s="799">
        <v>16177</v>
      </c>
      <c r="Q946" s="799">
        <v>0</v>
      </c>
      <c r="R946" s="799">
        <v>18168</v>
      </c>
      <c r="S946" s="799">
        <v>56994</v>
      </c>
    </row>
    <row r="947" spans="1:19" x14ac:dyDescent="0.2">
      <c r="A947" s="761">
        <v>2016</v>
      </c>
      <c r="B947" s="761">
        <v>13</v>
      </c>
      <c r="C947" s="796" t="s">
        <v>352</v>
      </c>
      <c r="D947" s="796"/>
      <c r="E947" s="796"/>
      <c r="F947" s="761">
        <v>6165</v>
      </c>
      <c r="G947" s="761" t="s">
        <v>1295</v>
      </c>
      <c r="H947" s="799">
        <v>0</v>
      </c>
      <c r="I947" s="799">
        <v>0</v>
      </c>
      <c r="J947" s="799">
        <v>5508</v>
      </c>
      <c r="K947" s="799">
        <v>53941</v>
      </c>
      <c r="L947" s="799">
        <v>0</v>
      </c>
      <c r="M947" s="799">
        <v>29429</v>
      </c>
      <c r="N947" s="799">
        <v>10549</v>
      </c>
      <c r="O947" s="799">
        <v>387</v>
      </c>
      <c r="P947" s="799">
        <v>12931</v>
      </c>
      <c r="Q947" s="799">
        <v>0</v>
      </c>
      <c r="R947" s="799">
        <v>1412</v>
      </c>
      <c r="S947" s="799">
        <v>39627</v>
      </c>
    </row>
    <row r="948" spans="1:19" x14ac:dyDescent="0.2">
      <c r="A948" s="761">
        <v>2016</v>
      </c>
      <c r="B948" s="761">
        <v>1</v>
      </c>
      <c r="C948" s="796" t="s">
        <v>353</v>
      </c>
      <c r="D948" s="796"/>
      <c r="E948" s="796"/>
      <c r="F948" s="761">
        <v>6175</v>
      </c>
      <c r="G948" s="761" t="s">
        <v>1296</v>
      </c>
      <c r="H948" s="799">
        <v>0</v>
      </c>
      <c r="I948" s="799">
        <v>0</v>
      </c>
      <c r="J948" s="799">
        <v>0</v>
      </c>
      <c r="K948" s="799">
        <v>55988</v>
      </c>
      <c r="L948" s="799">
        <v>39450</v>
      </c>
      <c r="M948" s="799">
        <v>0</v>
      </c>
      <c r="N948" s="799">
        <v>8243</v>
      </c>
      <c r="O948" s="799">
        <v>36477</v>
      </c>
      <c r="P948" s="799">
        <v>23375</v>
      </c>
      <c r="Q948" s="799">
        <v>0</v>
      </c>
      <c r="R948" s="799">
        <v>0</v>
      </c>
      <c r="S948" s="799">
        <v>62016</v>
      </c>
    </row>
    <row r="949" spans="1:19" x14ac:dyDescent="0.2">
      <c r="A949" s="761">
        <v>2016</v>
      </c>
      <c r="B949" s="761">
        <v>5</v>
      </c>
      <c r="C949" s="796" t="s">
        <v>354</v>
      </c>
      <c r="D949" s="796"/>
      <c r="E949" s="796"/>
      <c r="F949" s="761">
        <v>6219</v>
      </c>
      <c r="G949" s="761" t="s">
        <v>1297</v>
      </c>
      <c r="H949" s="799">
        <v>79490</v>
      </c>
      <c r="I949" s="799">
        <v>43738</v>
      </c>
      <c r="J949" s="799">
        <v>0</v>
      </c>
      <c r="K949" s="799">
        <v>224803</v>
      </c>
      <c r="L949" s="799">
        <v>0</v>
      </c>
      <c r="M949" s="799">
        <v>0</v>
      </c>
      <c r="N949" s="799">
        <v>29784</v>
      </c>
      <c r="O949" s="799">
        <v>13112</v>
      </c>
      <c r="P949" s="799">
        <v>5880</v>
      </c>
      <c r="Q949" s="799">
        <v>0</v>
      </c>
      <c r="R949" s="799">
        <v>4941</v>
      </c>
      <c r="S949" s="799">
        <v>28714</v>
      </c>
    </row>
    <row r="950" spans="1:19" x14ac:dyDescent="0.2">
      <c r="A950" s="761">
        <v>2016</v>
      </c>
      <c r="B950" s="761">
        <v>5</v>
      </c>
      <c r="C950" s="796" t="s">
        <v>355</v>
      </c>
      <c r="D950" s="796"/>
      <c r="E950" s="796"/>
      <c r="F950" s="761">
        <v>6246</v>
      </c>
      <c r="G950" s="761" t="s">
        <v>1298</v>
      </c>
      <c r="H950" s="799">
        <v>0</v>
      </c>
      <c r="I950" s="799">
        <v>0</v>
      </c>
      <c r="J950" s="799">
        <v>0</v>
      </c>
      <c r="K950" s="799">
        <v>0</v>
      </c>
      <c r="L950" s="799">
        <v>0</v>
      </c>
      <c r="M950" s="799">
        <v>0</v>
      </c>
      <c r="N950" s="799">
        <v>0</v>
      </c>
      <c r="O950" s="799">
        <v>0</v>
      </c>
      <c r="P950" s="799">
        <v>0</v>
      </c>
      <c r="Q950" s="799">
        <v>0</v>
      </c>
      <c r="R950" s="799">
        <v>29988</v>
      </c>
      <c r="S950" s="799">
        <v>0</v>
      </c>
    </row>
    <row r="951" spans="1:19" x14ac:dyDescent="0.2">
      <c r="A951" s="761">
        <v>2016</v>
      </c>
      <c r="B951" s="761">
        <v>11</v>
      </c>
      <c r="C951" s="796" t="s">
        <v>356</v>
      </c>
      <c r="D951" s="796"/>
      <c r="E951" s="796"/>
      <c r="F951" s="761">
        <v>6264</v>
      </c>
      <c r="G951" s="761" t="s">
        <v>1299</v>
      </c>
      <c r="H951" s="799">
        <v>0</v>
      </c>
      <c r="I951" s="799">
        <v>9793</v>
      </c>
      <c r="J951" s="799">
        <v>102243</v>
      </c>
      <c r="K951" s="799">
        <v>0</v>
      </c>
      <c r="L951" s="799">
        <v>0</v>
      </c>
      <c r="M951" s="799">
        <v>21509</v>
      </c>
      <c r="N951" s="799">
        <v>0</v>
      </c>
      <c r="O951" s="799">
        <v>0</v>
      </c>
      <c r="P951" s="799">
        <v>0</v>
      </c>
      <c r="Q951" s="799">
        <v>0</v>
      </c>
      <c r="R951" s="799">
        <v>4320</v>
      </c>
      <c r="S951" s="799">
        <v>26242</v>
      </c>
    </row>
    <row r="952" spans="1:19" x14ac:dyDescent="0.2">
      <c r="A952" s="761">
        <v>2016</v>
      </c>
      <c r="B952" s="761">
        <v>7</v>
      </c>
      <c r="C952" s="796" t="s">
        <v>357</v>
      </c>
      <c r="D952" s="761">
        <v>2349</v>
      </c>
      <c r="E952" s="796"/>
      <c r="F952" s="761">
        <v>6273</v>
      </c>
      <c r="G952" s="761" t="s">
        <v>1640</v>
      </c>
      <c r="H952" s="799">
        <v>0</v>
      </c>
      <c r="I952" s="799">
        <v>0</v>
      </c>
      <c r="J952" s="799">
        <v>656</v>
      </c>
      <c r="K952" s="799">
        <v>43355</v>
      </c>
      <c r="L952" s="799">
        <v>63938</v>
      </c>
      <c r="M952" s="799">
        <v>311898</v>
      </c>
      <c r="N952" s="799">
        <v>34167</v>
      </c>
      <c r="O952" s="799">
        <v>34790</v>
      </c>
      <c r="P952" s="799">
        <v>28083</v>
      </c>
      <c r="Q952" s="799">
        <v>0</v>
      </c>
      <c r="R952" s="799">
        <v>0</v>
      </c>
      <c r="S952" s="799">
        <v>32193</v>
      </c>
    </row>
    <row r="953" spans="1:19" x14ac:dyDescent="0.2">
      <c r="A953" s="761">
        <v>2016</v>
      </c>
      <c r="B953" s="761">
        <v>10</v>
      </c>
      <c r="C953" s="796" t="s">
        <v>358</v>
      </c>
      <c r="D953" s="796"/>
      <c r="E953" s="796"/>
      <c r="F953" s="761">
        <v>6408</v>
      </c>
      <c r="G953" s="761" t="s">
        <v>1300</v>
      </c>
      <c r="H953" s="799">
        <v>0</v>
      </c>
      <c r="I953" s="799">
        <v>0</v>
      </c>
      <c r="J953" s="799">
        <v>0</v>
      </c>
      <c r="K953" s="799">
        <v>54</v>
      </c>
      <c r="L953" s="799">
        <v>0</v>
      </c>
      <c r="M953" s="799">
        <v>63776</v>
      </c>
      <c r="N953" s="799">
        <v>1230</v>
      </c>
      <c r="O953" s="799">
        <v>13731</v>
      </c>
      <c r="P953" s="799">
        <v>18721</v>
      </c>
      <c r="Q953" s="799">
        <v>0</v>
      </c>
      <c r="R953" s="799">
        <v>563</v>
      </c>
      <c r="S953" s="799">
        <v>40084</v>
      </c>
    </row>
    <row r="954" spans="1:19" x14ac:dyDescent="0.2">
      <c r="A954" s="761">
        <v>2016</v>
      </c>
      <c r="B954" s="761">
        <v>13</v>
      </c>
      <c r="C954" s="796" t="s">
        <v>359</v>
      </c>
      <c r="D954" s="796"/>
      <c r="E954" s="796"/>
      <c r="F954" s="761">
        <v>6453</v>
      </c>
      <c r="G954" s="761" t="s">
        <v>1301</v>
      </c>
      <c r="H954" s="799">
        <v>0</v>
      </c>
      <c r="I954" s="799">
        <v>0</v>
      </c>
      <c r="J954" s="799">
        <v>0</v>
      </c>
      <c r="K954" s="799">
        <v>66234</v>
      </c>
      <c r="L954" s="799">
        <v>0</v>
      </c>
      <c r="M954" s="799">
        <v>0</v>
      </c>
      <c r="N954" s="799">
        <v>4702</v>
      </c>
      <c r="O954" s="799">
        <v>26070</v>
      </c>
      <c r="P954" s="799">
        <v>0</v>
      </c>
      <c r="Q954" s="799">
        <v>0</v>
      </c>
      <c r="R954" s="799">
        <v>0</v>
      </c>
      <c r="S954" s="799">
        <v>34562</v>
      </c>
    </row>
    <row r="955" spans="1:19" x14ac:dyDescent="0.2">
      <c r="A955" s="761">
        <v>2016</v>
      </c>
      <c r="B955" s="761">
        <v>13</v>
      </c>
      <c r="C955" s="796" t="s">
        <v>360</v>
      </c>
      <c r="D955" s="796"/>
      <c r="E955" s="796"/>
      <c r="F955" s="761">
        <v>6460</v>
      </c>
      <c r="G955" s="761" t="s">
        <v>1302</v>
      </c>
      <c r="H955" s="799">
        <v>0</v>
      </c>
      <c r="I955" s="799">
        <v>0</v>
      </c>
      <c r="J955" s="799">
        <v>0</v>
      </c>
      <c r="K955" s="799">
        <v>0</v>
      </c>
      <c r="L955" s="799">
        <v>0</v>
      </c>
      <c r="M955" s="799">
        <v>86231</v>
      </c>
      <c r="N955" s="799">
        <v>49446</v>
      </c>
      <c r="O955" s="799">
        <v>44748</v>
      </c>
      <c r="P955" s="799">
        <v>31693</v>
      </c>
      <c r="Q955" s="799">
        <v>0</v>
      </c>
      <c r="R955" s="799">
        <v>4041</v>
      </c>
      <c r="S955" s="799">
        <v>19742</v>
      </c>
    </row>
    <row r="956" spans="1:19" x14ac:dyDescent="0.2">
      <c r="A956" s="761">
        <v>2016</v>
      </c>
      <c r="B956" s="761">
        <v>15</v>
      </c>
      <c r="C956" s="796" t="s">
        <v>361</v>
      </c>
      <c r="D956" s="796"/>
      <c r="E956" s="796"/>
      <c r="F956" s="761">
        <v>6462</v>
      </c>
      <c r="G956" s="761" t="s">
        <v>1303</v>
      </c>
      <c r="H956" s="799">
        <v>0</v>
      </c>
      <c r="I956" s="799">
        <v>0</v>
      </c>
      <c r="J956" s="799">
        <v>0</v>
      </c>
      <c r="K956" s="799">
        <v>8190</v>
      </c>
      <c r="L956" s="799">
        <v>22903</v>
      </c>
      <c r="M956" s="799">
        <v>315</v>
      </c>
      <c r="N956" s="799">
        <v>78</v>
      </c>
      <c r="O956" s="799">
        <v>6832</v>
      </c>
      <c r="P956" s="799">
        <v>7670</v>
      </c>
      <c r="Q956" s="799">
        <v>0</v>
      </c>
      <c r="R956" s="799">
        <v>16628</v>
      </c>
      <c r="S956" s="799">
        <v>0</v>
      </c>
    </row>
    <row r="957" spans="1:19" x14ac:dyDescent="0.2">
      <c r="A957" s="761">
        <v>2016</v>
      </c>
      <c r="B957" s="761">
        <v>7</v>
      </c>
      <c r="C957" s="796" t="s">
        <v>362</v>
      </c>
      <c r="D957" s="796"/>
      <c r="E957" s="796"/>
      <c r="F957" s="761">
        <v>6471</v>
      </c>
      <c r="G957" s="761" t="s">
        <v>1304</v>
      </c>
      <c r="H957" s="799">
        <v>0</v>
      </c>
      <c r="I957" s="799">
        <v>7438</v>
      </c>
      <c r="J957" s="799">
        <v>107032</v>
      </c>
      <c r="K957" s="799">
        <v>78952</v>
      </c>
      <c r="L957" s="799">
        <v>36323</v>
      </c>
      <c r="M957" s="799">
        <v>0</v>
      </c>
      <c r="N957" s="799">
        <v>21344</v>
      </c>
      <c r="O957" s="799">
        <v>19267</v>
      </c>
      <c r="P957" s="799">
        <v>25749</v>
      </c>
      <c r="Q957" s="799">
        <v>0</v>
      </c>
      <c r="R957" s="799">
        <v>0</v>
      </c>
      <c r="S957" s="799">
        <v>36919</v>
      </c>
    </row>
    <row r="958" spans="1:19" x14ac:dyDescent="0.2">
      <c r="A958" s="761">
        <v>2016</v>
      </c>
      <c r="B958" s="761">
        <v>1</v>
      </c>
      <c r="C958" s="796" t="s">
        <v>363</v>
      </c>
      <c r="D958" s="796"/>
      <c r="E958" s="796"/>
      <c r="F958" s="761">
        <v>6509</v>
      </c>
      <c r="G958" s="761" t="s">
        <v>1305</v>
      </c>
      <c r="H958" s="799">
        <v>1714</v>
      </c>
      <c r="I958" s="799">
        <v>0</v>
      </c>
      <c r="J958" s="799">
        <v>0</v>
      </c>
      <c r="K958" s="799">
        <v>34723</v>
      </c>
      <c r="L958" s="799">
        <v>0</v>
      </c>
      <c r="M958" s="799">
        <v>31071</v>
      </c>
      <c r="N958" s="799">
        <v>61205</v>
      </c>
      <c r="O958" s="799">
        <v>7485</v>
      </c>
      <c r="P958" s="799">
        <v>4131</v>
      </c>
      <c r="Q958" s="799">
        <v>0</v>
      </c>
      <c r="R958" s="799">
        <v>5808</v>
      </c>
      <c r="S958" s="799">
        <v>204679</v>
      </c>
    </row>
    <row r="959" spans="1:19" x14ac:dyDescent="0.2">
      <c r="A959" s="761">
        <v>2016</v>
      </c>
      <c r="B959" s="761">
        <v>11</v>
      </c>
      <c r="C959" s="796" t="s">
        <v>364</v>
      </c>
      <c r="D959" s="796"/>
      <c r="E959" s="796"/>
      <c r="F959" s="761">
        <v>6512</v>
      </c>
      <c r="G959" s="761" t="s">
        <v>1306</v>
      </c>
      <c r="H959" s="799">
        <v>0</v>
      </c>
      <c r="I959" s="799">
        <v>0</v>
      </c>
      <c r="J959" s="799">
        <v>0</v>
      </c>
      <c r="K959" s="799">
        <v>0</v>
      </c>
      <c r="L959" s="799">
        <v>0</v>
      </c>
      <c r="M959" s="799">
        <v>0</v>
      </c>
      <c r="N959" s="799">
        <v>6175</v>
      </c>
      <c r="O959" s="799">
        <v>32540</v>
      </c>
      <c r="P959" s="799">
        <v>1733</v>
      </c>
      <c r="Q959" s="799">
        <v>0</v>
      </c>
      <c r="R959" s="799">
        <v>1973</v>
      </c>
      <c r="S959" s="799">
        <v>5249</v>
      </c>
    </row>
    <row r="960" spans="1:19" x14ac:dyDescent="0.2">
      <c r="A960" s="761">
        <v>2016</v>
      </c>
      <c r="B960" s="761">
        <v>5</v>
      </c>
      <c r="C960" s="796" t="s">
        <v>365</v>
      </c>
      <c r="D960" s="796"/>
      <c r="E960" s="796"/>
      <c r="F960" s="761">
        <v>6516</v>
      </c>
      <c r="G960" s="761" t="s">
        <v>1307</v>
      </c>
      <c r="H960" s="799">
        <v>0</v>
      </c>
      <c r="I960" s="799">
        <v>0</v>
      </c>
      <c r="J960" s="799">
        <v>0</v>
      </c>
      <c r="K960" s="799">
        <v>0</v>
      </c>
      <c r="L960" s="799">
        <v>0</v>
      </c>
      <c r="M960" s="799">
        <v>0</v>
      </c>
      <c r="N960" s="799">
        <v>0</v>
      </c>
      <c r="O960" s="799">
        <v>5359</v>
      </c>
      <c r="P960" s="799">
        <v>0</v>
      </c>
      <c r="Q960" s="799">
        <v>0</v>
      </c>
      <c r="R960" s="799">
        <v>42908</v>
      </c>
      <c r="S960" s="799">
        <v>38220</v>
      </c>
    </row>
    <row r="961" spans="1:19" x14ac:dyDescent="0.2">
      <c r="A961" s="761">
        <v>2016</v>
      </c>
      <c r="B961" s="761">
        <v>13</v>
      </c>
      <c r="C961" s="796" t="s">
        <v>366</v>
      </c>
      <c r="D961" s="796"/>
      <c r="E961" s="796"/>
      <c r="F961" s="761">
        <v>6534</v>
      </c>
      <c r="G961" s="761" t="s">
        <v>1312</v>
      </c>
      <c r="H961" s="799">
        <v>0</v>
      </c>
      <c r="I961" s="799">
        <v>0</v>
      </c>
      <c r="J961" s="799">
        <v>0</v>
      </c>
      <c r="K961" s="799">
        <v>0</v>
      </c>
      <c r="L961" s="799">
        <v>0</v>
      </c>
      <c r="M961" s="799">
        <v>57940</v>
      </c>
      <c r="N961" s="799">
        <v>11884</v>
      </c>
      <c r="O961" s="799">
        <v>454</v>
      </c>
      <c r="P961" s="799">
        <v>0</v>
      </c>
      <c r="Q961" s="799">
        <v>0</v>
      </c>
      <c r="R961" s="799">
        <v>0</v>
      </c>
      <c r="S961" s="799">
        <v>33046</v>
      </c>
    </row>
    <row r="962" spans="1:19" x14ac:dyDescent="0.2">
      <c r="A962" s="761">
        <v>2016</v>
      </c>
      <c r="B962" s="761">
        <v>11</v>
      </c>
      <c r="C962" s="796" t="s">
        <v>367</v>
      </c>
      <c r="D962" s="796"/>
      <c r="E962" s="796"/>
      <c r="F962" s="761">
        <v>6561</v>
      </c>
      <c r="G962" s="761" t="s">
        <v>1313</v>
      </c>
      <c r="H962" s="799">
        <v>67683</v>
      </c>
      <c r="I962" s="799">
        <v>0</v>
      </c>
      <c r="J962" s="799">
        <v>71141</v>
      </c>
      <c r="K962" s="799">
        <v>0</v>
      </c>
      <c r="L962" s="799">
        <v>0</v>
      </c>
      <c r="M962" s="799">
        <v>0</v>
      </c>
      <c r="N962" s="799">
        <v>0</v>
      </c>
      <c r="O962" s="799">
        <v>34370</v>
      </c>
      <c r="P962" s="799">
        <v>8802</v>
      </c>
      <c r="Q962" s="799">
        <v>20172</v>
      </c>
      <c r="R962" s="799">
        <v>14295</v>
      </c>
      <c r="S962" s="799">
        <v>29305</v>
      </c>
    </row>
    <row r="963" spans="1:19" x14ac:dyDescent="0.2">
      <c r="A963" s="761">
        <v>2016</v>
      </c>
      <c r="B963" s="761">
        <v>11</v>
      </c>
      <c r="C963" s="796" t="s">
        <v>368</v>
      </c>
      <c r="D963" s="796"/>
      <c r="E963" s="796"/>
      <c r="F963" s="761">
        <v>6579</v>
      </c>
      <c r="G963" s="761" t="s">
        <v>1314</v>
      </c>
      <c r="H963" s="799">
        <v>0</v>
      </c>
      <c r="I963" s="799">
        <v>0</v>
      </c>
      <c r="J963" s="799">
        <v>0</v>
      </c>
      <c r="K963" s="799">
        <v>0</v>
      </c>
      <c r="L963" s="799">
        <v>0</v>
      </c>
      <c r="M963" s="799">
        <v>0</v>
      </c>
      <c r="N963" s="799">
        <v>0</v>
      </c>
      <c r="O963" s="799">
        <v>98527</v>
      </c>
      <c r="P963" s="799">
        <v>150464</v>
      </c>
      <c r="Q963" s="799">
        <v>0</v>
      </c>
      <c r="R963" s="799">
        <v>352871</v>
      </c>
      <c r="S963" s="799">
        <v>9541</v>
      </c>
    </row>
    <row r="964" spans="1:19" x14ac:dyDescent="0.2">
      <c r="A964" s="761">
        <v>2016</v>
      </c>
      <c r="B964" s="761">
        <v>1</v>
      </c>
      <c r="C964" s="796" t="s">
        <v>369</v>
      </c>
      <c r="D964" s="796"/>
      <c r="E964" s="796"/>
      <c r="F964" s="761">
        <v>6591</v>
      </c>
      <c r="G964" s="761" t="s">
        <v>1333</v>
      </c>
      <c r="H964" s="799">
        <v>0</v>
      </c>
      <c r="I964" s="799">
        <v>0</v>
      </c>
      <c r="J964" s="799">
        <v>9428</v>
      </c>
      <c r="K964" s="799">
        <v>0</v>
      </c>
      <c r="L964" s="799">
        <v>0</v>
      </c>
      <c r="M964" s="799">
        <v>40401</v>
      </c>
      <c r="N964" s="799">
        <v>0</v>
      </c>
      <c r="O964" s="799">
        <v>677</v>
      </c>
      <c r="P964" s="799">
        <v>20947</v>
      </c>
      <c r="Q964" s="799">
        <v>0</v>
      </c>
      <c r="R964" s="799">
        <v>56908</v>
      </c>
      <c r="S964" s="799">
        <v>44401</v>
      </c>
    </row>
    <row r="965" spans="1:19" x14ac:dyDescent="0.2">
      <c r="A965" s="761">
        <v>2016</v>
      </c>
      <c r="B965" s="761">
        <v>15</v>
      </c>
      <c r="C965" s="796" t="s">
        <v>370</v>
      </c>
      <c r="D965" s="796"/>
      <c r="E965" s="796"/>
      <c r="F965" s="761">
        <v>6592</v>
      </c>
      <c r="G965" s="761" t="s">
        <v>2013</v>
      </c>
      <c r="H965" s="799">
        <v>172842</v>
      </c>
      <c r="I965" s="799">
        <v>0</v>
      </c>
      <c r="J965" s="799">
        <v>100732</v>
      </c>
      <c r="K965" s="799">
        <v>58165</v>
      </c>
      <c r="L965" s="799">
        <v>0</v>
      </c>
      <c r="M965" s="799">
        <v>186678</v>
      </c>
      <c r="N965" s="799">
        <v>0</v>
      </c>
      <c r="O965" s="799">
        <v>0</v>
      </c>
      <c r="P965" s="799">
        <v>95</v>
      </c>
      <c r="Q965" s="799">
        <v>0</v>
      </c>
      <c r="R965" s="799">
        <v>0</v>
      </c>
      <c r="S965" s="799">
        <v>35775</v>
      </c>
    </row>
    <row r="966" spans="1:19" x14ac:dyDescent="0.2">
      <c r="A966" s="761">
        <v>2016</v>
      </c>
      <c r="B966" s="761">
        <v>11</v>
      </c>
      <c r="C966" s="796" t="s">
        <v>371</v>
      </c>
      <c r="D966" s="796"/>
      <c r="E966" s="796"/>
      <c r="F966" s="761">
        <v>6615</v>
      </c>
      <c r="G966" s="761" t="s">
        <v>1334</v>
      </c>
      <c r="H966" s="799">
        <v>0</v>
      </c>
      <c r="I966" s="799">
        <v>0</v>
      </c>
      <c r="J966" s="799">
        <v>0</v>
      </c>
      <c r="K966" s="799">
        <v>0</v>
      </c>
      <c r="L966" s="799">
        <v>0</v>
      </c>
      <c r="M966" s="799">
        <v>0</v>
      </c>
      <c r="N966" s="799">
        <v>8425</v>
      </c>
      <c r="O966" s="799">
        <v>14013</v>
      </c>
      <c r="P966" s="799">
        <v>2623</v>
      </c>
      <c r="Q966" s="799">
        <v>0</v>
      </c>
      <c r="R966" s="799">
        <v>0</v>
      </c>
      <c r="S966" s="799">
        <v>7310</v>
      </c>
    </row>
    <row r="967" spans="1:19" x14ac:dyDescent="0.2">
      <c r="A967" s="761">
        <v>2016</v>
      </c>
      <c r="B967" s="761">
        <v>13</v>
      </c>
      <c r="C967" s="796" t="s">
        <v>372</v>
      </c>
      <c r="D967" s="796"/>
      <c r="E967" s="796"/>
      <c r="F967" s="761">
        <v>6651</v>
      </c>
      <c r="G967" s="761" t="s">
        <v>1335</v>
      </c>
      <c r="H967" s="799">
        <v>0</v>
      </c>
      <c r="I967" s="799">
        <v>0</v>
      </c>
      <c r="J967" s="799">
        <v>24426</v>
      </c>
      <c r="K967" s="799">
        <v>4598</v>
      </c>
      <c r="L967" s="799">
        <v>0</v>
      </c>
      <c r="M967" s="799">
        <v>0</v>
      </c>
      <c r="N967" s="799">
        <v>16444</v>
      </c>
      <c r="O967" s="799">
        <v>0</v>
      </c>
      <c r="P967" s="799">
        <v>0</v>
      </c>
      <c r="Q967" s="799">
        <v>0</v>
      </c>
      <c r="R967" s="799">
        <v>4941</v>
      </c>
      <c r="S967" s="799">
        <v>4666</v>
      </c>
    </row>
    <row r="968" spans="1:19" x14ac:dyDescent="0.2">
      <c r="A968" s="761">
        <v>2016</v>
      </c>
      <c r="B968" s="761">
        <v>10</v>
      </c>
      <c r="C968" s="796" t="s">
        <v>373</v>
      </c>
      <c r="D968" s="796"/>
      <c r="E968" s="796"/>
      <c r="F968" s="761">
        <v>6660</v>
      </c>
      <c r="G968" s="761" t="s">
        <v>652</v>
      </c>
      <c r="H968" s="799">
        <v>34418</v>
      </c>
      <c r="I968" s="799">
        <v>3857</v>
      </c>
      <c r="J968" s="799">
        <v>120559</v>
      </c>
      <c r="K968" s="799">
        <v>98637</v>
      </c>
      <c r="L968" s="799">
        <v>0</v>
      </c>
      <c r="M968" s="799">
        <v>6533</v>
      </c>
      <c r="N968" s="799">
        <v>102101</v>
      </c>
      <c r="O968" s="799">
        <v>83177</v>
      </c>
      <c r="P968" s="799">
        <v>7689</v>
      </c>
      <c r="Q968" s="799">
        <v>0</v>
      </c>
      <c r="R968" s="799">
        <v>61670</v>
      </c>
      <c r="S968" s="799">
        <v>89019</v>
      </c>
    </row>
    <row r="969" spans="1:19" x14ac:dyDescent="0.2">
      <c r="A969" s="761">
        <v>2016</v>
      </c>
      <c r="B969" s="761">
        <v>15</v>
      </c>
      <c r="C969" s="796" t="s">
        <v>374</v>
      </c>
      <c r="D969" s="796"/>
      <c r="E969" s="796"/>
      <c r="F969" s="761">
        <v>6700</v>
      </c>
      <c r="G969" s="761" t="s">
        <v>1336</v>
      </c>
      <c r="H969" s="799">
        <v>134451</v>
      </c>
      <c r="I969" s="799">
        <v>4253</v>
      </c>
      <c r="J969" s="799">
        <v>107685</v>
      </c>
      <c r="K969" s="799">
        <v>80599</v>
      </c>
      <c r="L969" s="799">
        <v>10860</v>
      </c>
      <c r="M969" s="799">
        <v>0</v>
      </c>
      <c r="N969" s="799">
        <v>0</v>
      </c>
      <c r="O969" s="799">
        <v>0</v>
      </c>
      <c r="P969" s="799">
        <v>3698</v>
      </c>
      <c r="Q969" s="799">
        <v>0</v>
      </c>
      <c r="R969" s="799">
        <v>1398</v>
      </c>
      <c r="S969" s="799">
        <v>4413</v>
      </c>
    </row>
    <row r="970" spans="1:19" x14ac:dyDescent="0.2">
      <c r="A970" s="761">
        <v>2016</v>
      </c>
      <c r="B970" s="761">
        <v>5</v>
      </c>
      <c r="C970" s="796" t="s">
        <v>375</v>
      </c>
      <c r="D970" s="796"/>
      <c r="E970" s="796"/>
      <c r="F970" s="761">
        <v>6741</v>
      </c>
      <c r="G970" s="761" t="s">
        <v>1485</v>
      </c>
      <c r="H970" s="799">
        <v>0</v>
      </c>
      <c r="I970" s="799">
        <v>0</v>
      </c>
      <c r="J970" s="799">
        <v>0</v>
      </c>
      <c r="K970" s="799">
        <v>39940</v>
      </c>
      <c r="L970" s="799">
        <v>60611</v>
      </c>
      <c r="M970" s="799">
        <v>49030</v>
      </c>
      <c r="N970" s="799">
        <v>0</v>
      </c>
      <c r="O970" s="799">
        <v>0</v>
      </c>
      <c r="P970" s="799">
        <v>0</v>
      </c>
      <c r="Q970" s="799">
        <v>0</v>
      </c>
      <c r="R970" s="799">
        <v>0</v>
      </c>
      <c r="S970" s="799">
        <v>5040</v>
      </c>
    </row>
    <row r="971" spans="1:19" x14ac:dyDescent="0.2">
      <c r="A971" s="761">
        <v>2016</v>
      </c>
      <c r="B971" s="761">
        <v>15</v>
      </c>
      <c r="C971" s="796" t="s">
        <v>376</v>
      </c>
      <c r="D971" s="796"/>
      <c r="E971" s="796"/>
      <c r="F971" s="761">
        <v>6759</v>
      </c>
      <c r="G971" s="761" t="s">
        <v>1337</v>
      </c>
      <c r="H971" s="799">
        <v>41196</v>
      </c>
      <c r="I971" s="799">
        <v>0</v>
      </c>
      <c r="J971" s="799">
        <v>76061</v>
      </c>
      <c r="K971" s="799">
        <v>38311</v>
      </c>
      <c r="L971" s="799">
        <v>10291</v>
      </c>
      <c r="M971" s="799">
        <v>35579</v>
      </c>
      <c r="N971" s="799">
        <v>94066</v>
      </c>
      <c r="O971" s="799">
        <v>13761</v>
      </c>
      <c r="P971" s="799">
        <v>50152</v>
      </c>
      <c r="Q971" s="799">
        <v>0</v>
      </c>
      <c r="R971" s="799">
        <v>45482</v>
      </c>
      <c r="S971" s="799">
        <v>11753</v>
      </c>
    </row>
    <row r="972" spans="1:19" x14ac:dyDescent="0.2">
      <c r="A972" s="761">
        <v>2016</v>
      </c>
      <c r="B972" s="761">
        <v>7</v>
      </c>
      <c r="C972" s="796" t="s">
        <v>377</v>
      </c>
      <c r="D972" s="796"/>
      <c r="E972" s="796"/>
      <c r="F972" s="761">
        <v>6762</v>
      </c>
      <c r="G972" s="761" t="s">
        <v>1338</v>
      </c>
      <c r="H972" s="799">
        <v>0</v>
      </c>
      <c r="I972" s="799">
        <v>128360</v>
      </c>
      <c r="J972" s="799">
        <v>0</v>
      </c>
      <c r="K972" s="799">
        <v>0</v>
      </c>
      <c r="L972" s="799">
        <v>7610</v>
      </c>
      <c r="M972" s="799">
        <v>56390</v>
      </c>
      <c r="N972" s="799">
        <v>83527</v>
      </c>
      <c r="O972" s="799">
        <v>50587</v>
      </c>
      <c r="P972" s="799">
        <v>10419</v>
      </c>
      <c r="Q972" s="799">
        <v>0</v>
      </c>
      <c r="R972" s="799">
        <v>0</v>
      </c>
      <c r="S972" s="799">
        <v>55116</v>
      </c>
    </row>
    <row r="973" spans="1:19" x14ac:dyDescent="0.2">
      <c r="A973" s="761">
        <v>2016</v>
      </c>
      <c r="B973" s="761">
        <v>10</v>
      </c>
      <c r="C973" s="796" t="s">
        <v>378</v>
      </c>
      <c r="D973" s="796"/>
      <c r="E973" s="796"/>
      <c r="F973" s="761">
        <v>6768</v>
      </c>
      <c r="G973" s="761" t="s">
        <v>1339</v>
      </c>
      <c r="H973" s="799">
        <v>73160</v>
      </c>
      <c r="I973" s="799">
        <v>0</v>
      </c>
      <c r="J973" s="799">
        <v>40524</v>
      </c>
      <c r="K973" s="799">
        <v>256336</v>
      </c>
      <c r="L973" s="799">
        <v>0</v>
      </c>
      <c r="M973" s="799">
        <v>35147</v>
      </c>
      <c r="N973" s="799">
        <v>108844</v>
      </c>
      <c r="O973" s="799">
        <v>38367</v>
      </c>
      <c r="P973" s="799">
        <v>19708</v>
      </c>
      <c r="Q973" s="799">
        <v>0</v>
      </c>
      <c r="R973" s="799">
        <v>0</v>
      </c>
      <c r="S973" s="799">
        <v>542849</v>
      </c>
    </row>
    <row r="974" spans="1:19" x14ac:dyDescent="0.2">
      <c r="A974" s="761">
        <v>2016</v>
      </c>
      <c r="B974" s="761">
        <v>7</v>
      </c>
      <c r="C974" s="796" t="s">
        <v>379</v>
      </c>
      <c r="D974" s="796"/>
      <c r="E974" s="796"/>
      <c r="F974" s="761">
        <v>6795</v>
      </c>
      <c r="G974" s="761" t="s">
        <v>1340</v>
      </c>
      <c r="H974" s="799">
        <v>0</v>
      </c>
      <c r="I974" s="799">
        <v>0</v>
      </c>
      <c r="J974" s="799">
        <v>0</v>
      </c>
      <c r="K974" s="799">
        <v>0</v>
      </c>
      <c r="L974" s="799">
        <v>335563</v>
      </c>
      <c r="M974" s="799">
        <v>315368</v>
      </c>
      <c r="N974" s="799">
        <v>0</v>
      </c>
      <c r="O974" s="799">
        <v>274747</v>
      </c>
      <c r="P974" s="799">
        <v>0</v>
      </c>
      <c r="Q974" s="799">
        <v>0</v>
      </c>
      <c r="R974" s="799">
        <v>22829</v>
      </c>
      <c r="S974" s="799">
        <v>5795</v>
      </c>
    </row>
    <row r="975" spans="1:19" x14ac:dyDescent="0.2">
      <c r="A975" s="761">
        <v>2016</v>
      </c>
      <c r="B975" s="761">
        <v>11</v>
      </c>
      <c r="C975" s="796" t="s">
        <v>380</v>
      </c>
      <c r="D975" s="796"/>
      <c r="E975" s="796"/>
      <c r="F975" s="761">
        <v>6822</v>
      </c>
      <c r="G975" s="761" t="s">
        <v>1341</v>
      </c>
      <c r="H975" s="799">
        <v>0</v>
      </c>
      <c r="I975" s="799">
        <v>0</v>
      </c>
      <c r="J975" s="799">
        <v>8273</v>
      </c>
      <c r="K975" s="799">
        <v>0</v>
      </c>
      <c r="L975" s="799">
        <v>0</v>
      </c>
      <c r="M975" s="799">
        <v>0</v>
      </c>
      <c r="N975" s="799">
        <v>0</v>
      </c>
      <c r="O975" s="799">
        <v>234051</v>
      </c>
      <c r="P975" s="799">
        <v>243304</v>
      </c>
      <c r="Q975" s="799">
        <v>0</v>
      </c>
      <c r="R975" s="799">
        <v>535616</v>
      </c>
      <c r="S975" s="799">
        <v>96788</v>
      </c>
    </row>
    <row r="976" spans="1:19" x14ac:dyDescent="0.2">
      <c r="A976" s="761">
        <v>2016</v>
      </c>
      <c r="B976" s="761">
        <v>7</v>
      </c>
      <c r="C976" s="796" t="s">
        <v>381</v>
      </c>
      <c r="D976" s="796"/>
      <c r="E976" s="796"/>
      <c r="F976" s="761">
        <v>6840</v>
      </c>
      <c r="G976" s="761" t="s">
        <v>1342</v>
      </c>
      <c r="H976" s="799">
        <v>1910</v>
      </c>
      <c r="I976" s="799">
        <v>0</v>
      </c>
      <c r="J976" s="799">
        <v>0</v>
      </c>
      <c r="K976" s="799">
        <v>106788</v>
      </c>
      <c r="L976" s="799">
        <v>0</v>
      </c>
      <c r="M976" s="799">
        <v>3368</v>
      </c>
      <c r="N976" s="799">
        <v>0</v>
      </c>
      <c r="O976" s="799">
        <v>0</v>
      </c>
      <c r="P976" s="799">
        <v>554</v>
      </c>
      <c r="Q976" s="799">
        <v>0</v>
      </c>
      <c r="R976" s="799">
        <v>33026</v>
      </c>
      <c r="S976" s="799">
        <v>2292</v>
      </c>
    </row>
    <row r="977" spans="1:19" x14ac:dyDescent="0.2">
      <c r="A977" s="761">
        <v>2016</v>
      </c>
      <c r="B977" s="761">
        <v>15</v>
      </c>
      <c r="C977" s="796" t="s">
        <v>382</v>
      </c>
      <c r="D977" s="796"/>
      <c r="E977" s="796"/>
      <c r="F977" s="761">
        <v>6854</v>
      </c>
      <c r="G977" s="761" t="s">
        <v>1343</v>
      </c>
      <c r="H977" s="799">
        <v>131666</v>
      </c>
      <c r="I977" s="799">
        <v>0</v>
      </c>
      <c r="J977" s="799">
        <v>0</v>
      </c>
      <c r="K977" s="799">
        <v>0</v>
      </c>
      <c r="L977" s="799">
        <v>0</v>
      </c>
      <c r="M977" s="799">
        <v>35210</v>
      </c>
      <c r="N977" s="799">
        <v>9693</v>
      </c>
      <c r="O977" s="799">
        <v>79404</v>
      </c>
      <c r="P977" s="799">
        <v>33046</v>
      </c>
      <c r="Q977" s="799">
        <v>0</v>
      </c>
      <c r="R977" s="799">
        <v>9994</v>
      </c>
      <c r="S977" s="799">
        <v>1738</v>
      </c>
    </row>
    <row r="978" spans="1:19" x14ac:dyDescent="0.2">
      <c r="A978" s="761">
        <v>2016</v>
      </c>
      <c r="B978" s="761">
        <v>5</v>
      </c>
      <c r="C978" s="796" t="s">
        <v>383</v>
      </c>
      <c r="D978" s="796"/>
      <c r="E978" s="796"/>
      <c r="F978" s="761">
        <v>6867</v>
      </c>
      <c r="G978" s="761" t="s">
        <v>1344</v>
      </c>
      <c r="H978" s="799">
        <v>0</v>
      </c>
      <c r="I978" s="799">
        <v>0</v>
      </c>
      <c r="J978" s="799">
        <v>0</v>
      </c>
      <c r="K978" s="799">
        <v>0</v>
      </c>
      <c r="L978" s="799">
        <v>0</v>
      </c>
      <c r="M978" s="799">
        <v>14044</v>
      </c>
      <c r="N978" s="799">
        <v>0</v>
      </c>
      <c r="O978" s="799">
        <v>20353</v>
      </c>
      <c r="P978" s="799">
        <v>0</v>
      </c>
      <c r="Q978" s="799">
        <v>0</v>
      </c>
      <c r="R978" s="799">
        <v>3367</v>
      </c>
      <c r="S978" s="799">
        <v>52666</v>
      </c>
    </row>
    <row r="979" spans="1:19" x14ac:dyDescent="0.2">
      <c r="A979" s="761">
        <v>2016</v>
      </c>
      <c r="B979" s="761">
        <v>5</v>
      </c>
      <c r="C979" s="796" t="s">
        <v>384</v>
      </c>
      <c r="D979" s="796"/>
      <c r="E979" s="796"/>
      <c r="F979" s="761">
        <v>6921</v>
      </c>
      <c r="G979" s="761" t="s">
        <v>653</v>
      </c>
      <c r="H979" s="799">
        <v>0</v>
      </c>
      <c r="I979" s="799">
        <v>3200</v>
      </c>
      <c r="J979" s="799">
        <v>71991</v>
      </c>
      <c r="K979" s="799">
        <v>3467</v>
      </c>
      <c r="L979" s="799">
        <v>0</v>
      </c>
      <c r="M979" s="799">
        <v>8991</v>
      </c>
      <c r="N979" s="799">
        <v>0</v>
      </c>
      <c r="O979" s="799">
        <v>45102</v>
      </c>
      <c r="P979" s="799">
        <v>40150</v>
      </c>
      <c r="Q979" s="799">
        <v>0</v>
      </c>
      <c r="R979" s="799">
        <v>0</v>
      </c>
      <c r="S979" s="799">
        <v>35910</v>
      </c>
    </row>
    <row r="980" spans="1:19" x14ac:dyDescent="0.2">
      <c r="A980" s="761">
        <v>2016</v>
      </c>
      <c r="B980" s="761">
        <v>10</v>
      </c>
      <c r="C980" s="796" t="s">
        <v>385</v>
      </c>
      <c r="D980" s="796"/>
      <c r="E980" s="796"/>
      <c r="F980" s="761">
        <v>6930</v>
      </c>
      <c r="G980" s="761" t="s">
        <v>1345</v>
      </c>
      <c r="H980" s="799">
        <v>2041</v>
      </c>
      <c r="I980" s="799">
        <v>5001</v>
      </c>
      <c r="J980" s="799">
        <v>132440</v>
      </c>
      <c r="K980" s="799">
        <v>171564</v>
      </c>
      <c r="L980" s="799">
        <v>0</v>
      </c>
      <c r="M980" s="799">
        <v>134143</v>
      </c>
      <c r="N980" s="799">
        <v>97366</v>
      </c>
      <c r="O980" s="799">
        <v>2142</v>
      </c>
      <c r="P980" s="799">
        <v>17222</v>
      </c>
      <c r="Q980" s="799">
        <v>92348</v>
      </c>
      <c r="R980" s="799">
        <v>48352</v>
      </c>
      <c r="S980" s="799">
        <v>26046</v>
      </c>
    </row>
    <row r="981" spans="1:19" x14ac:dyDescent="0.2">
      <c r="A981" s="761">
        <v>2016</v>
      </c>
      <c r="B981" s="761">
        <v>15</v>
      </c>
      <c r="C981" s="796" t="s">
        <v>386</v>
      </c>
      <c r="D981" s="796"/>
      <c r="E981" s="796"/>
      <c r="F981" s="761">
        <v>6937</v>
      </c>
      <c r="G981" s="761" t="s">
        <v>1346</v>
      </c>
      <c r="H981" s="799">
        <v>0</v>
      </c>
      <c r="I981" s="799">
        <v>0</v>
      </c>
      <c r="J981" s="799">
        <v>0</v>
      </c>
      <c r="K981" s="799">
        <v>0</v>
      </c>
      <c r="L981" s="799">
        <v>0</v>
      </c>
      <c r="M981" s="799">
        <v>13000</v>
      </c>
      <c r="N981" s="799">
        <v>16200</v>
      </c>
      <c r="O981" s="799">
        <v>21112</v>
      </c>
      <c r="P981" s="799">
        <v>0</v>
      </c>
      <c r="Q981" s="799">
        <v>0</v>
      </c>
      <c r="R981" s="799">
        <v>0</v>
      </c>
      <c r="S981" s="799">
        <v>925</v>
      </c>
    </row>
    <row r="982" spans="1:19" x14ac:dyDescent="0.2">
      <c r="A982" s="761">
        <v>2016</v>
      </c>
      <c r="B982" s="761">
        <v>1</v>
      </c>
      <c r="C982" s="796" t="s">
        <v>387</v>
      </c>
      <c r="D982" s="796"/>
      <c r="E982" s="796"/>
      <c r="F982" s="761">
        <v>6943</v>
      </c>
      <c r="G982" s="761" t="s">
        <v>1347</v>
      </c>
      <c r="H982" s="799">
        <v>1938</v>
      </c>
      <c r="I982" s="799">
        <v>0</v>
      </c>
      <c r="J982" s="799">
        <v>6298</v>
      </c>
      <c r="K982" s="799">
        <v>52847</v>
      </c>
      <c r="L982" s="799">
        <v>0</v>
      </c>
      <c r="M982" s="799">
        <v>14010</v>
      </c>
      <c r="N982" s="799">
        <v>964</v>
      </c>
      <c r="O982" s="799">
        <v>19007</v>
      </c>
      <c r="P982" s="799">
        <v>30952</v>
      </c>
      <c r="Q982" s="799">
        <v>0</v>
      </c>
      <c r="R982" s="799">
        <v>2421</v>
      </c>
      <c r="S982" s="799">
        <v>38647</v>
      </c>
    </row>
    <row r="983" spans="1:19" x14ac:dyDescent="0.2">
      <c r="A983" s="761">
        <v>2016</v>
      </c>
      <c r="B983" s="761">
        <v>1</v>
      </c>
      <c r="C983" s="796" t="s">
        <v>388</v>
      </c>
      <c r="D983" s="796"/>
      <c r="E983" s="796"/>
      <c r="F983" s="761">
        <v>6950</v>
      </c>
      <c r="G983" s="761" t="s">
        <v>1348</v>
      </c>
      <c r="H983" s="799">
        <v>6472</v>
      </c>
      <c r="I983" s="799">
        <v>11826</v>
      </c>
      <c r="J983" s="799">
        <v>72349</v>
      </c>
      <c r="K983" s="799">
        <v>41580</v>
      </c>
      <c r="L983" s="799">
        <v>0</v>
      </c>
      <c r="M983" s="799">
        <v>27875</v>
      </c>
      <c r="N983" s="799">
        <v>67636</v>
      </c>
      <c r="O983" s="799">
        <v>64517</v>
      </c>
      <c r="P983" s="799">
        <v>13908</v>
      </c>
      <c r="Q983" s="799">
        <v>0</v>
      </c>
      <c r="R983" s="799">
        <v>71373</v>
      </c>
      <c r="S983" s="799">
        <v>41456</v>
      </c>
    </row>
    <row r="984" spans="1:19" x14ac:dyDescent="0.2">
      <c r="A984" s="761">
        <v>2016</v>
      </c>
      <c r="B984" s="761">
        <v>11</v>
      </c>
      <c r="C984" s="796" t="s">
        <v>389</v>
      </c>
      <c r="D984" s="796"/>
      <c r="E984" s="796"/>
      <c r="F984" s="761">
        <v>6957</v>
      </c>
      <c r="G984" s="761" t="s">
        <v>1349</v>
      </c>
      <c r="H984" s="799">
        <v>459457</v>
      </c>
      <c r="I984" s="799">
        <v>0</v>
      </c>
      <c r="J984" s="799">
        <v>498737</v>
      </c>
      <c r="K984" s="799">
        <v>296407</v>
      </c>
      <c r="L984" s="799">
        <v>0</v>
      </c>
      <c r="M984" s="799">
        <v>114769</v>
      </c>
      <c r="N984" s="799">
        <v>3824</v>
      </c>
      <c r="O984" s="799">
        <v>347347</v>
      </c>
      <c r="P984" s="799">
        <v>170927</v>
      </c>
      <c r="Q984" s="799">
        <v>58135</v>
      </c>
      <c r="R984" s="799">
        <v>1480946</v>
      </c>
      <c r="S984" s="799">
        <v>374495</v>
      </c>
    </row>
    <row r="985" spans="1:19" x14ac:dyDescent="0.2">
      <c r="A985" s="761">
        <v>2016</v>
      </c>
      <c r="B985" s="761">
        <v>1</v>
      </c>
      <c r="C985" s="796" t="s">
        <v>390</v>
      </c>
      <c r="D985" s="796"/>
      <c r="E985" s="796"/>
      <c r="F985" s="761">
        <v>6961</v>
      </c>
      <c r="G985" s="761" t="s">
        <v>1350</v>
      </c>
      <c r="H985" s="799">
        <v>38598</v>
      </c>
      <c r="I985" s="799">
        <v>0</v>
      </c>
      <c r="J985" s="799">
        <v>0</v>
      </c>
      <c r="K985" s="799">
        <v>123556</v>
      </c>
      <c r="L985" s="799">
        <v>0</v>
      </c>
      <c r="M985" s="799">
        <v>0</v>
      </c>
      <c r="N985" s="799">
        <v>22070</v>
      </c>
      <c r="O985" s="799">
        <v>160057</v>
      </c>
      <c r="P985" s="799">
        <v>157502</v>
      </c>
      <c r="Q985" s="799">
        <v>0</v>
      </c>
      <c r="R985" s="799">
        <v>354706</v>
      </c>
      <c r="S985" s="799">
        <v>71798</v>
      </c>
    </row>
    <row r="986" spans="1:19" x14ac:dyDescent="0.2">
      <c r="A986" s="761">
        <v>2016</v>
      </c>
      <c r="B986" s="761">
        <v>13</v>
      </c>
      <c r="C986" s="796" t="s">
        <v>391</v>
      </c>
      <c r="D986" s="796"/>
      <c r="E986" s="796"/>
      <c r="F986" s="761">
        <v>6969</v>
      </c>
      <c r="G986" s="761" t="s">
        <v>1393</v>
      </c>
      <c r="H986" s="799">
        <v>0</v>
      </c>
      <c r="I986" s="799">
        <v>2748</v>
      </c>
      <c r="J986" s="799">
        <v>0</v>
      </c>
      <c r="K986" s="799">
        <v>0</v>
      </c>
      <c r="L986" s="799">
        <v>0</v>
      </c>
      <c r="M986" s="799">
        <v>0</v>
      </c>
      <c r="N986" s="799">
        <v>24161</v>
      </c>
      <c r="O986" s="799">
        <v>32395</v>
      </c>
      <c r="P986" s="799">
        <v>14456</v>
      </c>
      <c r="Q986" s="799">
        <v>0</v>
      </c>
      <c r="R986" s="799">
        <v>0</v>
      </c>
      <c r="S986" s="799">
        <v>33512</v>
      </c>
    </row>
    <row r="987" spans="1:19" x14ac:dyDescent="0.2">
      <c r="A987" s="761">
        <v>2016</v>
      </c>
      <c r="B987" s="761">
        <v>9</v>
      </c>
      <c r="C987" s="796" t="s">
        <v>392</v>
      </c>
      <c r="D987" s="796"/>
      <c r="E987" s="796"/>
      <c r="F987" s="761">
        <v>6975</v>
      </c>
      <c r="G987" s="761" t="s">
        <v>1394</v>
      </c>
      <c r="H987" s="799">
        <v>0</v>
      </c>
      <c r="I987" s="799">
        <v>0</v>
      </c>
      <c r="J987" s="799">
        <v>45997</v>
      </c>
      <c r="K987" s="799">
        <v>13108</v>
      </c>
      <c r="L987" s="799">
        <v>0</v>
      </c>
      <c r="M987" s="799">
        <v>0</v>
      </c>
      <c r="N987" s="799">
        <v>0</v>
      </c>
      <c r="O987" s="799">
        <v>18319</v>
      </c>
      <c r="P987" s="799">
        <v>22565</v>
      </c>
      <c r="Q987" s="799">
        <v>0</v>
      </c>
      <c r="R987" s="799">
        <v>0</v>
      </c>
      <c r="S987" s="799">
        <v>2176</v>
      </c>
    </row>
    <row r="988" spans="1:19" x14ac:dyDescent="0.2">
      <c r="A988" s="761">
        <v>2016</v>
      </c>
      <c r="B988" s="761">
        <v>12</v>
      </c>
      <c r="C988" s="796" t="s">
        <v>393</v>
      </c>
      <c r="D988" s="796"/>
      <c r="E988" s="796"/>
      <c r="F988" s="761">
        <v>6983</v>
      </c>
      <c r="G988" s="761" t="s">
        <v>1395</v>
      </c>
      <c r="H988" s="799">
        <v>0</v>
      </c>
      <c r="I988" s="799">
        <v>0</v>
      </c>
      <c r="J988" s="799">
        <v>0</v>
      </c>
      <c r="K988" s="799">
        <v>0</v>
      </c>
      <c r="L988" s="799">
        <v>0</v>
      </c>
      <c r="M988" s="799">
        <v>188569</v>
      </c>
      <c r="N988" s="799">
        <v>0</v>
      </c>
      <c r="O988" s="799">
        <v>20941</v>
      </c>
      <c r="P988" s="799">
        <v>49863</v>
      </c>
      <c r="Q988" s="799">
        <v>0</v>
      </c>
      <c r="R988" s="799">
        <v>0</v>
      </c>
      <c r="S988" s="799">
        <v>38405</v>
      </c>
    </row>
    <row r="989" spans="1:19" x14ac:dyDescent="0.2">
      <c r="A989" s="761">
        <v>2016</v>
      </c>
      <c r="B989" s="761">
        <v>7</v>
      </c>
      <c r="C989" s="796" t="s">
        <v>394</v>
      </c>
      <c r="D989" s="796"/>
      <c r="E989" s="796"/>
      <c r="F989" s="761">
        <v>6985</v>
      </c>
      <c r="G989" s="761" t="s">
        <v>1396</v>
      </c>
      <c r="H989" s="799">
        <v>21602</v>
      </c>
      <c r="I989" s="799">
        <v>4725</v>
      </c>
      <c r="J989" s="799">
        <v>720</v>
      </c>
      <c r="K989" s="799">
        <v>118280</v>
      </c>
      <c r="L989" s="799">
        <v>35768</v>
      </c>
      <c r="M989" s="799">
        <v>69164</v>
      </c>
      <c r="N989" s="799">
        <v>16251</v>
      </c>
      <c r="O989" s="799">
        <v>4</v>
      </c>
      <c r="P989" s="799">
        <v>26494</v>
      </c>
      <c r="Q989" s="799">
        <v>17562</v>
      </c>
      <c r="R989" s="799">
        <v>83</v>
      </c>
      <c r="S989" s="799">
        <v>15876</v>
      </c>
    </row>
    <row r="990" spans="1:19" x14ac:dyDescent="0.2">
      <c r="A990" s="761">
        <v>2016</v>
      </c>
      <c r="B990" s="761">
        <v>12</v>
      </c>
      <c r="C990" s="796" t="s">
        <v>395</v>
      </c>
      <c r="D990" s="796"/>
      <c r="E990" s="796"/>
      <c r="F990" s="761">
        <v>6987</v>
      </c>
      <c r="G990" s="761" t="s">
        <v>1397</v>
      </c>
      <c r="H990" s="799">
        <v>65080</v>
      </c>
      <c r="I990" s="799">
        <v>16905</v>
      </c>
      <c r="J990" s="799">
        <v>264</v>
      </c>
      <c r="K990" s="799">
        <v>123714</v>
      </c>
      <c r="L990" s="799">
        <v>60117</v>
      </c>
      <c r="M990" s="799">
        <v>82846</v>
      </c>
      <c r="N990" s="799">
        <v>8138</v>
      </c>
      <c r="O990" s="799">
        <v>731</v>
      </c>
      <c r="P990" s="799">
        <v>4819</v>
      </c>
      <c r="Q990" s="799">
        <v>0</v>
      </c>
      <c r="R990" s="799">
        <v>0</v>
      </c>
      <c r="S990" s="799">
        <v>77362</v>
      </c>
    </row>
    <row r="991" spans="1:19" x14ac:dyDescent="0.2">
      <c r="A991" s="761">
        <v>2016</v>
      </c>
      <c r="B991" s="761">
        <v>12</v>
      </c>
      <c r="C991" s="796" t="s">
        <v>396</v>
      </c>
      <c r="D991" s="796"/>
      <c r="E991" s="796"/>
      <c r="F991" s="761">
        <v>6990</v>
      </c>
      <c r="G991" s="761" t="s">
        <v>1398</v>
      </c>
      <c r="H991" s="799">
        <v>7087</v>
      </c>
      <c r="I991" s="799">
        <v>0</v>
      </c>
      <c r="J991" s="799">
        <v>30301</v>
      </c>
      <c r="K991" s="799">
        <v>96947</v>
      </c>
      <c r="L991" s="799">
        <v>0</v>
      </c>
      <c r="M991" s="799">
        <v>0</v>
      </c>
      <c r="N991" s="799">
        <v>437</v>
      </c>
      <c r="O991" s="799">
        <v>15186</v>
      </c>
      <c r="P991" s="799">
        <v>23049</v>
      </c>
      <c r="Q991" s="799">
        <v>0</v>
      </c>
      <c r="R991" s="799">
        <v>0</v>
      </c>
      <c r="S991" s="799">
        <v>53164</v>
      </c>
    </row>
    <row r="992" spans="1:19" x14ac:dyDescent="0.2">
      <c r="A992" s="761">
        <v>2016</v>
      </c>
      <c r="B992" s="761">
        <v>12</v>
      </c>
      <c r="C992" s="796" t="s">
        <v>397</v>
      </c>
      <c r="D992" s="796"/>
      <c r="E992" s="796"/>
      <c r="F992" s="761">
        <v>6992</v>
      </c>
      <c r="G992" s="761" t="s">
        <v>1399</v>
      </c>
      <c r="H992" s="799">
        <v>0</v>
      </c>
      <c r="I992" s="799">
        <v>0</v>
      </c>
      <c r="J992" s="799">
        <v>0</v>
      </c>
      <c r="K992" s="799">
        <v>0</v>
      </c>
      <c r="L992" s="799">
        <v>0</v>
      </c>
      <c r="M992" s="799">
        <v>81909</v>
      </c>
      <c r="N992" s="799">
        <v>1610</v>
      </c>
      <c r="O992" s="799">
        <v>40752</v>
      </c>
      <c r="P992" s="799">
        <v>0</v>
      </c>
      <c r="Q992" s="799">
        <v>0</v>
      </c>
      <c r="R992" s="799">
        <v>2864</v>
      </c>
      <c r="S992" s="799">
        <v>38943</v>
      </c>
    </row>
    <row r="993" spans="1:19" x14ac:dyDescent="0.2">
      <c r="A993" s="761">
        <v>2016</v>
      </c>
      <c r="B993" s="761">
        <v>12</v>
      </c>
      <c r="C993" s="796" t="s">
        <v>398</v>
      </c>
      <c r="D993" s="796"/>
      <c r="E993" s="796"/>
      <c r="F993" s="761">
        <v>7002</v>
      </c>
      <c r="G993" s="761" t="s">
        <v>1400</v>
      </c>
      <c r="H993" s="799">
        <v>0</v>
      </c>
      <c r="I993" s="799">
        <v>0</v>
      </c>
      <c r="J993" s="799">
        <v>0</v>
      </c>
      <c r="K993" s="799">
        <v>0</v>
      </c>
      <c r="L993" s="799">
        <v>13784</v>
      </c>
      <c r="M993" s="799">
        <v>0</v>
      </c>
      <c r="N993" s="799">
        <v>0</v>
      </c>
      <c r="O993" s="799">
        <v>0</v>
      </c>
      <c r="P993" s="799">
        <v>0</v>
      </c>
      <c r="Q993" s="799">
        <v>0</v>
      </c>
      <c r="R993" s="799">
        <v>0</v>
      </c>
      <c r="S993" s="799">
        <v>0</v>
      </c>
    </row>
    <row r="994" spans="1:19" x14ac:dyDescent="0.2">
      <c r="A994" s="761">
        <v>2016</v>
      </c>
      <c r="B994" s="761">
        <v>10</v>
      </c>
      <c r="C994" s="796" t="s">
        <v>399</v>
      </c>
      <c r="D994" s="796"/>
      <c r="E994" s="796"/>
      <c r="F994" s="761">
        <v>7029</v>
      </c>
      <c r="G994" s="761" t="s">
        <v>1401</v>
      </c>
      <c r="H994" s="799">
        <v>0</v>
      </c>
      <c r="I994" s="799">
        <v>47690</v>
      </c>
      <c r="J994" s="799">
        <v>5636</v>
      </c>
      <c r="K994" s="799">
        <v>34728</v>
      </c>
      <c r="L994" s="799">
        <v>0</v>
      </c>
      <c r="M994" s="799">
        <v>110506</v>
      </c>
      <c r="N994" s="799">
        <v>44184</v>
      </c>
      <c r="O994" s="799">
        <v>0</v>
      </c>
      <c r="P994" s="799">
        <v>6594</v>
      </c>
      <c r="Q994" s="799">
        <v>0</v>
      </c>
      <c r="R994" s="799">
        <v>63421</v>
      </c>
      <c r="S994" s="799">
        <v>39503</v>
      </c>
    </row>
    <row r="995" spans="1:19" x14ac:dyDescent="0.2">
      <c r="A995" s="761">
        <v>2016</v>
      </c>
      <c r="B995" s="761">
        <v>9</v>
      </c>
      <c r="C995" s="796" t="s">
        <v>400</v>
      </c>
      <c r="D995" s="796"/>
      <c r="E995" s="796"/>
      <c r="F995" s="761">
        <v>7038</v>
      </c>
      <c r="G995" s="761" t="s">
        <v>1402</v>
      </c>
      <c r="H995" s="799">
        <v>14450</v>
      </c>
      <c r="I995" s="799">
        <v>7089</v>
      </c>
      <c r="J995" s="799">
        <v>0</v>
      </c>
      <c r="K995" s="799">
        <v>0</v>
      </c>
      <c r="L995" s="799">
        <v>0</v>
      </c>
      <c r="M995" s="799">
        <v>48644</v>
      </c>
      <c r="N995" s="799">
        <v>1</v>
      </c>
      <c r="O995" s="799">
        <v>37439</v>
      </c>
      <c r="P995" s="799">
        <v>23757</v>
      </c>
      <c r="Q995" s="799">
        <v>0</v>
      </c>
      <c r="R995" s="799">
        <v>0</v>
      </c>
      <c r="S995" s="799">
        <v>33146</v>
      </c>
    </row>
    <row r="996" spans="1:19" x14ac:dyDescent="0.2">
      <c r="A996" s="761">
        <v>2016</v>
      </c>
      <c r="B996" s="761">
        <v>15</v>
      </c>
      <c r="C996" s="796" t="s">
        <v>401</v>
      </c>
      <c r="D996" s="796"/>
      <c r="E996" s="796"/>
      <c r="F996" s="761">
        <v>7047</v>
      </c>
      <c r="G996" s="761" t="s">
        <v>1403</v>
      </c>
      <c r="H996" s="799">
        <v>0</v>
      </c>
      <c r="I996" s="799">
        <v>2850</v>
      </c>
      <c r="J996" s="799">
        <v>48262</v>
      </c>
      <c r="K996" s="799">
        <v>43576</v>
      </c>
      <c r="L996" s="799">
        <v>26927</v>
      </c>
      <c r="M996" s="799">
        <v>0</v>
      </c>
      <c r="N996" s="799">
        <v>14719</v>
      </c>
      <c r="O996" s="799">
        <v>4104</v>
      </c>
      <c r="P996" s="799">
        <v>3170</v>
      </c>
      <c r="Q996" s="799">
        <v>0</v>
      </c>
      <c r="R996" s="799">
        <v>0</v>
      </c>
      <c r="S996" s="799">
        <v>24338</v>
      </c>
    </row>
    <row r="997" spans="1:19" x14ac:dyDescent="0.2">
      <c r="A997" s="761">
        <v>2016</v>
      </c>
      <c r="B997" s="761">
        <v>11</v>
      </c>
      <c r="C997" s="796" t="s">
        <v>402</v>
      </c>
      <c r="D997" s="796"/>
      <c r="E997" s="796"/>
      <c r="F997" s="761">
        <v>7056</v>
      </c>
      <c r="G997" s="761" t="s">
        <v>1404</v>
      </c>
      <c r="H997" s="799">
        <v>0</v>
      </c>
      <c r="I997" s="799">
        <v>0</v>
      </c>
      <c r="J997" s="799">
        <v>0</v>
      </c>
      <c r="K997" s="799">
        <v>59586</v>
      </c>
      <c r="L997" s="799">
        <v>0</v>
      </c>
      <c r="M997" s="799">
        <v>0</v>
      </c>
      <c r="N997" s="799">
        <v>43186</v>
      </c>
      <c r="O997" s="799">
        <v>692</v>
      </c>
      <c r="P997" s="799">
        <v>1931</v>
      </c>
      <c r="Q997" s="799">
        <v>0</v>
      </c>
      <c r="R997" s="799">
        <v>0</v>
      </c>
      <c r="S997" s="799">
        <v>500</v>
      </c>
    </row>
    <row r="998" spans="1:19" x14ac:dyDescent="0.2">
      <c r="A998" s="761">
        <v>2016</v>
      </c>
      <c r="B998" s="761">
        <v>13</v>
      </c>
      <c r="C998" s="796" t="s">
        <v>403</v>
      </c>
      <c r="D998" s="796"/>
      <c r="E998" s="796"/>
      <c r="F998" s="761">
        <v>7092</v>
      </c>
      <c r="G998" s="761" t="s">
        <v>1405</v>
      </c>
      <c r="H998" s="799">
        <v>0</v>
      </c>
      <c r="I998" s="799">
        <v>0</v>
      </c>
      <c r="J998" s="799">
        <v>0</v>
      </c>
      <c r="K998" s="799">
        <v>28215</v>
      </c>
      <c r="L998" s="799">
        <v>0</v>
      </c>
      <c r="M998" s="799">
        <v>0</v>
      </c>
      <c r="N998" s="799">
        <v>10755</v>
      </c>
      <c r="O998" s="799">
        <v>66130</v>
      </c>
      <c r="P998" s="799">
        <v>53548</v>
      </c>
      <c r="Q998" s="799">
        <v>0</v>
      </c>
      <c r="R998" s="799">
        <v>3303</v>
      </c>
      <c r="S998" s="799">
        <v>29662</v>
      </c>
    </row>
    <row r="999" spans="1:19" x14ac:dyDescent="0.2">
      <c r="A999" s="761">
        <v>2016</v>
      </c>
      <c r="B999" s="761">
        <v>12</v>
      </c>
      <c r="C999" s="796" t="s">
        <v>404</v>
      </c>
      <c r="D999" s="796"/>
      <c r="E999" s="796"/>
      <c r="F999" s="761">
        <v>7098</v>
      </c>
      <c r="G999" s="761" t="s">
        <v>1406</v>
      </c>
      <c r="H999" s="799">
        <v>2076</v>
      </c>
      <c r="I999" s="799">
        <v>3377</v>
      </c>
      <c r="J999" s="799">
        <v>0</v>
      </c>
      <c r="K999" s="799">
        <v>38722</v>
      </c>
      <c r="L999" s="799">
        <v>0</v>
      </c>
      <c r="M999" s="799">
        <v>114725</v>
      </c>
      <c r="N999" s="799">
        <v>27477</v>
      </c>
      <c r="O999" s="799">
        <v>24822</v>
      </c>
      <c r="P999" s="799">
        <v>58313</v>
      </c>
      <c r="Q999" s="799">
        <v>0</v>
      </c>
      <c r="R999" s="799">
        <v>2077</v>
      </c>
      <c r="S999" s="799">
        <v>178</v>
      </c>
    </row>
    <row r="1000" spans="1:19" x14ac:dyDescent="0.2">
      <c r="A1000" s="761">
        <v>2016</v>
      </c>
      <c r="B1000" s="761">
        <v>11</v>
      </c>
      <c r="C1000" s="796" t="s">
        <v>405</v>
      </c>
      <c r="D1000" s="796"/>
      <c r="E1000" s="796"/>
      <c r="F1000" s="761">
        <v>7110</v>
      </c>
      <c r="G1000" s="761" t="s">
        <v>1407</v>
      </c>
      <c r="H1000" s="799">
        <v>0</v>
      </c>
      <c r="I1000" s="799">
        <v>0</v>
      </c>
      <c r="J1000" s="799">
        <v>0</v>
      </c>
      <c r="K1000" s="799">
        <v>39547</v>
      </c>
      <c r="L1000" s="799">
        <v>0</v>
      </c>
      <c r="M1000" s="799">
        <v>2315</v>
      </c>
      <c r="N1000" s="799">
        <v>39501</v>
      </c>
      <c r="O1000" s="799">
        <v>32838</v>
      </c>
      <c r="P1000" s="799">
        <v>2999</v>
      </c>
      <c r="Q1000" s="799">
        <v>0</v>
      </c>
      <c r="R1000" s="799">
        <v>311</v>
      </c>
      <c r="S1000" s="799">
        <v>5153</v>
      </c>
    </row>
    <row r="1005" spans="1:19" x14ac:dyDescent="0.2">
      <c r="A1005" s="761">
        <v>2014</v>
      </c>
      <c r="G1005" s="761" t="s">
        <v>936</v>
      </c>
      <c r="H1005" s="799">
        <f>SUMIF($A$2:$A$667,$A1005,H$2:H$667)</f>
        <v>7405887</v>
      </c>
      <c r="I1005" s="799">
        <f t="shared" ref="I1005:S1006" si="0">SUMIF($A$2:$A$667,$A1005,I$2:I$667)</f>
        <v>2023859</v>
      </c>
      <c r="J1005" s="799">
        <f t="shared" si="0"/>
        <v>17832187</v>
      </c>
      <c r="K1005" s="799">
        <f t="shared" si="0"/>
        <v>16461809</v>
      </c>
      <c r="L1005" s="799">
        <f t="shared" si="0"/>
        <v>3133557</v>
      </c>
      <c r="M1005" s="799">
        <f t="shared" si="0"/>
        <v>24052523</v>
      </c>
      <c r="N1005" s="799">
        <f t="shared" si="0"/>
        <v>13262775</v>
      </c>
      <c r="O1005" s="799">
        <f t="shared" si="0"/>
        <v>10328551</v>
      </c>
      <c r="P1005" s="799">
        <f t="shared" si="0"/>
        <v>14764119</v>
      </c>
      <c r="Q1005" s="799">
        <f t="shared" si="0"/>
        <v>1016172</v>
      </c>
      <c r="R1005" s="799">
        <f t="shared" si="0"/>
        <v>2105938</v>
      </c>
      <c r="S1005" s="799">
        <f t="shared" si="0"/>
        <v>15529154</v>
      </c>
    </row>
    <row r="1006" spans="1:19" x14ac:dyDescent="0.2">
      <c r="A1006" s="761">
        <v>2015</v>
      </c>
      <c r="G1006" s="761" t="s">
        <v>936</v>
      </c>
      <c r="H1006" s="799">
        <f>SUMIF($A$2:$A$667,$A1006,H$2:H$667)</f>
        <v>8823318</v>
      </c>
      <c r="I1006" s="799">
        <f t="shared" si="0"/>
        <v>2037624</v>
      </c>
      <c r="J1006" s="799">
        <f t="shared" si="0"/>
        <v>14646422</v>
      </c>
      <c r="K1006" s="799">
        <f t="shared" si="0"/>
        <v>18492552</v>
      </c>
      <c r="L1006" s="799">
        <f t="shared" si="0"/>
        <v>6649827</v>
      </c>
      <c r="M1006" s="799">
        <f t="shared" si="0"/>
        <v>22885213</v>
      </c>
      <c r="N1006" s="799">
        <f t="shared" si="0"/>
        <v>11581303</v>
      </c>
      <c r="O1006" s="799">
        <f t="shared" si="0"/>
        <v>11292848</v>
      </c>
      <c r="P1006" s="799">
        <f t="shared" si="0"/>
        <v>15856638</v>
      </c>
      <c r="Q1006" s="799">
        <f t="shared" si="0"/>
        <v>1230051</v>
      </c>
      <c r="R1006" s="799">
        <f t="shared" si="0"/>
        <v>6268946</v>
      </c>
      <c r="S1006" s="799">
        <f t="shared" si="0"/>
        <v>25782962</v>
      </c>
    </row>
    <row r="1007" spans="1:19" x14ac:dyDescent="0.2">
      <c r="A1007" s="761">
        <v>2016</v>
      </c>
      <c r="G1007" s="761" t="s">
        <v>936</v>
      </c>
      <c r="H1007" s="799">
        <f t="shared" ref="H1007:M1007" si="1">SUMIF($A$2:$A$1000,$A1007,H$2:H$1000)</f>
        <v>9730067</v>
      </c>
      <c r="I1007" s="799">
        <f t="shared" si="1"/>
        <v>2465054</v>
      </c>
      <c r="J1007" s="799">
        <f t="shared" si="1"/>
        <v>14395315</v>
      </c>
      <c r="K1007" s="799">
        <f t="shared" si="1"/>
        <v>20112795</v>
      </c>
      <c r="L1007" s="799">
        <f t="shared" si="1"/>
        <v>6959627</v>
      </c>
      <c r="M1007" s="799">
        <f t="shared" si="1"/>
        <v>21589078</v>
      </c>
      <c r="N1007" s="799">
        <f>SUMIF($A$2:$A$1000,$A1007,N$2:N$1000)</f>
        <v>10555851</v>
      </c>
      <c r="O1007" s="799">
        <f t="shared" ref="O1007:S1007" si="2">SUMIF($A$2:$A$1000,$A1007,O$2:O$1000)</f>
        <v>12368154</v>
      </c>
      <c r="P1007" s="799">
        <f t="shared" si="2"/>
        <v>15923127</v>
      </c>
      <c r="Q1007" s="799">
        <f t="shared" si="2"/>
        <v>1477842</v>
      </c>
      <c r="R1007" s="799">
        <f t="shared" si="2"/>
        <v>15295233</v>
      </c>
      <c r="S1007" s="799">
        <f t="shared" si="2"/>
        <v>23149317</v>
      </c>
    </row>
    <row r="1011" spans="1:19" x14ac:dyDescent="0.2">
      <c r="A1011" s="761" t="s">
        <v>2064</v>
      </c>
    </row>
    <row r="1012" spans="1:19" x14ac:dyDescent="0.2">
      <c r="A1012" s="761">
        <v>2014</v>
      </c>
      <c r="F1012" s="761">
        <v>6417</v>
      </c>
      <c r="G1012" s="761" t="s">
        <v>2068</v>
      </c>
      <c r="H1012" s="799">
        <v>0</v>
      </c>
      <c r="I1012" s="799">
        <v>0</v>
      </c>
      <c r="J1012" s="799">
        <v>57282</v>
      </c>
      <c r="K1012" s="799">
        <v>20044</v>
      </c>
      <c r="L1012" s="799">
        <v>0</v>
      </c>
      <c r="M1012" s="799">
        <v>0</v>
      </c>
      <c r="N1012" s="799">
        <v>71906</v>
      </c>
      <c r="O1012" s="799">
        <v>31114</v>
      </c>
      <c r="P1012" s="799">
        <v>11096</v>
      </c>
      <c r="Q1012" s="799">
        <v>0</v>
      </c>
      <c r="R1012" s="799">
        <v>5538</v>
      </c>
      <c r="S1012" s="799">
        <v>15953</v>
      </c>
    </row>
    <row r="1013" spans="1:19" x14ac:dyDescent="0.2">
      <c r="A1013" s="761">
        <v>2014</v>
      </c>
      <c r="F1013" s="761">
        <v>5868</v>
      </c>
      <c r="G1013" s="761" t="s">
        <v>2069</v>
      </c>
      <c r="H1013" s="799">
        <v>0</v>
      </c>
      <c r="I1013" s="799">
        <v>0</v>
      </c>
      <c r="J1013" s="799">
        <v>0</v>
      </c>
      <c r="K1013" s="799">
        <v>9038</v>
      </c>
      <c r="L1013" s="799">
        <v>1814.5300000000007</v>
      </c>
      <c r="M1013" s="799">
        <v>0</v>
      </c>
      <c r="N1013" s="799">
        <v>31906</v>
      </c>
      <c r="O1013" s="799">
        <v>27322</v>
      </c>
      <c r="P1013" s="799">
        <v>7929</v>
      </c>
      <c r="Q1013" s="799">
        <v>0</v>
      </c>
      <c r="R1013" s="799">
        <v>5553</v>
      </c>
      <c r="S1013" s="799">
        <v>7380</v>
      </c>
    </row>
    <row r="1014" spans="1:19" x14ac:dyDescent="0.2">
      <c r="A1014" s="761">
        <v>2014</v>
      </c>
      <c r="F1014" s="761">
        <v>1854</v>
      </c>
      <c r="G1014" s="761" t="s">
        <v>2070</v>
      </c>
      <c r="H1014" s="799">
        <v>0</v>
      </c>
      <c r="I1014" s="799">
        <v>2523</v>
      </c>
      <c r="J1014" s="799">
        <v>31105</v>
      </c>
      <c r="K1014" s="799">
        <v>28135</v>
      </c>
      <c r="L1014" s="799">
        <v>15619.440000000002</v>
      </c>
      <c r="M1014" s="799">
        <v>0</v>
      </c>
      <c r="N1014" s="799">
        <v>0</v>
      </c>
      <c r="O1014" s="799">
        <v>11996</v>
      </c>
      <c r="P1014" s="799">
        <v>4533</v>
      </c>
      <c r="Q1014" s="799">
        <v>0</v>
      </c>
      <c r="R1014" s="799">
        <v>5461</v>
      </c>
      <c r="S1014" s="799">
        <v>14700</v>
      </c>
    </row>
    <row r="1015" spans="1:19" x14ac:dyDescent="0.2">
      <c r="A1015" s="761">
        <v>2014</v>
      </c>
      <c r="F1015" s="761">
        <v>2016</v>
      </c>
      <c r="G1015" s="761" t="s">
        <v>2071</v>
      </c>
      <c r="H1015" s="799">
        <v>42711</v>
      </c>
      <c r="I1015" s="799">
        <v>0</v>
      </c>
      <c r="J1015" s="799">
        <v>18390</v>
      </c>
      <c r="K1015" s="799">
        <v>34138</v>
      </c>
      <c r="L1015" s="799">
        <v>0</v>
      </c>
      <c r="M1015" s="799">
        <v>0</v>
      </c>
      <c r="N1015" s="799">
        <v>5697</v>
      </c>
      <c r="O1015" s="799">
        <v>10320</v>
      </c>
      <c r="P1015" s="799">
        <v>17820</v>
      </c>
      <c r="Q1015" s="799">
        <v>0</v>
      </c>
      <c r="R1015" s="799">
        <v>5829</v>
      </c>
      <c r="S1015" s="799">
        <v>22426</v>
      </c>
    </row>
    <row r="1016" spans="1:19" x14ac:dyDescent="0.2">
      <c r="A1016" s="761">
        <v>2014</v>
      </c>
      <c r="F1016" s="761">
        <v>1967</v>
      </c>
      <c r="G1016" s="761" t="s">
        <v>2072</v>
      </c>
      <c r="H1016" s="799">
        <v>0</v>
      </c>
      <c r="I1016" s="799">
        <v>0</v>
      </c>
      <c r="J1016" s="799">
        <v>0</v>
      </c>
      <c r="K1016" s="799">
        <v>0</v>
      </c>
      <c r="L1016" s="799">
        <v>29986.160000000003</v>
      </c>
      <c r="M1016" s="799">
        <v>0</v>
      </c>
      <c r="N1016" s="799">
        <v>15273</v>
      </c>
      <c r="O1016" s="799">
        <v>3491</v>
      </c>
      <c r="P1016" s="799">
        <v>4707</v>
      </c>
      <c r="Q1016" s="799">
        <v>0</v>
      </c>
      <c r="R1016" s="799">
        <v>0</v>
      </c>
      <c r="S1016" s="799">
        <v>14795</v>
      </c>
    </row>
    <row r="1017" spans="1:19" x14ac:dyDescent="0.2">
      <c r="A1017" s="761">
        <v>2014</v>
      </c>
      <c r="F1017" s="761">
        <v>5625</v>
      </c>
      <c r="G1017" s="761" t="s">
        <v>2073</v>
      </c>
      <c r="H1017" s="799">
        <v>0</v>
      </c>
      <c r="I1017" s="799">
        <v>0</v>
      </c>
      <c r="J1017" s="799">
        <v>24744</v>
      </c>
      <c r="K1017" s="799">
        <v>0</v>
      </c>
      <c r="L1017" s="799">
        <v>0</v>
      </c>
      <c r="M1017" s="799">
        <v>16724</v>
      </c>
      <c r="N1017" s="799">
        <v>0</v>
      </c>
      <c r="O1017" s="799">
        <v>0</v>
      </c>
      <c r="P1017" s="799">
        <v>0</v>
      </c>
      <c r="Q1017" s="799">
        <v>0</v>
      </c>
      <c r="R1017" s="799">
        <v>6751</v>
      </c>
      <c r="S1017" s="799">
        <v>65606</v>
      </c>
    </row>
    <row r="1018" spans="1:19" x14ac:dyDescent="0.2">
      <c r="A1018" s="761">
        <v>2014</v>
      </c>
      <c r="F1018" s="761">
        <v>2349</v>
      </c>
      <c r="G1018" s="761" t="s">
        <v>2074</v>
      </c>
      <c r="H1018" s="799">
        <v>0</v>
      </c>
      <c r="I1018" s="799">
        <v>0</v>
      </c>
      <c r="J1018" s="799">
        <v>20859</v>
      </c>
      <c r="K1018" s="799">
        <v>17959</v>
      </c>
      <c r="L1018" s="799">
        <v>0</v>
      </c>
      <c r="M1018" s="799">
        <v>38726</v>
      </c>
      <c r="N1018" s="799">
        <v>1971</v>
      </c>
      <c r="O1018" s="799">
        <v>13073</v>
      </c>
      <c r="P1018" s="799">
        <v>12386</v>
      </c>
      <c r="Q1018" s="799">
        <v>0</v>
      </c>
      <c r="R1018" s="799">
        <v>5946</v>
      </c>
      <c r="S1018" s="799">
        <v>11759</v>
      </c>
    </row>
    <row r="1019" spans="1:19" x14ac:dyDescent="0.2">
      <c r="A1019" s="761">
        <v>2014</v>
      </c>
      <c r="F1019" s="761">
        <v>6633</v>
      </c>
      <c r="G1019" s="761" t="s">
        <v>2075</v>
      </c>
      <c r="H1019" s="799">
        <v>37499</v>
      </c>
      <c r="I1019" s="799">
        <v>0</v>
      </c>
      <c r="J1019" s="799">
        <v>150</v>
      </c>
      <c r="K1019" s="799">
        <v>0</v>
      </c>
      <c r="L1019" s="799">
        <v>0</v>
      </c>
      <c r="M1019" s="799">
        <v>0</v>
      </c>
      <c r="N1019" s="799">
        <v>933</v>
      </c>
      <c r="O1019" s="799">
        <v>20141</v>
      </c>
      <c r="P1019" s="799">
        <v>20117</v>
      </c>
      <c r="Q1019" s="799">
        <v>0</v>
      </c>
      <c r="R1019" s="799">
        <v>5845</v>
      </c>
      <c r="S1019" s="799">
        <v>9608</v>
      </c>
    </row>
    <row r="1020" spans="1:19" x14ac:dyDescent="0.2">
      <c r="A1020" s="761">
        <v>2014</v>
      </c>
      <c r="F1020" s="761">
        <v>6750</v>
      </c>
      <c r="G1020" s="761" t="s">
        <v>1918</v>
      </c>
      <c r="H1020" s="799">
        <v>7277</v>
      </c>
      <c r="I1020" s="799">
        <v>0</v>
      </c>
      <c r="J1020" s="799">
        <v>67400</v>
      </c>
      <c r="K1020" s="799">
        <v>6337</v>
      </c>
      <c r="L1020" s="799">
        <v>0</v>
      </c>
      <c r="M1020" s="799">
        <v>17134</v>
      </c>
      <c r="N1020" s="799">
        <v>6587</v>
      </c>
      <c r="O1020" s="799">
        <v>10318</v>
      </c>
      <c r="P1020" s="799">
        <v>0</v>
      </c>
      <c r="Q1020" s="799">
        <v>0</v>
      </c>
      <c r="R1020" s="799">
        <v>5706</v>
      </c>
      <c r="S1020" s="799">
        <v>16568</v>
      </c>
    </row>
    <row r="1021" spans="1:19" x14ac:dyDescent="0.2">
      <c r="A1021" s="761">
        <v>2014</v>
      </c>
      <c r="F1021" s="761">
        <v>5328</v>
      </c>
      <c r="G1021" s="761" t="s">
        <v>1917</v>
      </c>
      <c r="H1021" s="799">
        <v>0</v>
      </c>
      <c r="I1021" s="799">
        <v>0</v>
      </c>
      <c r="J1021" s="799">
        <v>11679</v>
      </c>
      <c r="K1021" s="799">
        <v>0</v>
      </c>
      <c r="L1021" s="799">
        <v>0</v>
      </c>
      <c r="M1021" s="799">
        <v>0</v>
      </c>
      <c r="N1021" s="799">
        <v>0</v>
      </c>
      <c r="O1021" s="799">
        <v>2612</v>
      </c>
      <c r="P1021" s="799">
        <v>1110</v>
      </c>
      <c r="Q1021" s="799">
        <v>0</v>
      </c>
      <c r="R1021" s="799">
        <v>5332</v>
      </c>
      <c r="S1021" s="799">
        <v>12313</v>
      </c>
    </row>
    <row r="1022" spans="1:19" x14ac:dyDescent="0.2">
      <c r="A1022" s="761">
        <v>2015</v>
      </c>
      <c r="C1022" s="761" t="s">
        <v>2098</v>
      </c>
      <c r="F1022" s="761">
        <v>6633</v>
      </c>
      <c r="G1022" s="761" t="s">
        <v>2075</v>
      </c>
      <c r="H1022" s="799">
        <v>46812</v>
      </c>
      <c r="I1022" s="799">
        <v>0</v>
      </c>
      <c r="J1022" s="799">
        <v>0</v>
      </c>
      <c r="K1022" s="799">
        <v>0</v>
      </c>
      <c r="L1022" s="799">
        <v>8644</v>
      </c>
      <c r="M1022" s="799">
        <v>0</v>
      </c>
      <c r="N1022" s="799">
        <v>0</v>
      </c>
      <c r="O1022" s="799">
        <v>27572</v>
      </c>
      <c r="P1022" s="799">
        <v>23905</v>
      </c>
      <c r="Q1022" s="799">
        <v>0</v>
      </c>
      <c r="R1022" s="799">
        <v>5845</v>
      </c>
      <c r="S1022" s="799">
        <v>17862</v>
      </c>
    </row>
    <row r="1023" spans="1:19" x14ac:dyDescent="0.2">
      <c r="A1023" s="761">
        <v>2015</v>
      </c>
      <c r="C1023" s="761" t="s">
        <v>2099</v>
      </c>
      <c r="F1023" s="761">
        <v>6750</v>
      </c>
      <c r="G1023" s="761" t="s">
        <v>1918</v>
      </c>
      <c r="H1023" s="799">
        <v>2837</v>
      </c>
      <c r="I1023" s="799">
        <v>0</v>
      </c>
      <c r="J1023" s="799">
        <v>34308</v>
      </c>
      <c r="K1023" s="799">
        <v>13711</v>
      </c>
      <c r="L1023" s="799">
        <v>0</v>
      </c>
      <c r="M1023" s="799">
        <v>11258</v>
      </c>
      <c r="N1023" s="799">
        <v>15639</v>
      </c>
      <c r="O1023" s="799">
        <v>13532</v>
      </c>
      <c r="P1023" s="799">
        <v>2739</v>
      </c>
      <c r="Q1023" s="799">
        <v>0</v>
      </c>
      <c r="R1023" s="799">
        <v>5706</v>
      </c>
      <c r="S1023" s="799">
        <v>17411</v>
      </c>
    </row>
    <row r="1024" spans="1:19" x14ac:dyDescent="0.2">
      <c r="A1024" s="761">
        <v>2015</v>
      </c>
      <c r="C1024" s="761" t="s">
        <v>2100</v>
      </c>
      <c r="F1024" s="761">
        <v>5328</v>
      </c>
      <c r="G1024" s="761" t="s">
        <v>1917</v>
      </c>
      <c r="H1024" s="799">
        <v>0</v>
      </c>
      <c r="I1024" s="799">
        <v>0</v>
      </c>
      <c r="J1024" s="799">
        <v>33679</v>
      </c>
      <c r="K1024" s="799">
        <v>0</v>
      </c>
      <c r="L1024" s="799">
        <v>0</v>
      </c>
      <c r="M1024" s="799">
        <v>0</v>
      </c>
      <c r="N1024" s="799">
        <v>2891</v>
      </c>
      <c r="O1024" s="799">
        <v>3371</v>
      </c>
      <c r="P1024" s="799">
        <v>2221</v>
      </c>
      <c r="Q1024" s="799">
        <v>0</v>
      </c>
      <c r="R1024" s="799">
        <v>5332</v>
      </c>
      <c r="S1024" s="799">
        <v>0</v>
      </c>
    </row>
    <row r="1025" spans="1:19" x14ac:dyDescent="0.2">
      <c r="A1025" s="761">
        <v>2016</v>
      </c>
      <c r="C1025" s="761" t="s">
        <v>2099</v>
      </c>
      <c r="F1025" s="761">
        <v>6750</v>
      </c>
      <c r="G1025" s="761" t="s">
        <v>1918</v>
      </c>
      <c r="H1025" s="799">
        <v>2837</v>
      </c>
      <c r="I1025" s="799">
        <v>0</v>
      </c>
      <c r="J1025" s="799">
        <v>0</v>
      </c>
      <c r="K1025" s="799">
        <v>16016</v>
      </c>
      <c r="L1025" s="799">
        <v>0</v>
      </c>
      <c r="M1025" s="799">
        <v>5386</v>
      </c>
      <c r="N1025" s="799">
        <v>39290</v>
      </c>
      <c r="O1025" s="799">
        <v>17764</v>
      </c>
      <c r="P1025" s="799">
        <v>2809</v>
      </c>
      <c r="Q1025" s="799">
        <v>0</v>
      </c>
      <c r="R1025" s="799">
        <v>1043</v>
      </c>
      <c r="S1025" s="799">
        <v>23984</v>
      </c>
    </row>
    <row r="1026" spans="1:19" x14ac:dyDescent="0.2">
      <c r="A1026" s="761">
        <v>2016</v>
      </c>
      <c r="C1026" s="761" t="s">
        <v>2100</v>
      </c>
      <c r="F1026" s="761">
        <v>5328</v>
      </c>
      <c r="G1026" s="761" t="s">
        <v>1917</v>
      </c>
      <c r="H1026" s="799">
        <v>0</v>
      </c>
      <c r="I1026" s="799">
        <v>0</v>
      </c>
      <c r="J1026" s="799">
        <v>64714</v>
      </c>
      <c r="K1026" s="799">
        <v>7152</v>
      </c>
      <c r="L1026" s="799">
        <v>0</v>
      </c>
      <c r="M1026" s="799">
        <v>0</v>
      </c>
      <c r="N1026" s="799">
        <v>53052</v>
      </c>
      <c r="O1026" s="799">
        <v>6176</v>
      </c>
      <c r="P1026" s="799">
        <v>3413</v>
      </c>
      <c r="Q1026" s="799">
        <v>5089</v>
      </c>
      <c r="R1026" s="799">
        <v>5332</v>
      </c>
      <c r="S1026" s="799">
        <v>3105</v>
      </c>
    </row>
    <row r="1027" spans="1:19" x14ac:dyDescent="0.2">
      <c r="H1027" s="799"/>
      <c r="I1027" s="799"/>
      <c r="J1027" s="799"/>
      <c r="K1027" s="799"/>
      <c r="M1027" s="799"/>
      <c r="N1027" s="799"/>
      <c r="O1027" s="799"/>
      <c r="P1027" s="799"/>
      <c r="Q1027" s="799"/>
      <c r="R1027" s="799"/>
      <c r="S1027" s="799"/>
    </row>
    <row r="1028" spans="1:19" x14ac:dyDescent="0.2">
      <c r="A1028" s="761" t="s">
        <v>2067</v>
      </c>
    </row>
    <row r="1029" spans="1:19" x14ac:dyDescent="0.2">
      <c r="A1029" s="761">
        <v>2014</v>
      </c>
      <c r="F1029" s="761">
        <v>1224</v>
      </c>
      <c r="G1029" s="761" t="s">
        <v>1641</v>
      </c>
      <c r="H1029" s="799">
        <v>0</v>
      </c>
      <c r="I1029" s="799">
        <v>0</v>
      </c>
      <c r="J1029" s="799">
        <v>22035</v>
      </c>
      <c r="K1029" s="799">
        <v>18877</v>
      </c>
      <c r="L1029" s="799">
        <v>0</v>
      </c>
      <c r="M1029" s="799">
        <v>0</v>
      </c>
      <c r="N1029" s="799">
        <v>0</v>
      </c>
      <c r="O1029" s="799">
        <v>678</v>
      </c>
      <c r="P1029" s="799">
        <v>979</v>
      </c>
      <c r="Q1029" s="799">
        <v>0</v>
      </c>
      <c r="R1029" s="799">
        <v>5304</v>
      </c>
      <c r="S1029" s="799">
        <v>12823</v>
      </c>
    </row>
    <row r="1030" spans="1:19" x14ac:dyDescent="0.2">
      <c r="A1030" s="761">
        <v>2014</v>
      </c>
      <c r="F1030" s="761">
        <v>1449</v>
      </c>
      <c r="G1030" s="761" t="s">
        <v>1762</v>
      </c>
      <c r="H1030" s="799">
        <v>0</v>
      </c>
      <c r="I1030" s="799">
        <v>0</v>
      </c>
      <c r="J1030" s="799">
        <v>64775</v>
      </c>
      <c r="K1030" s="799">
        <v>3934</v>
      </c>
      <c r="L1030" s="799">
        <v>0</v>
      </c>
      <c r="M1030" s="799">
        <v>0</v>
      </c>
      <c r="N1030" s="799">
        <v>0</v>
      </c>
      <c r="O1030" s="799">
        <v>45639</v>
      </c>
      <c r="P1030" s="799">
        <v>19246</v>
      </c>
      <c r="Q1030" s="799">
        <v>10124</v>
      </c>
      <c r="R1030" s="799">
        <v>5306</v>
      </c>
      <c r="S1030" s="799">
        <v>15098</v>
      </c>
    </row>
    <row r="1031" spans="1:19" x14ac:dyDescent="0.2">
      <c r="A1031" s="761">
        <v>2014</v>
      </c>
      <c r="F1031" s="761">
        <v>2205</v>
      </c>
      <c r="G1031" s="761" t="s">
        <v>2076</v>
      </c>
      <c r="H1031" s="799">
        <v>0</v>
      </c>
      <c r="I1031" s="799">
        <v>1288</v>
      </c>
      <c r="J1031" s="799">
        <v>33521</v>
      </c>
      <c r="K1031" s="799">
        <v>0</v>
      </c>
      <c r="L1031" s="799">
        <v>0</v>
      </c>
      <c r="M1031" s="799">
        <v>0</v>
      </c>
      <c r="N1031" s="799">
        <v>7739</v>
      </c>
      <c r="O1031" s="799">
        <v>3368</v>
      </c>
      <c r="P1031" s="799">
        <v>4884</v>
      </c>
      <c r="Q1031" s="799">
        <v>1876</v>
      </c>
      <c r="R1031" s="799">
        <v>5783</v>
      </c>
      <c r="S1031" s="799">
        <v>16952</v>
      </c>
    </row>
    <row r="1032" spans="1:19" x14ac:dyDescent="0.2">
      <c r="A1032" s="761">
        <v>2015</v>
      </c>
      <c r="F1032" s="761">
        <v>1449</v>
      </c>
      <c r="G1032" s="761" t="s">
        <v>1762</v>
      </c>
      <c r="H1032" s="799">
        <v>0</v>
      </c>
      <c r="I1032" s="799">
        <v>0</v>
      </c>
      <c r="J1032" s="799">
        <v>48496</v>
      </c>
      <c r="K1032" s="799">
        <v>0</v>
      </c>
      <c r="L1032" s="799">
        <v>9072</v>
      </c>
      <c r="M1032" s="799">
        <v>0</v>
      </c>
      <c r="N1032" s="799">
        <v>2749</v>
      </c>
      <c r="O1032" s="799">
        <v>46714</v>
      </c>
      <c r="P1032" s="799">
        <v>22965</v>
      </c>
      <c r="Q1032" s="799">
        <v>19181</v>
      </c>
      <c r="R1032" s="799">
        <v>5306</v>
      </c>
      <c r="S1032" s="799">
        <v>25632</v>
      </c>
    </row>
    <row r="1033" spans="1:19" x14ac:dyDescent="0.2">
      <c r="A1033" s="761">
        <v>2015</v>
      </c>
      <c r="C1033" s="761" t="s">
        <v>186</v>
      </c>
      <c r="F1033" s="761">
        <v>2205</v>
      </c>
      <c r="G1033" s="761" t="s">
        <v>2076</v>
      </c>
      <c r="H1033" s="799">
        <v>0</v>
      </c>
      <c r="I1033" s="799">
        <v>2707</v>
      </c>
      <c r="J1033" s="799">
        <v>38784</v>
      </c>
      <c r="K1033" s="799">
        <v>439</v>
      </c>
      <c r="L1033" s="799">
        <v>0</v>
      </c>
      <c r="M1033" s="799">
        <v>3159</v>
      </c>
      <c r="N1033" s="799">
        <v>0</v>
      </c>
      <c r="O1033" s="799">
        <v>8511</v>
      </c>
      <c r="P1033" s="799">
        <v>9016</v>
      </c>
      <c r="Q1033" s="799">
        <v>0</v>
      </c>
      <c r="R1033" s="799">
        <v>5783</v>
      </c>
      <c r="S1033" s="799">
        <v>29741</v>
      </c>
    </row>
    <row r="1034" spans="1:19" x14ac:dyDescent="0.2">
      <c r="A1034" s="761">
        <v>2016</v>
      </c>
      <c r="C1034" s="761" t="s">
        <v>186</v>
      </c>
      <c r="F1034" s="761">
        <v>2205</v>
      </c>
      <c r="G1034" s="761" t="s">
        <v>2076</v>
      </c>
      <c r="H1034" s="799">
        <v>0</v>
      </c>
      <c r="I1034" s="799">
        <v>4144</v>
      </c>
      <c r="J1034" s="799">
        <v>62143</v>
      </c>
      <c r="K1034" s="799">
        <v>9810</v>
      </c>
      <c r="L1034" s="799">
        <v>0</v>
      </c>
      <c r="M1034" s="799">
        <v>35223</v>
      </c>
      <c r="N1034" s="799">
        <v>0</v>
      </c>
      <c r="O1034" s="799">
        <v>15950</v>
      </c>
      <c r="P1034" s="799">
        <v>13117</v>
      </c>
      <c r="Q1034" s="799">
        <v>12302</v>
      </c>
      <c r="R1034" s="799">
        <v>5783</v>
      </c>
      <c r="S1034" s="799">
        <v>42979</v>
      </c>
    </row>
    <row r="1037" spans="1:19" x14ac:dyDescent="0.2">
      <c r="A1037" s="761">
        <v>2014</v>
      </c>
      <c r="G1037" s="761" t="s">
        <v>2049</v>
      </c>
      <c r="H1037" s="799">
        <v>7405887</v>
      </c>
      <c r="I1037" s="799">
        <v>2025147</v>
      </c>
      <c r="J1037" s="799">
        <v>17952518</v>
      </c>
      <c r="K1037" s="799">
        <v>16484620</v>
      </c>
      <c r="L1037" s="799">
        <v>3133556.0799999991</v>
      </c>
      <c r="M1037" s="799">
        <v>24052523</v>
      </c>
      <c r="N1037" s="799">
        <v>13270514</v>
      </c>
      <c r="O1037" s="799">
        <v>10378236</v>
      </c>
      <c r="P1037" s="799">
        <v>14789228</v>
      </c>
      <c r="Q1037" s="799">
        <v>1028172</v>
      </c>
      <c r="R1037" s="799">
        <v>2122331</v>
      </c>
      <c r="S1037" s="799">
        <v>15574027</v>
      </c>
    </row>
    <row r="1038" spans="1:19" x14ac:dyDescent="0.2">
      <c r="A1038" s="761">
        <v>2014</v>
      </c>
      <c r="G1038" s="761" t="s">
        <v>1966</v>
      </c>
      <c r="H1038" s="799">
        <f t="shared" ref="H1038:S1038" si="3">SUM(H1029:H1031,H1005)-H1037</f>
        <v>0</v>
      </c>
      <c r="I1038" s="799">
        <f t="shared" si="3"/>
        <v>0</v>
      </c>
      <c r="J1038" s="799">
        <f t="shared" si="3"/>
        <v>0</v>
      </c>
      <c r="K1038" s="799">
        <f t="shared" si="3"/>
        <v>0</v>
      </c>
      <c r="L1038" s="799">
        <f t="shared" si="3"/>
        <v>0.92000000085681677</v>
      </c>
      <c r="M1038" s="799">
        <f t="shared" si="3"/>
        <v>0</v>
      </c>
      <c r="N1038" s="799">
        <f t="shared" si="3"/>
        <v>0</v>
      </c>
      <c r="O1038" s="799">
        <f t="shared" si="3"/>
        <v>0</v>
      </c>
      <c r="P1038" s="799">
        <f t="shared" si="3"/>
        <v>0</v>
      </c>
      <c r="Q1038" s="799">
        <f t="shared" si="3"/>
        <v>0</v>
      </c>
      <c r="R1038" s="799">
        <f t="shared" si="3"/>
        <v>0</v>
      </c>
      <c r="S1038" s="799">
        <f t="shared" si="3"/>
        <v>0</v>
      </c>
    </row>
    <row r="1039" spans="1:19" x14ac:dyDescent="0.2">
      <c r="A1039" s="761">
        <v>2015</v>
      </c>
      <c r="G1039" s="761" t="s">
        <v>2049</v>
      </c>
      <c r="H1039" s="799">
        <v>8823318</v>
      </c>
      <c r="I1039" s="799">
        <v>2040331</v>
      </c>
      <c r="J1039" s="799">
        <v>14733702</v>
      </c>
      <c r="K1039" s="799">
        <v>18492991</v>
      </c>
      <c r="L1039" s="799">
        <v>6658894.9500000002</v>
      </c>
      <c r="M1039" s="799">
        <v>22888372</v>
      </c>
      <c r="N1039" s="799">
        <v>11584052</v>
      </c>
      <c r="O1039" s="799">
        <v>11348073</v>
      </c>
      <c r="P1039" s="799">
        <v>15888619</v>
      </c>
      <c r="Q1039" s="799">
        <v>1249232</v>
      </c>
      <c r="R1039" s="799">
        <v>6280035</v>
      </c>
      <c r="S1039" s="799">
        <v>25838335</v>
      </c>
    </row>
    <row r="1040" spans="1:19" x14ac:dyDescent="0.2">
      <c r="A1040" s="761">
        <v>2015</v>
      </c>
      <c r="G1040" s="761" t="s">
        <v>1966</v>
      </c>
      <c r="H1040" s="799">
        <f>SUM(H1032:H1033,H1006)-H1039</f>
        <v>0</v>
      </c>
      <c r="I1040" s="799">
        <f t="shared" ref="I1040:S1040" si="4">SUM(I1032:I1033,I1006)-I1039</f>
        <v>0</v>
      </c>
      <c r="J1040" s="799">
        <f t="shared" si="4"/>
        <v>0</v>
      </c>
      <c r="K1040" s="799">
        <f t="shared" si="4"/>
        <v>0</v>
      </c>
      <c r="L1040" s="799">
        <f>SUM(L1032:L1033,L1006)-L1039</f>
        <v>4.0499999998137355</v>
      </c>
      <c r="M1040" s="799">
        <f t="shared" si="4"/>
        <v>0</v>
      </c>
      <c r="N1040" s="799">
        <f t="shared" si="4"/>
        <v>0</v>
      </c>
      <c r="O1040" s="799">
        <f t="shared" si="4"/>
        <v>0</v>
      </c>
      <c r="P1040" s="799">
        <f t="shared" si="4"/>
        <v>0</v>
      </c>
      <c r="Q1040" s="799">
        <f t="shared" si="4"/>
        <v>0</v>
      </c>
      <c r="R1040" s="799">
        <f t="shared" si="4"/>
        <v>0</v>
      </c>
      <c r="S1040" s="799">
        <f t="shared" si="4"/>
        <v>0</v>
      </c>
    </row>
    <row r="1041" spans="1:19" x14ac:dyDescent="0.2">
      <c r="A1041" s="761">
        <v>2016</v>
      </c>
      <c r="G1041" s="761" t="s">
        <v>2049</v>
      </c>
      <c r="H1041" s="799">
        <v>9730067</v>
      </c>
      <c r="I1041" s="799">
        <v>2469198</v>
      </c>
      <c r="J1041" s="799">
        <v>14457458</v>
      </c>
      <c r="K1041" s="799">
        <v>20122605</v>
      </c>
      <c r="L1041" s="799">
        <v>6959622.8900000015</v>
      </c>
      <c r="M1041" s="799">
        <v>21624301</v>
      </c>
      <c r="N1041" s="799">
        <v>10555851</v>
      </c>
      <c r="O1041" s="799">
        <v>12384104</v>
      </c>
      <c r="P1041" s="799">
        <v>15936244</v>
      </c>
      <c r="Q1041" s="799">
        <v>1490144</v>
      </c>
      <c r="R1041" s="799">
        <v>15301016</v>
      </c>
      <c r="S1041" s="799">
        <v>23192296</v>
      </c>
    </row>
    <row r="1042" spans="1:19" x14ac:dyDescent="0.2">
      <c r="A1042" s="761">
        <v>2016</v>
      </c>
      <c r="G1042" s="761" t="s">
        <v>1966</v>
      </c>
      <c r="H1042" s="799">
        <f>SUM(H1034,H1007)-H1041</f>
        <v>0</v>
      </c>
      <c r="I1042" s="799">
        <f t="shared" ref="I1042:S1042" si="5">SUM(I1034,I1007)-I1041</f>
        <v>0</v>
      </c>
      <c r="J1042" s="799">
        <f t="shared" si="5"/>
        <v>0</v>
      </c>
      <c r="K1042" s="799">
        <f t="shared" si="5"/>
        <v>0</v>
      </c>
      <c r="L1042" s="799">
        <f t="shared" si="5"/>
        <v>4.109999998472631</v>
      </c>
      <c r="M1042" s="799">
        <f t="shared" si="5"/>
        <v>0</v>
      </c>
      <c r="N1042" s="799">
        <f t="shared" si="5"/>
        <v>0</v>
      </c>
      <c r="O1042" s="799">
        <f t="shared" si="5"/>
        <v>0</v>
      </c>
      <c r="P1042" s="799">
        <f t="shared" si="5"/>
        <v>0</v>
      </c>
      <c r="Q1042" s="799">
        <f t="shared" si="5"/>
        <v>0</v>
      </c>
      <c r="R1042" s="799">
        <f t="shared" si="5"/>
        <v>0</v>
      </c>
      <c r="S1042" s="799">
        <f t="shared" si="5"/>
        <v>0</v>
      </c>
    </row>
    <row r="1043" spans="1:19" x14ac:dyDescent="0.2">
      <c r="H1043" s="799"/>
      <c r="I1043" s="799"/>
      <c r="J1043" s="799"/>
      <c r="K1043" s="799"/>
      <c r="L1043" s="799"/>
      <c r="M1043" s="799"/>
      <c r="N1043" s="799"/>
      <c r="O1043" s="799"/>
      <c r="P1043" s="799"/>
      <c r="Q1043" s="799"/>
      <c r="R1043" s="799"/>
      <c r="S1043" s="799"/>
    </row>
    <row r="1044" spans="1:19" x14ac:dyDescent="0.2">
      <c r="H1044" s="799"/>
      <c r="I1044" s="799"/>
      <c r="J1044" s="799"/>
      <c r="K1044" s="799"/>
      <c r="L1044" s="799"/>
      <c r="M1044" s="799"/>
      <c r="N1044" s="799"/>
      <c r="O1044" s="799"/>
      <c r="P1044" s="799"/>
      <c r="Q1044" s="799"/>
      <c r="R1044" s="799"/>
      <c r="S1044" s="799"/>
    </row>
  </sheetData>
  <sheetProtection password="C47C" sheet="1" objects="1" scenarios="1"/>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
  <sheetViews>
    <sheetView workbookViewId="0">
      <selection activeCell="A2" sqref="A2"/>
    </sheetView>
  </sheetViews>
  <sheetFormatPr defaultRowHeight="11.25" x14ac:dyDescent="0.2"/>
  <cols>
    <col min="1" max="1" width="5" style="862" bestFit="1" customWidth="1"/>
    <col min="2" max="2" width="10" style="862" bestFit="1" customWidth="1"/>
    <col min="3" max="3" width="9" style="862" bestFit="1" customWidth="1"/>
    <col min="4" max="4" width="6" style="862" bestFit="1" customWidth="1"/>
    <col min="5" max="5" width="22.42578125" style="862" bestFit="1" customWidth="1"/>
    <col min="6" max="6" width="12" style="869" bestFit="1" customWidth="1"/>
    <col min="7" max="7" width="10" style="862" bestFit="1" customWidth="1"/>
    <col min="8" max="8" width="9.140625" style="862"/>
    <col min="9" max="9" width="22.42578125" style="862" bestFit="1" customWidth="1"/>
    <col min="10" max="10" width="9.140625" style="868"/>
    <col min="11" max="11" width="96" style="862" bestFit="1" customWidth="1"/>
    <col min="12" max="16384" width="9.140625" style="862"/>
  </cols>
  <sheetData>
    <row r="1" spans="1:11" ht="12.75" x14ac:dyDescent="0.2">
      <c r="A1" s="862" t="s">
        <v>2087</v>
      </c>
      <c r="B1" s="875" t="str">
        <f>SNAME[[#Headers],[ControlCounty]]</f>
        <v>ControlCounty</v>
      </c>
      <c r="C1" s="862" t="s">
        <v>1970</v>
      </c>
      <c r="D1" s="862" t="s">
        <v>2088</v>
      </c>
      <c r="E1" s="863" t="s">
        <v>2089</v>
      </c>
      <c r="F1" s="874" t="s">
        <v>2091</v>
      </c>
      <c r="G1" s="862" t="s">
        <v>1970</v>
      </c>
      <c r="H1" s="862" t="s">
        <v>2088</v>
      </c>
      <c r="I1" s="863" t="s">
        <v>2089</v>
      </c>
      <c r="J1" s="873" t="s">
        <v>2092</v>
      </c>
      <c r="K1" s="863" t="s">
        <v>2090</v>
      </c>
    </row>
    <row r="2" spans="1:11" x14ac:dyDescent="0.2">
      <c r="A2" s="862">
        <f>RIGHT(DoM!$B$6,2)-2</f>
        <v>16</v>
      </c>
      <c r="B2" s="862" t="e">
        <f>INDEX(SNAME[],MATCH(C2,SNAME[DIST],0),MATCH($B$1,SNAME[#Headers],0))</f>
        <v>#N/A</v>
      </c>
      <c r="C2" s="862" t="e">
        <f>TaxCert!$F$6</f>
        <v>#N/A</v>
      </c>
      <c r="D2" s="862">
        <v>5</v>
      </c>
      <c r="E2" s="870" t="e">
        <f>Adopted!$D$5</f>
        <v>#N/A</v>
      </c>
      <c r="G2" s="862" t="e">
        <f t="shared" ref="G2:G33" si="0">TEXT(C2,"0000")</f>
        <v>#N/A</v>
      </c>
      <c r="H2" s="862" t="str">
        <f t="shared" ref="H2:H33" si="1">TEXT(D2,"000")</f>
        <v>005</v>
      </c>
      <c r="I2" s="862" t="e">
        <f t="shared" ref="I2:I33" si="2">TEXT(E2*1000,"0000000000000")</f>
        <v>#N/A</v>
      </c>
      <c r="K2" s="862" t="e">
        <f t="shared" ref="K2:K33" si="3">CONCATENATE(A2,B2,G2,H2,I2,"+0000000000000000"," ","0000000000000000"," ","0000000000000000"," ","0000000000000000")</f>
        <v>#N/A</v>
      </c>
    </row>
    <row r="3" spans="1:11" x14ac:dyDescent="0.2">
      <c r="A3" s="862">
        <f>RIGHT(DoM!$B$6,2)-2</f>
        <v>16</v>
      </c>
      <c r="B3" s="862" t="e">
        <f>INDEX(SNAME[],MATCH(C3,SNAME[DIST],0),MATCH($B$1,SNAME[#Headers],0))</f>
        <v>#N/A</v>
      </c>
      <c r="C3" s="862" t="e">
        <f>TaxCert!$F$6</f>
        <v>#N/A</v>
      </c>
      <c r="D3" s="862">
        <v>6</v>
      </c>
      <c r="E3" s="870" t="e">
        <f>Adopted!$D$6</f>
        <v>#N/A</v>
      </c>
      <c r="G3" s="862" t="e">
        <f t="shared" si="0"/>
        <v>#N/A</v>
      </c>
      <c r="H3" s="862" t="str">
        <f t="shared" si="1"/>
        <v>006</v>
      </c>
      <c r="I3" s="862" t="e">
        <f t="shared" si="2"/>
        <v>#N/A</v>
      </c>
      <c r="K3" s="862" t="e">
        <f t="shared" si="3"/>
        <v>#N/A</v>
      </c>
    </row>
    <row r="4" spans="1:11" x14ac:dyDescent="0.2">
      <c r="A4" s="862">
        <f>RIGHT(DoM!$B$6,2)-2</f>
        <v>16</v>
      </c>
      <c r="B4" s="862" t="e">
        <f>INDEX(SNAME[],MATCH(C4,SNAME[DIST],0),MATCH($B$1,SNAME[#Headers],0))</f>
        <v>#N/A</v>
      </c>
      <c r="C4" s="862" t="e">
        <f>TaxCert!$F$6</f>
        <v>#N/A</v>
      </c>
      <c r="D4" s="862">
        <v>7</v>
      </c>
      <c r="E4" s="870">
        <f>Adopted!$D$7</f>
        <v>0</v>
      </c>
      <c r="G4" s="862" t="e">
        <f t="shared" si="0"/>
        <v>#N/A</v>
      </c>
      <c r="H4" s="862" t="str">
        <f t="shared" si="1"/>
        <v>007</v>
      </c>
      <c r="I4" s="862" t="str">
        <f t="shared" si="2"/>
        <v>0000000000000</v>
      </c>
      <c r="K4" s="862" t="e">
        <f t="shared" si="3"/>
        <v>#N/A</v>
      </c>
    </row>
    <row r="5" spans="1:11" x14ac:dyDescent="0.2">
      <c r="A5" s="862">
        <f>RIGHT(DoM!$B$6,2)-2</f>
        <v>16</v>
      </c>
      <c r="B5" s="862" t="e">
        <f>INDEX(SNAME[],MATCH(C5,SNAME[DIST],0),MATCH($B$1,SNAME[#Headers],0))</f>
        <v>#N/A</v>
      </c>
      <c r="C5" s="862" t="e">
        <f>TaxCert!$F$6</f>
        <v>#N/A</v>
      </c>
      <c r="D5" s="862">
        <v>8</v>
      </c>
      <c r="E5" s="870">
        <f>Adopted!$D$8</f>
        <v>0</v>
      </c>
      <c r="G5" s="862" t="e">
        <f t="shared" si="0"/>
        <v>#N/A</v>
      </c>
      <c r="H5" s="862" t="str">
        <f t="shared" si="1"/>
        <v>008</v>
      </c>
      <c r="I5" s="862" t="str">
        <f t="shared" si="2"/>
        <v>0000000000000</v>
      </c>
      <c r="K5" s="862" t="e">
        <f t="shared" si="3"/>
        <v>#N/A</v>
      </c>
    </row>
    <row r="6" spans="1:11" x14ac:dyDescent="0.2">
      <c r="A6" s="862">
        <f>RIGHT(DoM!$B$6,2)-2</f>
        <v>16</v>
      </c>
      <c r="B6" s="862" t="e">
        <f>INDEX(SNAME[],MATCH(C6,SNAME[DIST],0),MATCH($B$1,SNAME[#Headers],0))</f>
        <v>#N/A</v>
      </c>
      <c r="C6" s="862" t="e">
        <f>TaxCert!$F$6</f>
        <v>#N/A</v>
      </c>
      <c r="D6" s="862">
        <v>9</v>
      </c>
      <c r="E6" s="870">
        <f>Adopted!$D$9</f>
        <v>0</v>
      </c>
      <c r="G6" s="862" t="e">
        <f t="shared" si="0"/>
        <v>#N/A</v>
      </c>
      <c r="H6" s="862" t="str">
        <f t="shared" si="1"/>
        <v>009</v>
      </c>
      <c r="I6" s="862" t="str">
        <f t="shared" si="2"/>
        <v>0000000000000</v>
      </c>
      <c r="K6" s="862" t="e">
        <f t="shared" si="3"/>
        <v>#N/A</v>
      </c>
    </row>
    <row r="7" spans="1:11" x14ac:dyDescent="0.2">
      <c r="A7" s="862">
        <f>RIGHT(DoM!$B$6,2)-2</f>
        <v>16</v>
      </c>
      <c r="B7" s="862" t="e">
        <f>INDEX(SNAME[],MATCH(C7,SNAME[DIST],0),MATCH($B$1,SNAME[#Headers],0))</f>
        <v>#N/A</v>
      </c>
      <c r="C7" s="862" t="e">
        <f>TaxCert!$F$6</f>
        <v>#N/A</v>
      </c>
      <c r="D7" s="862">
        <v>10</v>
      </c>
      <c r="E7" s="870">
        <f>Adopted!$D$10</f>
        <v>0</v>
      </c>
      <c r="G7" s="862" t="e">
        <f t="shared" si="0"/>
        <v>#N/A</v>
      </c>
      <c r="H7" s="862" t="str">
        <f t="shared" si="1"/>
        <v>010</v>
      </c>
      <c r="I7" s="862" t="str">
        <f t="shared" si="2"/>
        <v>0000000000000</v>
      </c>
      <c r="K7" s="862" t="e">
        <f t="shared" si="3"/>
        <v>#N/A</v>
      </c>
    </row>
    <row r="8" spans="1:11" x14ac:dyDescent="0.2">
      <c r="A8" s="862">
        <f>RIGHT(DoM!$B$6,2)-2</f>
        <v>16</v>
      </c>
      <c r="B8" s="862" t="e">
        <f>INDEX(SNAME[],MATCH(C8,SNAME[DIST],0),MATCH($B$1,SNAME[#Headers],0))</f>
        <v>#N/A</v>
      </c>
      <c r="C8" s="862" t="e">
        <f>TaxCert!$F$6</f>
        <v>#N/A</v>
      </c>
      <c r="D8" s="862">
        <v>11</v>
      </c>
      <c r="E8" s="870">
        <f>Adopted!$D$11</f>
        <v>0</v>
      </c>
      <c r="G8" s="862" t="e">
        <f t="shared" si="0"/>
        <v>#N/A</v>
      </c>
      <c r="H8" s="862" t="str">
        <f t="shared" si="1"/>
        <v>011</v>
      </c>
      <c r="I8" s="862" t="str">
        <f t="shared" si="2"/>
        <v>0000000000000</v>
      </c>
      <c r="K8" s="862" t="e">
        <f t="shared" si="3"/>
        <v>#N/A</v>
      </c>
    </row>
    <row r="9" spans="1:11" x14ac:dyDescent="0.2">
      <c r="A9" s="862">
        <f>RIGHT(DoM!$B$6,2)-2</f>
        <v>16</v>
      </c>
      <c r="B9" s="862" t="e">
        <f>INDEX(SNAME[],MATCH(C9,SNAME[DIST],0),MATCH($B$1,SNAME[#Headers],0))</f>
        <v>#N/A</v>
      </c>
      <c r="C9" s="862" t="e">
        <f>TaxCert!$F$6</f>
        <v>#N/A</v>
      </c>
      <c r="D9" s="862">
        <v>12</v>
      </c>
      <c r="E9" s="870">
        <f>Adopted!$D12</f>
        <v>0</v>
      </c>
      <c r="G9" s="862" t="e">
        <f t="shared" si="0"/>
        <v>#N/A</v>
      </c>
      <c r="H9" s="862" t="str">
        <f t="shared" si="1"/>
        <v>012</v>
      </c>
      <c r="I9" s="862" t="str">
        <f t="shared" si="2"/>
        <v>0000000000000</v>
      </c>
      <c r="K9" s="862" t="e">
        <f t="shared" si="3"/>
        <v>#N/A</v>
      </c>
    </row>
    <row r="10" spans="1:11" x14ac:dyDescent="0.2">
      <c r="A10" s="862">
        <f>RIGHT(DoM!$B$6,2)-2</f>
        <v>16</v>
      </c>
      <c r="B10" s="862" t="e">
        <f>INDEX(SNAME[],MATCH(C10,SNAME[DIST],0),MATCH($B$1,SNAME[#Headers],0))</f>
        <v>#N/A</v>
      </c>
      <c r="C10" s="862" t="e">
        <f>TaxCert!$F$6</f>
        <v>#N/A</v>
      </c>
      <c r="D10" s="862">
        <v>13</v>
      </c>
      <c r="E10" s="870">
        <f>Adopted!$D13</f>
        <v>0</v>
      </c>
      <c r="G10" s="862" t="e">
        <f t="shared" si="0"/>
        <v>#N/A</v>
      </c>
      <c r="H10" s="862" t="str">
        <f t="shared" si="1"/>
        <v>013</v>
      </c>
      <c r="I10" s="862" t="str">
        <f t="shared" si="2"/>
        <v>0000000000000</v>
      </c>
      <c r="K10" s="862" t="e">
        <f t="shared" si="3"/>
        <v>#N/A</v>
      </c>
    </row>
    <row r="11" spans="1:11" x14ac:dyDescent="0.2">
      <c r="A11" s="862">
        <f>RIGHT(DoM!$B$6,2)-2</f>
        <v>16</v>
      </c>
      <c r="B11" s="862" t="e">
        <f>INDEX(SNAME[],MATCH(C11,SNAME[DIST],0),MATCH($B$1,SNAME[#Headers],0))</f>
        <v>#N/A</v>
      </c>
      <c r="C11" s="862" t="e">
        <f>TaxCert!$F$6</f>
        <v>#N/A</v>
      </c>
      <c r="D11" s="862">
        <v>14</v>
      </c>
      <c r="E11" s="870" t="e">
        <f>Adopted!$D14</f>
        <v>#N/A</v>
      </c>
      <c r="G11" s="862" t="e">
        <f t="shared" si="0"/>
        <v>#N/A</v>
      </c>
      <c r="H11" s="862" t="str">
        <f t="shared" si="1"/>
        <v>014</v>
      </c>
      <c r="I11" s="862" t="e">
        <f t="shared" si="2"/>
        <v>#N/A</v>
      </c>
      <c r="K11" s="862" t="e">
        <f t="shared" si="3"/>
        <v>#N/A</v>
      </c>
    </row>
    <row r="12" spans="1:11" x14ac:dyDescent="0.2">
      <c r="A12" s="862">
        <f>RIGHT(DoM!$B$6,2)-2</f>
        <v>16</v>
      </c>
      <c r="B12" s="862" t="e">
        <f>INDEX(SNAME[],MATCH(C12,SNAME[DIST],0),MATCH($B$1,SNAME[#Headers],0))</f>
        <v>#N/A</v>
      </c>
      <c r="C12" s="862" t="e">
        <f>TaxCert!$F$6</f>
        <v>#N/A</v>
      </c>
      <c r="D12" s="862">
        <v>15</v>
      </c>
      <c r="E12" s="870" t="e">
        <f>Adopted!$D15</f>
        <v>#N/A</v>
      </c>
      <c r="G12" s="862" t="e">
        <f t="shared" si="0"/>
        <v>#N/A</v>
      </c>
      <c r="H12" s="862" t="str">
        <f t="shared" si="1"/>
        <v>015</v>
      </c>
      <c r="I12" s="862" t="e">
        <f t="shared" si="2"/>
        <v>#N/A</v>
      </c>
      <c r="K12" s="862" t="e">
        <f t="shared" si="3"/>
        <v>#N/A</v>
      </c>
    </row>
    <row r="13" spans="1:11" x14ac:dyDescent="0.2">
      <c r="A13" s="862">
        <f>RIGHT(DoM!$B$6,2)-2</f>
        <v>16</v>
      </c>
      <c r="B13" s="862" t="e">
        <f>INDEX(SNAME[],MATCH(C13,SNAME[DIST],0),MATCH($B$1,SNAME[#Headers],0))</f>
        <v>#N/A</v>
      </c>
      <c r="C13" s="862" t="e">
        <f>TaxCert!$F$6</f>
        <v>#N/A</v>
      </c>
      <c r="D13" s="862">
        <v>16</v>
      </c>
      <c r="E13" s="870">
        <f>Adopted!$D16</f>
        <v>0</v>
      </c>
      <c r="G13" s="862" t="e">
        <f t="shared" si="0"/>
        <v>#N/A</v>
      </c>
      <c r="H13" s="862" t="str">
        <f t="shared" si="1"/>
        <v>016</v>
      </c>
      <c r="I13" s="862" t="str">
        <f t="shared" si="2"/>
        <v>0000000000000</v>
      </c>
      <c r="K13" s="862" t="e">
        <f t="shared" si="3"/>
        <v>#N/A</v>
      </c>
    </row>
    <row r="14" spans="1:11" x14ac:dyDescent="0.2">
      <c r="A14" s="862">
        <f>RIGHT(DoM!$B$6,2)-2</f>
        <v>16</v>
      </c>
      <c r="B14" s="862" t="e">
        <f>INDEX(SNAME[],MATCH(C14,SNAME[DIST],0),MATCH($B$1,SNAME[#Headers],0))</f>
        <v>#N/A</v>
      </c>
      <c r="C14" s="862" t="e">
        <f>TaxCert!$F$6</f>
        <v>#N/A</v>
      </c>
      <c r="D14" s="862">
        <v>17</v>
      </c>
      <c r="E14" s="870">
        <f>Adopted!$D17</f>
        <v>0</v>
      </c>
      <c r="G14" s="862" t="e">
        <f t="shared" si="0"/>
        <v>#N/A</v>
      </c>
      <c r="H14" s="862" t="str">
        <f t="shared" si="1"/>
        <v>017</v>
      </c>
      <c r="I14" s="862" t="str">
        <f t="shared" si="2"/>
        <v>0000000000000</v>
      </c>
      <c r="K14" s="862" t="e">
        <f t="shared" si="3"/>
        <v>#N/A</v>
      </c>
    </row>
    <row r="15" spans="1:11" x14ac:dyDescent="0.2">
      <c r="A15" s="862">
        <f>RIGHT(DoM!$B$6,2)-2</f>
        <v>16</v>
      </c>
      <c r="B15" s="862" t="e">
        <f>INDEX(SNAME[],MATCH(C15,SNAME[DIST],0),MATCH($B$1,SNAME[#Headers],0))</f>
        <v>#N/A</v>
      </c>
      <c r="C15" s="862" t="e">
        <f>TaxCert!$F$6</f>
        <v>#N/A</v>
      </c>
      <c r="D15" s="862">
        <v>18</v>
      </c>
      <c r="E15" s="870">
        <f>Adopted!$D18</f>
        <v>0</v>
      </c>
      <c r="G15" s="862" t="e">
        <f t="shared" si="0"/>
        <v>#N/A</v>
      </c>
      <c r="H15" s="862" t="str">
        <f t="shared" si="1"/>
        <v>018</v>
      </c>
      <c r="I15" s="862" t="str">
        <f t="shared" si="2"/>
        <v>0000000000000</v>
      </c>
      <c r="K15" s="862" t="e">
        <f t="shared" si="3"/>
        <v>#N/A</v>
      </c>
    </row>
    <row r="16" spans="1:11" x14ac:dyDescent="0.2">
      <c r="A16" s="862">
        <f>RIGHT(DoM!$B$6,2)-2</f>
        <v>16</v>
      </c>
      <c r="B16" s="862" t="e">
        <f>INDEX(SNAME[],MATCH(C16,SNAME[DIST],0),MATCH($B$1,SNAME[#Headers],0))</f>
        <v>#N/A</v>
      </c>
      <c r="C16" s="862" t="e">
        <f>TaxCert!$F$6</f>
        <v>#N/A</v>
      </c>
      <c r="D16" s="862">
        <v>19</v>
      </c>
      <c r="E16" s="870">
        <f>Adopted!$D19</f>
        <v>0</v>
      </c>
      <c r="G16" s="862" t="e">
        <f t="shared" si="0"/>
        <v>#N/A</v>
      </c>
      <c r="H16" s="862" t="str">
        <f t="shared" si="1"/>
        <v>019</v>
      </c>
      <c r="I16" s="862" t="str">
        <f t="shared" si="2"/>
        <v>0000000000000</v>
      </c>
      <c r="K16" s="862" t="e">
        <f t="shared" si="3"/>
        <v>#N/A</v>
      </c>
    </row>
    <row r="17" spans="1:11" x14ac:dyDescent="0.2">
      <c r="A17" s="862">
        <f>RIGHT(DoM!$B$6,2)-2</f>
        <v>16</v>
      </c>
      <c r="B17" s="862" t="e">
        <f>INDEX(SNAME[],MATCH(C17,SNAME[DIST],0),MATCH($B$1,SNAME[#Headers],0))</f>
        <v>#N/A</v>
      </c>
      <c r="C17" s="862" t="e">
        <f>TaxCert!$F$6</f>
        <v>#N/A</v>
      </c>
      <c r="D17" s="862">
        <v>20</v>
      </c>
      <c r="E17" s="870" t="e">
        <f>Adopted!$D20</f>
        <v>#N/A</v>
      </c>
      <c r="G17" s="862" t="e">
        <f t="shared" si="0"/>
        <v>#N/A</v>
      </c>
      <c r="H17" s="862" t="str">
        <f t="shared" si="1"/>
        <v>020</v>
      </c>
      <c r="I17" s="862" t="e">
        <f t="shared" si="2"/>
        <v>#N/A</v>
      </c>
      <c r="K17" s="862" t="e">
        <f t="shared" si="3"/>
        <v>#N/A</v>
      </c>
    </row>
    <row r="18" spans="1:11" x14ac:dyDescent="0.2">
      <c r="A18" s="862">
        <f>RIGHT(DoM!$B$6,2)-2</f>
        <v>16</v>
      </c>
      <c r="B18" s="862" t="e">
        <f>INDEX(SNAME[],MATCH(C18,SNAME[DIST],0),MATCH($B$1,SNAME[#Headers],0))</f>
        <v>#N/A</v>
      </c>
      <c r="C18" s="862" t="e">
        <f>TaxCert!$F$6</f>
        <v>#N/A</v>
      </c>
      <c r="D18" s="862">
        <v>21</v>
      </c>
      <c r="E18" s="870">
        <f>Adopted!$D21</f>
        <v>0</v>
      </c>
      <c r="G18" s="862" t="e">
        <f t="shared" si="0"/>
        <v>#N/A</v>
      </c>
      <c r="H18" s="862" t="str">
        <f t="shared" si="1"/>
        <v>021</v>
      </c>
      <c r="I18" s="862" t="str">
        <f t="shared" si="2"/>
        <v>0000000000000</v>
      </c>
      <c r="K18" s="862" t="e">
        <f t="shared" si="3"/>
        <v>#N/A</v>
      </c>
    </row>
    <row r="19" spans="1:11" x14ac:dyDescent="0.2">
      <c r="A19" s="862">
        <f>RIGHT(DoM!$B$6,2)-2</f>
        <v>16</v>
      </c>
      <c r="B19" s="862" t="e">
        <f>INDEX(SNAME[],MATCH(C19,SNAME[DIST],0),MATCH($B$1,SNAME[#Headers],0))</f>
        <v>#N/A</v>
      </c>
      <c r="C19" s="862" t="e">
        <f>TaxCert!$F$6</f>
        <v>#N/A</v>
      </c>
      <c r="D19" s="862">
        <v>22</v>
      </c>
      <c r="E19" s="870">
        <f>Adopted!$D22</f>
        <v>0</v>
      </c>
      <c r="G19" s="862" t="e">
        <f t="shared" si="0"/>
        <v>#N/A</v>
      </c>
      <c r="H19" s="862" t="str">
        <f t="shared" si="1"/>
        <v>022</v>
      </c>
      <c r="I19" s="862" t="str">
        <f t="shared" si="2"/>
        <v>0000000000000</v>
      </c>
      <c r="K19" s="862" t="e">
        <f t="shared" si="3"/>
        <v>#N/A</v>
      </c>
    </row>
    <row r="20" spans="1:11" x14ac:dyDescent="0.2">
      <c r="A20" s="862">
        <f>RIGHT(DoM!$B$6,2)-2</f>
        <v>16</v>
      </c>
      <c r="B20" s="862" t="e">
        <f>INDEX(SNAME[],MATCH(C20,SNAME[DIST],0),MATCH($B$1,SNAME[#Headers],0))</f>
        <v>#N/A</v>
      </c>
      <c r="C20" s="862" t="e">
        <f>TaxCert!$F$6</f>
        <v>#N/A</v>
      </c>
      <c r="D20" s="862">
        <v>23</v>
      </c>
      <c r="E20" s="870">
        <f>Adopted!$D23</f>
        <v>0</v>
      </c>
      <c r="G20" s="862" t="e">
        <f t="shared" si="0"/>
        <v>#N/A</v>
      </c>
      <c r="H20" s="862" t="str">
        <f t="shared" si="1"/>
        <v>023</v>
      </c>
      <c r="I20" s="862" t="str">
        <f t="shared" si="2"/>
        <v>0000000000000</v>
      </c>
      <c r="K20" s="862" t="e">
        <f t="shared" si="3"/>
        <v>#N/A</v>
      </c>
    </row>
    <row r="21" spans="1:11" x14ac:dyDescent="0.2">
      <c r="A21" s="862">
        <f>RIGHT(DoM!$B$6,2)-2</f>
        <v>16</v>
      </c>
      <c r="B21" s="862" t="e">
        <f>INDEX(SNAME[],MATCH(C21,SNAME[DIST],0),MATCH($B$1,SNAME[#Headers],0))</f>
        <v>#N/A</v>
      </c>
      <c r="C21" s="862" t="e">
        <f>TaxCert!$F$6</f>
        <v>#N/A</v>
      </c>
      <c r="D21" s="862">
        <v>24</v>
      </c>
      <c r="E21" s="870" t="e">
        <f>Adopted!$D24</f>
        <v>#N/A</v>
      </c>
      <c r="G21" s="862" t="e">
        <f t="shared" si="0"/>
        <v>#N/A</v>
      </c>
      <c r="H21" s="862" t="str">
        <f t="shared" si="1"/>
        <v>024</v>
      </c>
      <c r="I21" s="862" t="e">
        <f t="shared" si="2"/>
        <v>#N/A</v>
      </c>
      <c r="K21" s="862" t="e">
        <f t="shared" si="3"/>
        <v>#N/A</v>
      </c>
    </row>
    <row r="22" spans="1:11" x14ac:dyDescent="0.2">
      <c r="A22" s="862">
        <f>RIGHT(DoM!$B$6,2)-2</f>
        <v>16</v>
      </c>
      <c r="B22" s="862" t="e">
        <f>INDEX(SNAME[],MATCH(C22,SNAME[DIST],0),MATCH($B$1,SNAME[#Headers],0))</f>
        <v>#N/A</v>
      </c>
      <c r="C22" s="862" t="e">
        <f>TaxCert!$F$6</f>
        <v>#N/A</v>
      </c>
      <c r="D22" s="862">
        <v>25</v>
      </c>
      <c r="E22" s="870" t="e">
        <f>Adopted!$D25</f>
        <v>#N/A</v>
      </c>
      <c r="G22" s="862" t="e">
        <f t="shared" si="0"/>
        <v>#N/A</v>
      </c>
      <c r="H22" s="862" t="str">
        <f t="shared" si="1"/>
        <v>025</v>
      </c>
      <c r="I22" s="862" t="e">
        <f t="shared" si="2"/>
        <v>#N/A</v>
      </c>
      <c r="K22" s="862" t="e">
        <f t="shared" si="3"/>
        <v>#N/A</v>
      </c>
    </row>
    <row r="23" spans="1:11" x14ac:dyDescent="0.2">
      <c r="A23" s="862">
        <f>RIGHT(DoM!$B$6,2)-2</f>
        <v>16</v>
      </c>
      <c r="B23" s="862" t="e">
        <f>INDEX(SNAME[],MATCH(C23,SNAME[DIST],0),MATCH($B$1,SNAME[#Headers],0))</f>
        <v>#N/A</v>
      </c>
      <c r="C23" s="862" t="e">
        <f>TaxCert!$F$6</f>
        <v>#N/A</v>
      </c>
      <c r="D23" s="862">
        <v>26</v>
      </c>
      <c r="E23" s="870" t="e">
        <f>Adopted!$D26</f>
        <v>#N/A</v>
      </c>
      <c r="G23" s="862" t="e">
        <f t="shared" si="0"/>
        <v>#N/A</v>
      </c>
      <c r="H23" s="862" t="str">
        <f t="shared" si="1"/>
        <v>026</v>
      </c>
      <c r="I23" s="862" t="e">
        <f t="shared" si="2"/>
        <v>#N/A</v>
      </c>
      <c r="K23" s="862" t="e">
        <f t="shared" si="3"/>
        <v>#N/A</v>
      </c>
    </row>
    <row r="24" spans="1:11" x14ac:dyDescent="0.2">
      <c r="A24" s="862">
        <f>RIGHT(DoM!$B$6,2)-2</f>
        <v>16</v>
      </c>
      <c r="B24" s="862" t="e">
        <f>INDEX(SNAME[],MATCH(C24,SNAME[DIST],0),MATCH($B$1,SNAME[#Headers],0))</f>
        <v>#N/A</v>
      </c>
      <c r="C24" s="862" t="e">
        <f>TaxCert!$F$6</f>
        <v>#N/A</v>
      </c>
      <c r="D24" s="862">
        <v>27</v>
      </c>
      <c r="E24" s="870">
        <f>Adopted!$D28</f>
        <v>0</v>
      </c>
      <c r="G24" s="862" t="e">
        <f t="shared" si="0"/>
        <v>#N/A</v>
      </c>
      <c r="H24" s="862" t="str">
        <f t="shared" si="1"/>
        <v>027</v>
      </c>
      <c r="I24" s="862" t="str">
        <f t="shared" si="2"/>
        <v>0000000000000</v>
      </c>
      <c r="K24" s="862" t="e">
        <f t="shared" si="3"/>
        <v>#N/A</v>
      </c>
    </row>
    <row r="25" spans="1:11" x14ac:dyDescent="0.2">
      <c r="A25" s="862">
        <f>RIGHT(DoM!$B$6,2)-2</f>
        <v>16</v>
      </c>
      <c r="B25" s="862" t="e">
        <f>INDEX(SNAME[],MATCH(C25,SNAME[DIST],0),MATCH($B$1,SNAME[#Headers],0))</f>
        <v>#N/A</v>
      </c>
      <c r="C25" s="862" t="e">
        <f>TaxCert!$F$6</f>
        <v>#N/A</v>
      </c>
      <c r="D25" s="862">
        <v>28</v>
      </c>
      <c r="E25" s="870">
        <f>Adopted!$D29</f>
        <v>0</v>
      </c>
      <c r="G25" s="862" t="e">
        <f t="shared" si="0"/>
        <v>#N/A</v>
      </c>
      <c r="H25" s="862" t="str">
        <f t="shared" si="1"/>
        <v>028</v>
      </c>
      <c r="I25" s="862" t="str">
        <f t="shared" si="2"/>
        <v>0000000000000</v>
      </c>
      <c r="K25" s="862" t="e">
        <f t="shared" si="3"/>
        <v>#N/A</v>
      </c>
    </row>
    <row r="26" spans="1:11" x14ac:dyDescent="0.2">
      <c r="A26" s="862">
        <f>RIGHT(DoM!$B$6,2)-2</f>
        <v>16</v>
      </c>
      <c r="B26" s="862" t="e">
        <f>INDEX(SNAME[],MATCH(C26,SNAME[DIST],0),MATCH($B$1,SNAME[#Headers],0))</f>
        <v>#N/A</v>
      </c>
      <c r="C26" s="862" t="e">
        <f>TaxCert!$F$6</f>
        <v>#N/A</v>
      </c>
      <c r="D26" s="862">
        <v>29</v>
      </c>
      <c r="E26" s="870">
        <f>Adopted!$D30</f>
        <v>0</v>
      </c>
      <c r="G26" s="862" t="e">
        <f t="shared" si="0"/>
        <v>#N/A</v>
      </c>
      <c r="H26" s="862" t="str">
        <f t="shared" si="1"/>
        <v>029</v>
      </c>
      <c r="I26" s="862" t="str">
        <f t="shared" si="2"/>
        <v>0000000000000</v>
      </c>
      <c r="K26" s="862" t="e">
        <f t="shared" si="3"/>
        <v>#N/A</v>
      </c>
    </row>
    <row r="27" spans="1:11" x14ac:dyDescent="0.2">
      <c r="A27" s="862">
        <f>RIGHT(DoM!$B$6,2)-2</f>
        <v>16</v>
      </c>
      <c r="B27" s="862" t="e">
        <f>INDEX(SNAME[],MATCH(C27,SNAME[DIST],0),MATCH($B$1,SNAME[#Headers],0))</f>
        <v>#N/A</v>
      </c>
      <c r="C27" s="862" t="e">
        <f>TaxCert!$F$6</f>
        <v>#N/A</v>
      </c>
      <c r="D27" s="862">
        <v>30</v>
      </c>
      <c r="E27" s="870">
        <f>Adopted!$D31</f>
        <v>0</v>
      </c>
      <c r="G27" s="862" t="e">
        <f t="shared" si="0"/>
        <v>#N/A</v>
      </c>
      <c r="H27" s="862" t="str">
        <f t="shared" si="1"/>
        <v>030</v>
      </c>
      <c r="I27" s="862" t="str">
        <f t="shared" si="2"/>
        <v>0000000000000</v>
      </c>
      <c r="K27" s="862" t="e">
        <f t="shared" si="3"/>
        <v>#N/A</v>
      </c>
    </row>
    <row r="28" spans="1:11" x14ac:dyDescent="0.2">
      <c r="A28" s="862">
        <f>RIGHT(DoM!$B$6,2)-2</f>
        <v>16</v>
      </c>
      <c r="B28" s="862" t="e">
        <f>INDEX(SNAME[],MATCH(C28,SNAME[DIST],0),MATCH($B$1,SNAME[#Headers],0))</f>
        <v>#N/A</v>
      </c>
      <c r="C28" s="862" t="e">
        <f>TaxCert!$F$6</f>
        <v>#N/A</v>
      </c>
      <c r="D28" s="862">
        <v>31</v>
      </c>
      <c r="E28" s="870">
        <f>Adopted!$D32</f>
        <v>0</v>
      </c>
      <c r="G28" s="862" t="e">
        <f t="shared" si="0"/>
        <v>#N/A</v>
      </c>
      <c r="H28" s="862" t="str">
        <f t="shared" si="1"/>
        <v>031</v>
      </c>
      <c r="I28" s="862" t="str">
        <f t="shared" si="2"/>
        <v>0000000000000</v>
      </c>
      <c r="K28" s="862" t="e">
        <f t="shared" si="3"/>
        <v>#N/A</v>
      </c>
    </row>
    <row r="29" spans="1:11" x14ac:dyDescent="0.2">
      <c r="A29" s="862">
        <f>RIGHT(DoM!$B$6,2)-2</f>
        <v>16</v>
      </c>
      <c r="B29" s="862" t="e">
        <f>INDEX(SNAME[],MATCH(C29,SNAME[DIST],0),MATCH($B$1,SNAME[#Headers],0))</f>
        <v>#N/A</v>
      </c>
      <c r="C29" s="862" t="e">
        <f>TaxCert!$F$6</f>
        <v>#N/A</v>
      </c>
      <c r="D29" s="862">
        <v>32</v>
      </c>
      <c r="E29" s="870">
        <f>Adopted!$D33</f>
        <v>0</v>
      </c>
      <c r="G29" s="862" t="e">
        <f t="shared" si="0"/>
        <v>#N/A</v>
      </c>
      <c r="H29" s="862" t="str">
        <f t="shared" si="1"/>
        <v>032</v>
      </c>
      <c r="I29" s="862" t="str">
        <f t="shared" si="2"/>
        <v>0000000000000</v>
      </c>
      <c r="K29" s="862" t="e">
        <f t="shared" si="3"/>
        <v>#N/A</v>
      </c>
    </row>
    <row r="30" spans="1:11" x14ac:dyDescent="0.2">
      <c r="A30" s="862">
        <f>RIGHT(DoM!$B$6,2)-2</f>
        <v>16</v>
      </c>
      <c r="B30" s="862" t="e">
        <f>INDEX(SNAME[],MATCH(C30,SNAME[DIST],0),MATCH($B$1,SNAME[#Headers],0))</f>
        <v>#N/A</v>
      </c>
      <c r="C30" s="862" t="e">
        <f>TaxCert!$F$6</f>
        <v>#N/A</v>
      </c>
      <c r="D30" s="862">
        <v>33</v>
      </c>
      <c r="E30" s="870">
        <f>Adopted!$D34</f>
        <v>0</v>
      </c>
      <c r="G30" s="862" t="e">
        <f t="shared" si="0"/>
        <v>#N/A</v>
      </c>
      <c r="H30" s="862" t="str">
        <f t="shared" si="1"/>
        <v>033</v>
      </c>
      <c r="I30" s="862" t="str">
        <f t="shared" si="2"/>
        <v>0000000000000</v>
      </c>
      <c r="K30" s="862" t="e">
        <f t="shared" si="3"/>
        <v>#N/A</v>
      </c>
    </row>
    <row r="31" spans="1:11" x14ac:dyDescent="0.2">
      <c r="A31" s="862">
        <f>RIGHT(DoM!$B$6,2)-2</f>
        <v>16</v>
      </c>
      <c r="B31" s="862" t="e">
        <f>INDEX(SNAME[],MATCH(C31,SNAME[DIST],0),MATCH($B$1,SNAME[#Headers],0))</f>
        <v>#N/A</v>
      </c>
      <c r="C31" s="862" t="e">
        <f>TaxCert!$F$6</f>
        <v>#N/A</v>
      </c>
      <c r="D31" s="862">
        <v>34</v>
      </c>
      <c r="E31" s="870">
        <f>Adopted!$D35</f>
        <v>0</v>
      </c>
      <c r="G31" s="862" t="e">
        <f t="shared" si="0"/>
        <v>#N/A</v>
      </c>
      <c r="H31" s="862" t="str">
        <f t="shared" si="1"/>
        <v>034</v>
      </c>
      <c r="I31" s="862" t="str">
        <f t="shared" si="2"/>
        <v>0000000000000</v>
      </c>
      <c r="K31" s="862" t="e">
        <f t="shared" si="3"/>
        <v>#N/A</v>
      </c>
    </row>
    <row r="32" spans="1:11" x14ac:dyDescent="0.2">
      <c r="A32" s="862">
        <f>RIGHT(DoM!$B$6,2)-2</f>
        <v>16</v>
      </c>
      <c r="B32" s="862" t="e">
        <f>INDEX(SNAME[],MATCH(C32,SNAME[DIST],0),MATCH($B$1,SNAME[#Headers],0))</f>
        <v>#N/A</v>
      </c>
      <c r="C32" s="862" t="e">
        <f>TaxCert!$F$6</f>
        <v>#N/A</v>
      </c>
      <c r="D32" s="862">
        <v>35</v>
      </c>
      <c r="E32" s="870">
        <f>Adopted!$D36</f>
        <v>0</v>
      </c>
      <c r="G32" s="862" t="e">
        <f t="shared" si="0"/>
        <v>#N/A</v>
      </c>
      <c r="H32" s="862" t="str">
        <f t="shared" si="1"/>
        <v>035</v>
      </c>
      <c r="I32" s="862" t="str">
        <f t="shared" si="2"/>
        <v>0000000000000</v>
      </c>
      <c r="K32" s="862" t="e">
        <f t="shared" si="3"/>
        <v>#N/A</v>
      </c>
    </row>
    <row r="33" spans="1:11" x14ac:dyDescent="0.2">
      <c r="A33" s="862">
        <f>RIGHT(DoM!$B$6,2)-2</f>
        <v>16</v>
      </c>
      <c r="B33" s="862" t="e">
        <f>INDEX(SNAME[],MATCH(C33,SNAME[DIST],0),MATCH($B$1,SNAME[#Headers],0))</f>
        <v>#N/A</v>
      </c>
      <c r="C33" s="862" t="e">
        <f>TaxCert!$F$6</f>
        <v>#N/A</v>
      </c>
      <c r="D33" s="862">
        <v>36</v>
      </c>
      <c r="E33" s="870">
        <f>Adopted!$D37</f>
        <v>0</v>
      </c>
      <c r="G33" s="862" t="e">
        <f t="shared" si="0"/>
        <v>#N/A</v>
      </c>
      <c r="H33" s="862" t="str">
        <f t="shared" si="1"/>
        <v>036</v>
      </c>
      <c r="I33" s="862" t="str">
        <f t="shared" si="2"/>
        <v>0000000000000</v>
      </c>
      <c r="K33" s="862" t="e">
        <f t="shared" si="3"/>
        <v>#N/A</v>
      </c>
    </row>
    <row r="34" spans="1:11" x14ac:dyDescent="0.2">
      <c r="A34" s="862">
        <f>RIGHT(DoM!$B$6,2)-2</f>
        <v>16</v>
      </c>
      <c r="B34" s="862" t="e">
        <f>INDEX(SNAME[],MATCH(C34,SNAME[DIST],0),MATCH($B$1,SNAME[#Headers],0))</f>
        <v>#N/A</v>
      </c>
      <c r="C34" s="862" t="e">
        <f>TaxCert!$F$6</f>
        <v>#N/A</v>
      </c>
      <c r="D34" s="862">
        <v>37</v>
      </c>
      <c r="E34" s="870">
        <f>Adopted!$D38</f>
        <v>0</v>
      </c>
      <c r="G34" s="862" t="e">
        <f t="shared" ref="G34:G65" si="4">TEXT(C34,"0000")</f>
        <v>#N/A</v>
      </c>
      <c r="H34" s="862" t="str">
        <f t="shared" ref="H34:H65" si="5">TEXT(D34,"000")</f>
        <v>037</v>
      </c>
      <c r="I34" s="862" t="str">
        <f t="shared" ref="I34:I70" si="6">TEXT(E34*1000,"0000000000000")</f>
        <v>0000000000000</v>
      </c>
      <c r="K34" s="862" t="e">
        <f t="shared" ref="K34:K65" si="7">CONCATENATE(A34,B34,G34,H34,I34,"+0000000000000000"," ","0000000000000000"," ","0000000000000000"," ","0000000000000000")</f>
        <v>#N/A</v>
      </c>
    </row>
    <row r="35" spans="1:11" x14ac:dyDescent="0.2">
      <c r="A35" s="862">
        <f>RIGHT(DoM!$B$6,2)-2</f>
        <v>16</v>
      </c>
      <c r="B35" s="862" t="e">
        <f>INDEX(SNAME[],MATCH(C35,SNAME[DIST],0),MATCH($B$1,SNAME[#Headers],0))</f>
        <v>#N/A</v>
      </c>
      <c r="C35" s="862" t="e">
        <f>TaxCert!$F$6</f>
        <v>#N/A</v>
      </c>
      <c r="D35" s="862">
        <v>38</v>
      </c>
      <c r="E35" s="870">
        <f>Adopted!$D39</f>
        <v>0</v>
      </c>
      <c r="G35" s="862" t="e">
        <f t="shared" si="4"/>
        <v>#N/A</v>
      </c>
      <c r="H35" s="862" t="str">
        <f t="shared" si="5"/>
        <v>038</v>
      </c>
      <c r="I35" s="862" t="str">
        <f t="shared" si="6"/>
        <v>0000000000000</v>
      </c>
      <c r="K35" s="862" t="e">
        <f t="shared" si="7"/>
        <v>#N/A</v>
      </c>
    </row>
    <row r="36" spans="1:11" x14ac:dyDescent="0.2">
      <c r="A36" s="862">
        <f>RIGHT(DoM!$B$6,2)-2</f>
        <v>16</v>
      </c>
      <c r="B36" s="862" t="e">
        <f>INDEX(SNAME[],MATCH(C36,SNAME[DIST],0),MATCH($B$1,SNAME[#Headers],0))</f>
        <v>#N/A</v>
      </c>
      <c r="C36" s="862" t="e">
        <f>TaxCert!$F$6</f>
        <v>#N/A</v>
      </c>
      <c r="D36" s="862">
        <v>39</v>
      </c>
      <c r="E36" s="870">
        <f>Adopted!$D40</f>
        <v>0</v>
      </c>
      <c r="G36" s="862" t="e">
        <f t="shared" si="4"/>
        <v>#N/A</v>
      </c>
      <c r="H36" s="862" t="str">
        <f t="shared" si="5"/>
        <v>039</v>
      </c>
      <c r="I36" s="862" t="str">
        <f t="shared" si="6"/>
        <v>0000000000000</v>
      </c>
      <c r="K36" s="862" t="e">
        <f t="shared" si="7"/>
        <v>#N/A</v>
      </c>
    </row>
    <row r="37" spans="1:11" x14ac:dyDescent="0.2">
      <c r="A37" s="862">
        <f>RIGHT(DoM!$B$6,2)-2</f>
        <v>16</v>
      </c>
      <c r="B37" s="862" t="e">
        <f>INDEX(SNAME[],MATCH(C37,SNAME[DIST],0),MATCH($B$1,SNAME[#Headers],0))</f>
        <v>#N/A</v>
      </c>
      <c r="C37" s="862" t="e">
        <f>TaxCert!$F$6</f>
        <v>#N/A</v>
      </c>
      <c r="D37" s="862">
        <v>40</v>
      </c>
      <c r="E37" s="870" t="e">
        <f>Adopted!$D41</f>
        <v>#N/A</v>
      </c>
      <c r="G37" s="862" t="e">
        <f t="shared" si="4"/>
        <v>#N/A</v>
      </c>
      <c r="H37" s="862" t="str">
        <f t="shared" si="5"/>
        <v>040</v>
      </c>
      <c r="I37" s="862" t="e">
        <f t="shared" si="6"/>
        <v>#N/A</v>
      </c>
      <c r="K37" s="862" t="e">
        <f t="shared" si="7"/>
        <v>#N/A</v>
      </c>
    </row>
    <row r="38" spans="1:11" x14ac:dyDescent="0.2">
      <c r="A38" s="862">
        <f>RIGHT(DoM!$B$6,2)-2</f>
        <v>16</v>
      </c>
      <c r="B38" s="862" t="e">
        <f>INDEX(SNAME[],MATCH(C38,SNAME[DIST],0),MATCH($B$1,SNAME[#Headers],0))</f>
        <v>#N/A</v>
      </c>
      <c r="C38" s="862" t="e">
        <f>TaxCert!$F$6</f>
        <v>#N/A</v>
      </c>
      <c r="D38" s="862">
        <v>41</v>
      </c>
      <c r="E38" s="870" t="e">
        <f>Adopted!$D42</f>
        <v>#N/A</v>
      </c>
      <c r="G38" s="862" t="e">
        <f t="shared" si="4"/>
        <v>#N/A</v>
      </c>
      <c r="H38" s="862" t="str">
        <f t="shared" si="5"/>
        <v>041</v>
      </c>
      <c r="I38" s="862" t="e">
        <f t="shared" si="6"/>
        <v>#N/A</v>
      </c>
      <c r="K38" s="862" t="e">
        <f t="shared" si="7"/>
        <v>#N/A</v>
      </c>
    </row>
    <row r="39" spans="1:11" x14ac:dyDescent="0.2">
      <c r="A39" s="862">
        <f>RIGHT(DoM!$B$6,2)-2</f>
        <v>16</v>
      </c>
      <c r="B39" s="862" t="e">
        <f>INDEX(SNAME[],MATCH(C39,SNAME[DIST],0),MATCH($B$1,SNAME[#Headers],0))</f>
        <v>#N/A</v>
      </c>
      <c r="C39" s="862" t="e">
        <f>TaxCert!$F$6</f>
        <v>#N/A</v>
      </c>
      <c r="D39" s="862">
        <v>42</v>
      </c>
      <c r="E39" s="870" t="e">
        <f>Adopted!$D43</f>
        <v>#N/A</v>
      </c>
      <c r="G39" s="862" t="e">
        <f t="shared" si="4"/>
        <v>#N/A</v>
      </c>
      <c r="H39" s="862" t="str">
        <f t="shared" si="5"/>
        <v>042</v>
      </c>
      <c r="I39" s="862" t="e">
        <f t="shared" si="6"/>
        <v>#N/A</v>
      </c>
      <c r="K39" s="862" t="e">
        <f t="shared" si="7"/>
        <v>#N/A</v>
      </c>
    </row>
    <row r="40" spans="1:11" x14ac:dyDescent="0.2">
      <c r="A40" s="862">
        <f>RIGHT(DoM!$B$6,2)-2</f>
        <v>16</v>
      </c>
      <c r="B40" s="862" t="e">
        <f>INDEX(SNAME[],MATCH(C40,SNAME[DIST],0),MATCH($B$1,SNAME[#Headers],0))</f>
        <v>#N/A</v>
      </c>
      <c r="C40" s="862" t="e">
        <f>TaxCert!$F$6</f>
        <v>#N/A</v>
      </c>
      <c r="D40" s="862">
        <v>43</v>
      </c>
      <c r="E40" s="870">
        <f>Adopted!$D44</f>
        <v>0</v>
      </c>
      <c r="G40" s="862" t="e">
        <f t="shared" si="4"/>
        <v>#N/A</v>
      </c>
      <c r="H40" s="862" t="str">
        <f t="shared" si="5"/>
        <v>043</v>
      </c>
      <c r="I40" s="862" t="str">
        <f t="shared" si="6"/>
        <v>0000000000000</v>
      </c>
      <c r="K40" s="862" t="e">
        <f t="shared" si="7"/>
        <v>#N/A</v>
      </c>
    </row>
    <row r="41" spans="1:11" x14ac:dyDescent="0.2">
      <c r="A41" s="862">
        <f>RIGHT(DoM!$B$6,2)-2</f>
        <v>16</v>
      </c>
      <c r="B41" s="862" t="e">
        <f>INDEX(SNAME[],MATCH(C41,SNAME[DIST],0),MATCH($B$1,SNAME[#Headers],0))</f>
        <v>#N/A</v>
      </c>
      <c r="C41" s="862" t="e">
        <f>TaxCert!$F$6</f>
        <v>#N/A</v>
      </c>
      <c r="D41" s="862">
        <v>44</v>
      </c>
      <c r="E41" s="870" t="e">
        <f>Adopted!$D45</f>
        <v>#N/A</v>
      </c>
      <c r="G41" s="862" t="e">
        <f t="shared" si="4"/>
        <v>#N/A</v>
      </c>
      <c r="H41" s="862" t="str">
        <f t="shared" si="5"/>
        <v>044</v>
      </c>
      <c r="I41" s="862" t="e">
        <f t="shared" si="6"/>
        <v>#N/A</v>
      </c>
      <c r="K41" s="862" t="e">
        <f t="shared" si="7"/>
        <v>#N/A</v>
      </c>
    </row>
    <row r="42" spans="1:11" x14ac:dyDescent="0.2">
      <c r="A42" s="862">
        <f>RIGHT(DoM!$B$6,2)-2</f>
        <v>16</v>
      </c>
      <c r="B42" s="862" t="e">
        <f>INDEX(SNAME[],MATCH(C42,SNAME[DIST],0),MATCH($B$1,SNAME[#Headers],0))</f>
        <v>#N/A</v>
      </c>
      <c r="C42" s="862" t="e">
        <f>TaxCert!$F$6</f>
        <v>#N/A</v>
      </c>
      <c r="D42" s="862">
        <v>45</v>
      </c>
      <c r="E42" s="870" t="e">
        <f>Adopted!$D46</f>
        <v>#N/A</v>
      </c>
      <c r="G42" s="862" t="e">
        <f t="shared" si="4"/>
        <v>#N/A</v>
      </c>
      <c r="H42" s="862" t="str">
        <f t="shared" si="5"/>
        <v>045</v>
      </c>
      <c r="I42" s="862" t="e">
        <f t="shared" si="6"/>
        <v>#N/A</v>
      </c>
      <c r="K42" s="862" t="e">
        <f t="shared" si="7"/>
        <v>#N/A</v>
      </c>
    </row>
    <row r="43" spans="1:11" x14ac:dyDescent="0.2">
      <c r="A43" s="862">
        <f>RIGHT(DoM!$B$6,2)-2</f>
        <v>16</v>
      </c>
      <c r="B43" s="862" t="e">
        <f>INDEX(SNAME[],MATCH(C43,SNAME[DIST],0),MATCH($B$1,SNAME[#Headers],0))</f>
        <v>#N/A</v>
      </c>
      <c r="C43" s="862" t="e">
        <f>TaxCert!$F$6</f>
        <v>#N/A</v>
      </c>
      <c r="D43" s="862">
        <v>46</v>
      </c>
      <c r="E43" s="870" t="e">
        <f>Adopted!$D47</f>
        <v>#N/A</v>
      </c>
      <c r="G43" s="862" t="e">
        <f t="shared" si="4"/>
        <v>#N/A</v>
      </c>
      <c r="H43" s="862" t="str">
        <f t="shared" si="5"/>
        <v>046</v>
      </c>
      <c r="I43" s="862" t="e">
        <f t="shared" si="6"/>
        <v>#N/A</v>
      </c>
      <c r="K43" s="862" t="e">
        <f t="shared" si="7"/>
        <v>#N/A</v>
      </c>
    </row>
    <row r="44" spans="1:11" x14ac:dyDescent="0.2">
      <c r="A44" s="862">
        <f>RIGHT(DoM!$B$6,2)-2</f>
        <v>16</v>
      </c>
      <c r="B44" s="862" t="e">
        <f>INDEX(SNAME[],MATCH(C44,SNAME[DIST],0),MATCH($B$1,SNAME[#Headers],0))</f>
        <v>#N/A</v>
      </c>
      <c r="C44" s="862" t="e">
        <f>TaxCert!$F$6</f>
        <v>#N/A</v>
      </c>
      <c r="D44" s="862">
        <v>97</v>
      </c>
      <c r="E44" s="870" t="e">
        <f>TaxCert!$C$10</f>
        <v>#N/A</v>
      </c>
      <c r="G44" s="862" t="e">
        <f t="shared" si="4"/>
        <v>#N/A</v>
      </c>
      <c r="H44" s="862" t="str">
        <f t="shared" si="5"/>
        <v>097</v>
      </c>
      <c r="I44" s="862" t="e">
        <f t="shared" si="6"/>
        <v>#N/A</v>
      </c>
      <c r="K44" s="862" t="e">
        <f t="shared" si="7"/>
        <v>#N/A</v>
      </c>
    </row>
    <row r="45" spans="1:11" x14ac:dyDescent="0.2">
      <c r="A45" s="862">
        <f>RIGHT(DoM!$B$6,2)-2</f>
        <v>16</v>
      </c>
      <c r="B45" s="862" t="e">
        <f>INDEX(SNAME[],MATCH(C45,SNAME[DIST],0),MATCH($B$1,SNAME[#Headers],0))</f>
        <v>#N/A</v>
      </c>
      <c r="C45" s="862" t="e">
        <f>TaxCert!$F$6</f>
        <v>#N/A</v>
      </c>
      <c r="D45" s="862">
        <v>99</v>
      </c>
      <c r="E45" s="870" t="e">
        <f>TaxCert!$C$11</f>
        <v>#N/A</v>
      </c>
      <c r="G45" s="862" t="e">
        <f t="shared" si="4"/>
        <v>#N/A</v>
      </c>
      <c r="H45" s="862" t="str">
        <f t="shared" si="5"/>
        <v>099</v>
      </c>
      <c r="I45" s="862" t="e">
        <f t="shared" si="6"/>
        <v>#N/A</v>
      </c>
      <c r="K45" s="862" t="e">
        <f t="shared" si="7"/>
        <v>#N/A</v>
      </c>
    </row>
    <row r="46" spans="1:11" x14ac:dyDescent="0.2">
      <c r="A46" s="862">
        <f>RIGHT(DoM!$B$6,2)-2</f>
        <v>16</v>
      </c>
      <c r="B46" s="862" t="e">
        <f>INDEX(SNAME[],MATCH(C46,SNAME[DIST],0),MATCH($B$1,SNAME[#Headers],0))</f>
        <v>#N/A</v>
      </c>
      <c r="C46" s="862" t="e">
        <f>TaxCert!$F$6</f>
        <v>#N/A</v>
      </c>
      <c r="D46" s="862">
        <v>105</v>
      </c>
      <c r="E46" s="870">
        <f>TaxCert!$C$14</f>
        <v>0</v>
      </c>
      <c r="G46" s="862" t="e">
        <f t="shared" si="4"/>
        <v>#N/A</v>
      </c>
      <c r="H46" s="862" t="str">
        <f t="shared" si="5"/>
        <v>105</v>
      </c>
      <c r="I46" s="862" t="str">
        <f t="shared" si="6"/>
        <v>0000000000000</v>
      </c>
      <c r="K46" s="862" t="e">
        <f t="shared" si="7"/>
        <v>#N/A</v>
      </c>
    </row>
    <row r="47" spans="1:11" x14ac:dyDescent="0.2">
      <c r="A47" s="862">
        <f>RIGHT(DoM!$B$6,2)-2</f>
        <v>16</v>
      </c>
      <c r="B47" s="862" t="e">
        <f>INDEX(SNAME[],MATCH(C47,SNAME[DIST],0),MATCH($B$1,SNAME[#Headers],0))</f>
        <v>#N/A</v>
      </c>
      <c r="C47" s="862" t="e">
        <f>TaxCert!$F$6</f>
        <v>#N/A</v>
      </c>
      <c r="D47" s="862">
        <v>96</v>
      </c>
      <c r="E47" s="872">
        <f>TaxCert!$C$18</f>
        <v>0</v>
      </c>
      <c r="G47" s="862" t="e">
        <f t="shared" si="4"/>
        <v>#N/A</v>
      </c>
      <c r="H47" s="862" t="str">
        <f t="shared" si="5"/>
        <v>096</v>
      </c>
      <c r="I47" s="862" t="str">
        <f t="shared" si="6"/>
        <v>0000000000000</v>
      </c>
      <c r="K47" s="862" t="e">
        <f t="shared" si="7"/>
        <v>#N/A</v>
      </c>
    </row>
    <row r="48" spans="1:11" x14ac:dyDescent="0.2">
      <c r="A48" s="862">
        <f>RIGHT(DoM!$B$6,2)-2</f>
        <v>16</v>
      </c>
      <c r="B48" s="862" t="e">
        <f>INDEX(SNAME[],MATCH(C48,SNAME[DIST],0),MATCH($B$1,SNAME[#Headers],0))</f>
        <v>#N/A</v>
      </c>
      <c r="C48" s="862" t="e">
        <f>TaxCert!$F$6</f>
        <v>#N/A</v>
      </c>
      <c r="D48" s="862">
        <v>98</v>
      </c>
      <c r="E48" s="872">
        <f>TaxCert!$C$19</f>
        <v>0</v>
      </c>
      <c r="G48" s="862" t="e">
        <f t="shared" si="4"/>
        <v>#N/A</v>
      </c>
      <c r="H48" s="862" t="str">
        <f t="shared" si="5"/>
        <v>098</v>
      </c>
      <c r="I48" s="862" t="str">
        <f t="shared" si="6"/>
        <v>0000000000000</v>
      </c>
      <c r="K48" s="862" t="e">
        <f t="shared" si="7"/>
        <v>#N/A</v>
      </c>
    </row>
    <row r="49" spans="1:11" x14ac:dyDescent="0.2">
      <c r="A49" s="862">
        <f>RIGHT(DoM!$B$6,2)-2</f>
        <v>16</v>
      </c>
      <c r="B49" s="862" t="e">
        <f>INDEX(SNAME[],MATCH(C49,SNAME[DIST],0),MATCH($B$1,SNAME[#Headers],0))</f>
        <v>#N/A</v>
      </c>
      <c r="C49" s="862" t="e">
        <f>TaxCert!$F$6</f>
        <v>#N/A</v>
      </c>
      <c r="D49" s="862">
        <v>104</v>
      </c>
      <c r="E49" s="872">
        <f>TaxCert!$C$22</f>
        <v>0</v>
      </c>
      <c r="G49" s="862" t="e">
        <f t="shared" si="4"/>
        <v>#N/A</v>
      </c>
      <c r="H49" s="862" t="str">
        <f t="shared" si="5"/>
        <v>104</v>
      </c>
      <c r="I49" s="862" t="str">
        <f t="shared" si="6"/>
        <v>0000000000000</v>
      </c>
      <c r="K49" s="862" t="e">
        <f t="shared" si="7"/>
        <v>#N/A</v>
      </c>
    </row>
    <row r="50" spans="1:11" x14ac:dyDescent="0.2">
      <c r="A50" s="862">
        <f>RIGHT(DoM!$B$6,2)-2</f>
        <v>16</v>
      </c>
      <c r="B50" s="862" t="e">
        <f>INDEX(SNAME[],MATCH(C50,SNAME[DIST],0),MATCH($B$1,SNAME[#Headers],0))</f>
        <v>#N/A</v>
      </c>
      <c r="C50" s="862" t="e">
        <f>TaxCert!$F$6</f>
        <v>#N/A</v>
      </c>
      <c r="D50" s="862">
        <v>120</v>
      </c>
      <c r="E50" s="870" t="e">
        <f>TaxCert!$C$29</f>
        <v>#N/A</v>
      </c>
      <c r="G50" s="862" t="e">
        <f t="shared" si="4"/>
        <v>#N/A</v>
      </c>
      <c r="H50" s="862" t="str">
        <f t="shared" si="5"/>
        <v>120</v>
      </c>
      <c r="I50" s="862" t="e">
        <f t="shared" si="6"/>
        <v>#N/A</v>
      </c>
      <c r="K50" s="862" t="e">
        <f t="shared" si="7"/>
        <v>#N/A</v>
      </c>
    </row>
    <row r="51" spans="1:11" x14ac:dyDescent="0.2">
      <c r="A51" s="862">
        <f>RIGHT(DoM!$B$6,2)-2</f>
        <v>16</v>
      </c>
      <c r="B51" s="862" t="e">
        <f>INDEX(SNAME[],MATCH(C51,SNAME[DIST],0),MATCH($B$1,SNAME[#Headers],0))</f>
        <v>#N/A</v>
      </c>
      <c r="C51" s="862" t="e">
        <f>TaxCert!$F$6</f>
        <v>#N/A</v>
      </c>
      <c r="D51" s="862">
        <v>122</v>
      </c>
      <c r="E51" s="870" t="e">
        <f>TaxCert!$C$30</f>
        <v>#N/A</v>
      </c>
      <c r="G51" s="862" t="e">
        <f t="shared" si="4"/>
        <v>#N/A</v>
      </c>
      <c r="H51" s="862" t="str">
        <f t="shared" si="5"/>
        <v>122</v>
      </c>
      <c r="I51" s="862" t="e">
        <f t="shared" si="6"/>
        <v>#N/A</v>
      </c>
      <c r="K51" s="862" t="e">
        <f t="shared" si="7"/>
        <v>#N/A</v>
      </c>
    </row>
    <row r="52" spans="1:11" x14ac:dyDescent="0.2">
      <c r="A52" s="862">
        <f>RIGHT(DoM!$B$6,2)-2</f>
        <v>16</v>
      </c>
      <c r="B52" s="862" t="e">
        <f>INDEX(SNAME[],MATCH(C52,SNAME[DIST],0),MATCH($B$1,SNAME[#Headers],0))</f>
        <v>#N/A</v>
      </c>
      <c r="C52" s="862" t="e">
        <f>TaxCert!$F$6</f>
        <v>#N/A</v>
      </c>
      <c r="D52" s="862">
        <v>125</v>
      </c>
      <c r="E52" s="870">
        <f>TaxCert!$C$31</f>
        <v>0</v>
      </c>
      <c r="G52" s="862" t="e">
        <f t="shared" si="4"/>
        <v>#N/A</v>
      </c>
      <c r="H52" s="862" t="str">
        <f t="shared" si="5"/>
        <v>125</v>
      </c>
      <c r="I52" s="862" t="str">
        <f t="shared" si="6"/>
        <v>0000000000000</v>
      </c>
      <c r="K52" s="862" t="e">
        <f t="shared" si="7"/>
        <v>#N/A</v>
      </c>
    </row>
    <row r="53" spans="1:11" x14ac:dyDescent="0.2">
      <c r="A53" s="862">
        <f>RIGHT(DoM!$B$6,2)-2</f>
        <v>16</v>
      </c>
      <c r="B53" s="862" t="e">
        <f>INDEX(SNAME[],MATCH(C53,SNAME[DIST],0),MATCH($B$1,SNAME[#Headers],0))</f>
        <v>#N/A</v>
      </c>
      <c r="C53" s="862" t="e">
        <f>TaxCert!$F$6</f>
        <v>#N/A</v>
      </c>
      <c r="D53" s="862">
        <v>126</v>
      </c>
      <c r="E53" s="870">
        <f>TaxCert!$C$32</f>
        <v>0</v>
      </c>
      <c r="G53" s="862" t="e">
        <f t="shared" si="4"/>
        <v>#N/A</v>
      </c>
      <c r="H53" s="862" t="str">
        <f t="shared" si="5"/>
        <v>126</v>
      </c>
      <c r="I53" s="862" t="str">
        <f t="shared" si="6"/>
        <v>0000000000000</v>
      </c>
      <c r="K53" s="862" t="e">
        <f t="shared" si="7"/>
        <v>#N/A</v>
      </c>
    </row>
    <row r="54" spans="1:11" x14ac:dyDescent="0.2">
      <c r="A54" s="862">
        <f>RIGHT(DoM!$B$6,2)-2</f>
        <v>16</v>
      </c>
      <c r="B54" s="862" t="e">
        <f>INDEX(SNAME[],MATCH(C54,SNAME[DIST],0),MATCH($B$1,SNAME[#Headers],0))</f>
        <v>#N/A</v>
      </c>
      <c r="C54" s="862" t="e">
        <f>TaxCert!$F$6</f>
        <v>#N/A</v>
      </c>
      <c r="D54" s="862">
        <v>127</v>
      </c>
      <c r="E54" s="870">
        <f>TaxCert!$C$33</f>
        <v>0</v>
      </c>
      <c r="G54" s="862" t="e">
        <f t="shared" si="4"/>
        <v>#N/A</v>
      </c>
      <c r="H54" s="862" t="str">
        <f t="shared" si="5"/>
        <v>127</v>
      </c>
      <c r="I54" s="862" t="str">
        <f t="shared" si="6"/>
        <v>0000000000000</v>
      </c>
      <c r="K54" s="862" t="e">
        <f t="shared" si="7"/>
        <v>#N/A</v>
      </c>
    </row>
    <row r="55" spans="1:11" x14ac:dyDescent="0.2">
      <c r="A55" s="862">
        <f>RIGHT(DoM!$B$6,2)-2</f>
        <v>16</v>
      </c>
      <c r="B55" s="862" t="e">
        <f>INDEX(SNAME[],MATCH(C55,SNAME[DIST],0),MATCH($B$1,SNAME[#Headers],0))</f>
        <v>#N/A</v>
      </c>
      <c r="C55" s="862" t="e">
        <f>TaxCert!$F$6</f>
        <v>#N/A</v>
      </c>
      <c r="D55" s="862">
        <v>131</v>
      </c>
      <c r="E55" s="870" t="e">
        <f>TaxCert!$C$34</f>
        <v>#N/A</v>
      </c>
      <c r="G55" s="862" t="e">
        <f t="shared" si="4"/>
        <v>#N/A</v>
      </c>
      <c r="H55" s="862" t="str">
        <f t="shared" si="5"/>
        <v>131</v>
      </c>
      <c r="I55" s="862" t="e">
        <f t="shared" si="6"/>
        <v>#N/A</v>
      </c>
      <c r="K55" s="862" t="e">
        <f t="shared" si="7"/>
        <v>#N/A</v>
      </c>
    </row>
    <row r="56" spans="1:11" x14ac:dyDescent="0.2">
      <c r="A56" s="862">
        <f>RIGHT(DoM!$B$6,2)-2</f>
        <v>16</v>
      </c>
      <c r="B56" s="862" t="e">
        <f>INDEX(SNAME[],MATCH(C56,SNAME[DIST],0),MATCH($B$1,SNAME[#Headers],0))</f>
        <v>#N/A</v>
      </c>
      <c r="C56" s="862" t="e">
        <f>TaxCert!$F$6</f>
        <v>#N/A</v>
      </c>
      <c r="D56" s="862">
        <v>121</v>
      </c>
      <c r="E56" s="870" t="e">
        <f>TaxCert!$C$35</f>
        <v>#N/A</v>
      </c>
      <c r="G56" s="862" t="e">
        <f t="shared" si="4"/>
        <v>#N/A</v>
      </c>
      <c r="H56" s="862" t="str">
        <f t="shared" si="5"/>
        <v>121</v>
      </c>
      <c r="I56" s="862" t="e">
        <f t="shared" si="6"/>
        <v>#N/A</v>
      </c>
      <c r="K56" s="862" t="e">
        <f t="shared" si="7"/>
        <v>#N/A</v>
      </c>
    </row>
    <row r="57" spans="1:11" x14ac:dyDescent="0.2">
      <c r="A57" s="862">
        <f>RIGHT(DoM!$B$6,2)-2</f>
        <v>16</v>
      </c>
      <c r="B57" s="862" t="e">
        <f>INDEX(SNAME[],MATCH(C57,SNAME[DIST],0),MATCH($B$1,SNAME[#Headers],0))</f>
        <v>#N/A</v>
      </c>
      <c r="C57" s="862" t="e">
        <f>TaxCert!$F$6</f>
        <v>#N/A</v>
      </c>
      <c r="D57" s="862">
        <v>128</v>
      </c>
      <c r="E57" s="870" t="e">
        <f>TaxCert!$C$36</f>
        <v>#N/A</v>
      </c>
      <c r="G57" s="862" t="e">
        <f t="shared" si="4"/>
        <v>#N/A</v>
      </c>
      <c r="H57" s="862" t="str">
        <f t="shared" si="5"/>
        <v>128</v>
      </c>
      <c r="I57" s="862" t="e">
        <f t="shared" si="6"/>
        <v>#N/A</v>
      </c>
      <c r="K57" s="862" t="e">
        <f t="shared" si="7"/>
        <v>#N/A</v>
      </c>
    </row>
    <row r="58" spans="1:11" x14ac:dyDescent="0.2">
      <c r="A58" s="862">
        <f>RIGHT(DoM!$B$6,2)-2</f>
        <v>16</v>
      </c>
      <c r="B58" s="862" t="e">
        <f>INDEX(SNAME[],MATCH(C58,SNAME[DIST],0),MATCH($B$1,SNAME[#Headers],0))</f>
        <v>#N/A</v>
      </c>
      <c r="C58" s="862" t="e">
        <f>TaxCert!$F$6</f>
        <v>#N/A</v>
      </c>
      <c r="D58" s="862">
        <v>129</v>
      </c>
      <c r="E58" s="870">
        <f>TaxCert!$C$38</f>
        <v>0</v>
      </c>
      <c r="G58" s="862" t="e">
        <f t="shared" si="4"/>
        <v>#N/A</v>
      </c>
      <c r="H58" s="862" t="str">
        <f t="shared" si="5"/>
        <v>129</v>
      </c>
      <c r="I58" s="862" t="str">
        <f t="shared" si="6"/>
        <v>0000000000000</v>
      </c>
      <c r="K58" s="862" t="e">
        <f t="shared" si="7"/>
        <v>#N/A</v>
      </c>
    </row>
    <row r="59" spans="1:11" x14ac:dyDescent="0.2">
      <c r="A59" s="862">
        <f>RIGHT(DoM!$B$6,2)-2</f>
        <v>16</v>
      </c>
      <c r="B59" s="862" t="e">
        <f>INDEX(SNAME[],MATCH(C59,SNAME[DIST],0),MATCH($B$1,SNAME[#Headers],0))</f>
        <v>#N/A</v>
      </c>
      <c r="C59" s="862" t="e">
        <f>TaxCert!$F$6</f>
        <v>#N/A</v>
      </c>
      <c r="D59" s="862">
        <v>130</v>
      </c>
      <c r="E59" s="870">
        <f>TaxCert!$C$39</f>
        <v>0</v>
      </c>
      <c r="G59" s="862" t="e">
        <f t="shared" si="4"/>
        <v>#N/A</v>
      </c>
      <c r="H59" s="862" t="str">
        <f t="shared" si="5"/>
        <v>130</v>
      </c>
      <c r="I59" s="862" t="str">
        <f t="shared" si="6"/>
        <v>0000000000000</v>
      </c>
      <c r="K59" s="862" t="e">
        <f t="shared" si="7"/>
        <v>#N/A</v>
      </c>
    </row>
    <row r="60" spans="1:11" x14ac:dyDescent="0.2">
      <c r="A60" s="862">
        <f>RIGHT(DoM!$B$6,2)-2</f>
        <v>16</v>
      </c>
      <c r="B60" s="862" t="e">
        <f>INDEX(SNAME[],MATCH(C60,SNAME[DIST],0),MATCH($B$1,SNAME[#Headers],0))</f>
        <v>#N/A</v>
      </c>
      <c r="C60" s="862" t="e">
        <f>TaxCert!$F$6</f>
        <v>#N/A</v>
      </c>
      <c r="D60" s="862">
        <v>132</v>
      </c>
      <c r="E60" s="870">
        <f>TaxCert!$C$40</f>
        <v>0</v>
      </c>
      <c r="G60" s="862" t="e">
        <f t="shared" si="4"/>
        <v>#N/A</v>
      </c>
      <c r="H60" s="862" t="str">
        <f t="shared" si="5"/>
        <v>132</v>
      </c>
      <c r="I60" s="862" t="str">
        <f t="shared" si="6"/>
        <v>0000000000000</v>
      </c>
      <c r="K60" s="862" t="e">
        <f t="shared" si="7"/>
        <v>#N/A</v>
      </c>
    </row>
    <row r="61" spans="1:11" x14ac:dyDescent="0.2">
      <c r="A61" s="862">
        <f>RIGHT(DoM!$B$6,2)-2</f>
        <v>16</v>
      </c>
      <c r="B61" s="862" t="e">
        <f>INDEX(SNAME[],MATCH(C61,SNAME[DIST],0),MATCH($B$1,SNAME[#Headers],0))</f>
        <v>#N/A</v>
      </c>
      <c r="C61" s="862" t="e">
        <f>TaxCert!$F$6</f>
        <v>#N/A</v>
      </c>
      <c r="D61" s="862">
        <v>133</v>
      </c>
      <c r="E61" s="870">
        <f>TaxCert!$C$41</f>
        <v>0</v>
      </c>
      <c r="G61" s="862" t="e">
        <f t="shared" si="4"/>
        <v>#N/A</v>
      </c>
      <c r="H61" s="862" t="str">
        <f t="shared" si="5"/>
        <v>133</v>
      </c>
      <c r="I61" s="862" t="str">
        <f t="shared" si="6"/>
        <v>0000000000000</v>
      </c>
      <c r="K61" s="862" t="e">
        <f t="shared" si="7"/>
        <v>#N/A</v>
      </c>
    </row>
    <row r="62" spans="1:11" x14ac:dyDescent="0.2">
      <c r="A62" s="862">
        <f>RIGHT(DoM!$B$6,2)-2</f>
        <v>16</v>
      </c>
      <c r="B62" s="862" t="e">
        <f>INDEX(SNAME[],MATCH(C62,SNAME[DIST],0),MATCH($B$1,SNAME[#Headers],0))</f>
        <v>#N/A</v>
      </c>
      <c r="C62" s="862" t="e">
        <f>TaxCert!$F$6</f>
        <v>#N/A</v>
      </c>
      <c r="D62" s="862">
        <v>134</v>
      </c>
      <c r="E62" s="870">
        <f>TaxCert!$C$42</f>
        <v>0</v>
      </c>
      <c r="G62" s="862" t="e">
        <f t="shared" si="4"/>
        <v>#N/A</v>
      </c>
      <c r="H62" s="862" t="str">
        <f t="shared" si="5"/>
        <v>134</v>
      </c>
      <c r="I62" s="862" t="str">
        <f t="shared" si="6"/>
        <v>0000000000000</v>
      </c>
      <c r="K62" s="862" t="e">
        <f t="shared" si="7"/>
        <v>#N/A</v>
      </c>
    </row>
    <row r="63" spans="1:11" x14ac:dyDescent="0.2">
      <c r="A63" s="862">
        <f>RIGHT(DoM!$B$6,2)-2</f>
        <v>16</v>
      </c>
      <c r="B63" s="862" t="e">
        <f>INDEX(SNAME[],MATCH(C63,SNAME[DIST],0),MATCH($B$1,SNAME[#Headers],0))</f>
        <v>#N/A</v>
      </c>
      <c r="C63" s="862" t="e">
        <f>TaxCert!$F$6</f>
        <v>#N/A</v>
      </c>
      <c r="D63" s="862">
        <v>135</v>
      </c>
      <c r="E63" s="870">
        <f>TaxCert!$C$43</f>
        <v>0</v>
      </c>
      <c r="G63" s="862" t="e">
        <f t="shared" si="4"/>
        <v>#N/A</v>
      </c>
      <c r="H63" s="862" t="str">
        <f t="shared" si="5"/>
        <v>135</v>
      </c>
      <c r="I63" s="862" t="str">
        <f t="shared" si="6"/>
        <v>0000000000000</v>
      </c>
      <c r="K63" s="862" t="e">
        <f t="shared" si="7"/>
        <v>#N/A</v>
      </c>
    </row>
    <row r="64" spans="1:11" x14ac:dyDescent="0.2">
      <c r="A64" s="862">
        <f>RIGHT(DoM!$B$6,2)-2</f>
        <v>16</v>
      </c>
      <c r="B64" s="862" t="e">
        <f>INDEX(SNAME[],MATCH(C64,SNAME[DIST],0),MATCH($B$1,SNAME[#Headers],0))</f>
        <v>#N/A</v>
      </c>
      <c r="C64" s="862" t="e">
        <f>TaxCert!$F$6</f>
        <v>#N/A</v>
      </c>
      <c r="D64" s="862">
        <v>136</v>
      </c>
      <c r="E64" s="870">
        <f>TaxCert!$C$44</f>
        <v>0</v>
      </c>
      <c r="G64" s="862" t="e">
        <f t="shared" si="4"/>
        <v>#N/A</v>
      </c>
      <c r="H64" s="862" t="str">
        <f t="shared" si="5"/>
        <v>136</v>
      </c>
      <c r="I64" s="862" t="str">
        <f t="shared" si="6"/>
        <v>0000000000000</v>
      </c>
      <c r="K64" s="862" t="e">
        <f t="shared" si="7"/>
        <v>#N/A</v>
      </c>
    </row>
    <row r="65" spans="1:11" x14ac:dyDescent="0.2">
      <c r="A65" s="862">
        <f>RIGHT(DoM!$B$6,2)-2</f>
        <v>16</v>
      </c>
      <c r="B65" s="862" t="e">
        <f>INDEX(SNAME[],MATCH(C65,SNAME[DIST],0),MATCH($B$1,SNAME[#Headers],0))</f>
        <v>#N/A</v>
      </c>
      <c r="C65" s="862" t="e">
        <f>TaxCert!$F$6</f>
        <v>#N/A</v>
      </c>
      <c r="D65" s="862">
        <v>139</v>
      </c>
      <c r="E65" s="862">
        <f>TaxCert!$C$45</f>
        <v>0</v>
      </c>
      <c r="G65" s="862" t="e">
        <f t="shared" si="4"/>
        <v>#N/A</v>
      </c>
      <c r="H65" s="862" t="str">
        <f t="shared" si="5"/>
        <v>139</v>
      </c>
      <c r="I65" s="862" t="str">
        <f t="shared" si="6"/>
        <v>0000000000000</v>
      </c>
      <c r="K65" s="862" t="e">
        <f t="shared" si="7"/>
        <v>#N/A</v>
      </c>
    </row>
    <row r="66" spans="1:11" x14ac:dyDescent="0.2">
      <c r="A66" s="862">
        <f>RIGHT(DoM!$B$6,2)-2</f>
        <v>16</v>
      </c>
      <c r="B66" s="862" t="e">
        <f>INDEX(SNAME[],MATCH(C66,SNAME[DIST],0),MATCH($B$1,SNAME[#Headers],0))</f>
        <v>#N/A</v>
      </c>
      <c r="C66" s="862" t="e">
        <f>TaxCert!$F$6</f>
        <v>#N/A</v>
      </c>
      <c r="D66" s="862">
        <v>137</v>
      </c>
      <c r="E66" s="870">
        <f>TaxCert!$C$46</f>
        <v>0</v>
      </c>
      <c r="G66" s="862" t="e">
        <f t="shared" ref="G66:G97" si="8">TEXT(C66,"0000")</f>
        <v>#N/A</v>
      </c>
      <c r="H66" s="862" t="str">
        <f t="shared" ref="H66:H97" si="9">TEXT(D66,"000")</f>
        <v>137</v>
      </c>
      <c r="I66" s="862" t="str">
        <f t="shared" si="6"/>
        <v>0000000000000</v>
      </c>
      <c r="K66" s="862" t="e">
        <f t="shared" ref="K66:K97" si="10">CONCATENATE(A66,B66,G66,H66,I66,"+0000000000000000"," ","0000000000000000"," ","0000000000000000"," ","0000000000000000")</f>
        <v>#N/A</v>
      </c>
    </row>
    <row r="67" spans="1:11" x14ac:dyDescent="0.2">
      <c r="A67" s="862">
        <f>RIGHT(DoM!$B$6,2)-2</f>
        <v>16</v>
      </c>
      <c r="B67" s="862" t="e">
        <f>INDEX(SNAME[],MATCH(C67,SNAME[DIST],0),MATCH($B$1,SNAME[#Headers],0))</f>
        <v>#N/A</v>
      </c>
      <c r="C67" s="862" t="e">
        <f>TaxCert!$F$6</f>
        <v>#N/A</v>
      </c>
      <c r="D67" s="862">
        <v>138</v>
      </c>
      <c r="E67" s="870">
        <f>TaxCert!$C$47</f>
        <v>0</v>
      </c>
      <c r="G67" s="862" t="e">
        <f t="shared" si="8"/>
        <v>#N/A</v>
      </c>
      <c r="H67" s="862" t="str">
        <f t="shared" si="9"/>
        <v>138</v>
      </c>
      <c r="I67" s="862" t="str">
        <f t="shared" si="6"/>
        <v>0000000000000</v>
      </c>
      <c r="K67" s="862" t="e">
        <f t="shared" si="10"/>
        <v>#N/A</v>
      </c>
    </row>
    <row r="68" spans="1:11" x14ac:dyDescent="0.2">
      <c r="A68" s="862">
        <f>RIGHT(DoM!$B$6,2)-2</f>
        <v>16</v>
      </c>
      <c r="B68" s="862" t="e">
        <f>INDEX(SNAME[],MATCH(C68,SNAME[DIST],0),MATCH($B$1,SNAME[#Headers],0))</f>
        <v>#N/A</v>
      </c>
      <c r="C68" s="862" t="e">
        <f>TaxCert!$F$6</f>
        <v>#N/A</v>
      </c>
      <c r="D68" s="862">
        <v>140</v>
      </c>
      <c r="E68" s="870">
        <f>TaxCert!$C$48</f>
        <v>0</v>
      </c>
      <c r="G68" s="862" t="e">
        <f t="shared" si="8"/>
        <v>#N/A</v>
      </c>
      <c r="H68" s="862" t="str">
        <f t="shared" si="9"/>
        <v>140</v>
      </c>
      <c r="I68" s="862" t="str">
        <f t="shared" si="6"/>
        <v>0000000000000</v>
      </c>
      <c r="K68" s="862" t="e">
        <f t="shared" si="10"/>
        <v>#N/A</v>
      </c>
    </row>
    <row r="69" spans="1:11" x14ac:dyDescent="0.2">
      <c r="A69" s="862">
        <f>RIGHT(DoM!$B$6,2)-2</f>
        <v>16</v>
      </c>
      <c r="B69" s="862" t="e">
        <f>INDEX(SNAME[],MATCH(C69,SNAME[DIST],0),MATCH($B$1,SNAME[#Headers],0))</f>
        <v>#N/A</v>
      </c>
      <c r="C69" s="862" t="e">
        <f>TaxCert!$F$6</f>
        <v>#N/A</v>
      </c>
      <c r="D69" s="862">
        <v>141</v>
      </c>
      <c r="E69" s="870">
        <f>TaxCert!$C$49</f>
        <v>0</v>
      </c>
      <c r="G69" s="862" t="e">
        <f t="shared" si="8"/>
        <v>#N/A</v>
      </c>
      <c r="H69" s="862" t="str">
        <f t="shared" si="9"/>
        <v>141</v>
      </c>
      <c r="I69" s="862" t="str">
        <f t="shared" si="6"/>
        <v>0000000000000</v>
      </c>
      <c r="K69" s="862" t="e">
        <f t="shared" si="10"/>
        <v>#N/A</v>
      </c>
    </row>
    <row r="70" spans="1:11" x14ac:dyDescent="0.2">
      <c r="A70" s="862">
        <f>RIGHT(DoM!$B$6,2)-2</f>
        <v>16</v>
      </c>
      <c r="B70" s="862" t="e">
        <f>INDEX(SNAME[],MATCH(C70,SNAME[DIST],0),MATCH($B$1,SNAME[#Headers],0))</f>
        <v>#N/A</v>
      </c>
      <c r="C70" s="862" t="e">
        <f>TaxCert!$F$6</f>
        <v>#N/A</v>
      </c>
      <c r="D70" s="862">
        <v>143</v>
      </c>
      <c r="E70" s="870" t="e">
        <f>TaxCert!$C$50</f>
        <v>#N/A</v>
      </c>
      <c r="G70" s="862" t="e">
        <f t="shared" si="8"/>
        <v>#N/A</v>
      </c>
      <c r="H70" s="862" t="str">
        <f t="shared" si="9"/>
        <v>143</v>
      </c>
      <c r="I70" s="862" t="e">
        <f t="shared" si="6"/>
        <v>#N/A</v>
      </c>
      <c r="K70" s="862" t="e">
        <f t="shared" si="10"/>
        <v>#N/A</v>
      </c>
    </row>
    <row r="71" spans="1:11" x14ac:dyDescent="0.2">
      <c r="A71" s="862">
        <f>RIGHT(DoM!$B$6,2)-2</f>
        <v>16</v>
      </c>
      <c r="B71" s="862" t="e">
        <f>INDEX(SNAME[],MATCH(C71,SNAME[DIST],0),MATCH($B$1,SNAME[#Headers],0))</f>
        <v>#N/A</v>
      </c>
      <c r="C71" s="862" t="e">
        <f>TaxCert!$F$6</f>
        <v>#N/A</v>
      </c>
      <c r="D71" s="862">
        <v>158</v>
      </c>
      <c r="E71" s="862">
        <f>TaxCert!$D$34</f>
        <v>0</v>
      </c>
      <c r="G71" s="862" t="e">
        <f t="shared" si="8"/>
        <v>#N/A</v>
      </c>
      <c r="H71" s="862" t="str">
        <f t="shared" si="9"/>
        <v>158</v>
      </c>
      <c r="I71" s="862" t="str">
        <f t="shared" ref="I71:I83" si="11">TEXT(E71*100000000,"0000000000000")</f>
        <v>0000000000000</v>
      </c>
      <c r="K71" s="862" t="e">
        <f t="shared" si="10"/>
        <v>#N/A</v>
      </c>
    </row>
    <row r="72" spans="1:11" x14ac:dyDescent="0.2">
      <c r="A72" s="862">
        <f>RIGHT(DoM!$B$6,2)-2</f>
        <v>16</v>
      </c>
      <c r="B72" s="862" t="e">
        <f>INDEX(SNAME[],MATCH(C72,SNAME[DIST],0),MATCH($B$1,SNAME[#Headers],0))</f>
        <v>#N/A</v>
      </c>
      <c r="C72" s="862" t="e">
        <f>TaxCert!$F$6</f>
        <v>#N/A</v>
      </c>
      <c r="D72" s="862">
        <v>159</v>
      </c>
      <c r="E72" s="862">
        <f>TaxCert!$D$35</f>
        <v>0</v>
      </c>
      <c r="G72" s="862" t="e">
        <f t="shared" si="8"/>
        <v>#N/A</v>
      </c>
      <c r="H72" s="862" t="str">
        <f t="shared" si="9"/>
        <v>159</v>
      </c>
      <c r="I72" s="862" t="str">
        <f t="shared" si="11"/>
        <v>0000000000000</v>
      </c>
      <c r="K72" s="862" t="e">
        <f t="shared" si="10"/>
        <v>#N/A</v>
      </c>
    </row>
    <row r="73" spans="1:11" x14ac:dyDescent="0.2">
      <c r="A73" s="862">
        <f>RIGHT(DoM!$B$6,2)-2</f>
        <v>16</v>
      </c>
      <c r="B73" s="862" t="e">
        <f>INDEX(SNAME[],MATCH(C73,SNAME[DIST],0),MATCH($B$1,SNAME[#Headers],0))</f>
        <v>#N/A</v>
      </c>
      <c r="C73" s="862" t="e">
        <f>TaxCert!$F$6</f>
        <v>#N/A</v>
      </c>
      <c r="D73" s="862">
        <v>145</v>
      </c>
      <c r="E73" s="862">
        <f>TaxCert!$D$36</f>
        <v>0</v>
      </c>
      <c r="G73" s="862" t="e">
        <f t="shared" si="8"/>
        <v>#N/A</v>
      </c>
      <c r="H73" s="862" t="str">
        <f t="shared" si="9"/>
        <v>145</v>
      </c>
      <c r="I73" s="862" t="str">
        <f t="shared" si="11"/>
        <v>0000000000000</v>
      </c>
      <c r="K73" s="862" t="e">
        <f t="shared" si="10"/>
        <v>#N/A</v>
      </c>
    </row>
    <row r="74" spans="1:11" x14ac:dyDescent="0.2">
      <c r="A74" s="862">
        <f>RIGHT(DoM!$B$6,2)-2</f>
        <v>16</v>
      </c>
      <c r="B74" s="862" t="e">
        <f>INDEX(SNAME[],MATCH(C74,SNAME[DIST],0),MATCH($B$1,SNAME[#Headers],0))</f>
        <v>#N/A</v>
      </c>
      <c r="C74" s="862" t="e">
        <f>TaxCert!$F$6</f>
        <v>#N/A</v>
      </c>
      <c r="D74" s="862">
        <v>146</v>
      </c>
      <c r="E74" s="862">
        <f>TaxCert!$D$38</f>
        <v>0</v>
      </c>
      <c r="G74" s="862" t="e">
        <f t="shared" si="8"/>
        <v>#N/A</v>
      </c>
      <c r="H74" s="862" t="str">
        <f t="shared" si="9"/>
        <v>146</v>
      </c>
      <c r="I74" s="862" t="str">
        <f t="shared" si="11"/>
        <v>0000000000000</v>
      </c>
      <c r="K74" s="862" t="e">
        <f t="shared" si="10"/>
        <v>#N/A</v>
      </c>
    </row>
    <row r="75" spans="1:11" x14ac:dyDescent="0.2">
      <c r="A75" s="862">
        <f>RIGHT(DoM!$B$6,2)-2</f>
        <v>16</v>
      </c>
      <c r="B75" s="862" t="e">
        <f>INDEX(SNAME[],MATCH(C75,SNAME[DIST],0),MATCH($B$1,SNAME[#Headers],0))</f>
        <v>#N/A</v>
      </c>
      <c r="C75" s="862" t="e">
        <f>TaxCert!$F$6</f>
        <v>#N/A</v>
      </c>
      <c r="D75" s="862">
        <v>147</v>
      </c>
      <c r="E75" s="862">
        <f>TaxCert!$D$39</f>
        <v>0</v>
      </c>
      <c r="G75" s="862" t="e">
        <f t="shared" si="8"/>
        <v>#N/A</v>
      </c>
      <c r="H75" s="862" t="str">
        <f t="shared" si="9"/>
        <v>147</v>
      </c>
      <c r="I75" s="862" t="str">
        <f t="shared" si="11"/>
        <v>0000000000000</v>
      </c>
      <c r="K75" s="862" t="e">
        <f t="shared" si="10"/>
        <v>#N/A</v>
      </c>
    </row>
    <row r="76" spans="1:11" x14ac:dyDescent="0.2">
      <c r="A76" s="862">
        <f>RIGHT(DoM!$B$6,2)-2</f>
        <v>16</v>
      </c>
      <c r="B76" s="862" t="e">
        <f>INDEX(SNAME[],MATCH(C76,SNAME[DIST],0),MATCH($B$1,SNAME[#Headers],0))</f>
        <v>#N/A</v>
      </c>
      <c r="C76" s="862" t="e">
        <f>TaxCert!$F$6</f>
        <v>#N/A</v>
      </c>
      <c r="D76" s="862">
        <v>149</v>
      </c>
      <c r="E76" s="871">
        <f>ROUND(TaxCert!$D$42,5)</f>
        <v>0</v>
      </c>
      <c r="G76" s="862" t="e">
        <f t="shared" si="8"/>
        <v>#N/A</v>
      </c>
      <c r="H76" s="862" t="str">
        <f t="shared" si="9"/>
        <v>149</v>
      </c>
      <c r="I76" s="862" t="str">
        <f t="shared" si="11"/>
        <v>0000000000000</v>
      </c>
      <c r="K76" s="862" t="e">
        <f t="shared" si="10"/>
        <v>#N/A</v>
      </c>
    </row>
    <row r="77" spans="1:11" x14ac:dyDescent="0.2">
      <c r="A77" s="862">
        <f>RIGHT(DoM!$B$6,2)-2</f>
        <v>16</v>
      </c>
      <c r="B77" s="862" t="e">
        <f>INDEX(SNAME[],MATCH(C77,SNAME[DIST],0),MATCH($B$1,SNAME[#Headers],0))</f>
        <v>#N/A</v>
      </c>
      <c r="C77" s="862" t="e">
        <f>TaxCert!$F$6</f>
        <v>#N/A</v>
      </c>
      <c r="D77" s="862">
        <v>150</v>
      </c>
      <c r="E77" s="871">
        <f>ROUND(TaxCert!$D$43,5)</f>
        <v>0</v>
      </c>
      <c r="G77" s="862" t="e">
        <f t="shared" si="8"/>
        <v>#N/A</v>
      </c>
      <c r="H77" s="862" t="str">
        <f t="shared" si="9"/>
        <v>150</v>
      </c>
      <c r="I77" s="862" t="str">
        <f t="shared" si="11"/>
        <v>0000000000000</v>
      </c>
      <c r="K77" s="862" t="e">
        <f t="shared" si="10"/>
        <v>#N/A</v>
      </c>
    </row>
    <row r="78" spans="1:11" x14ac:dyDescent="0.2">
      <c r="A78" s="862">
        <f>RIGHT(DoM!$B$6,2)-2</f>
        <v>16</v>
      </c>
      <c r="B78" s="862" t="e">
        <f>INDEX(SNAME[],MATCH(C78,SNAME[DIST],0),MATCH($B$1,SNAME[#Headers],0))</f>
        <v>#N/A</v>
      </c>
      <c r="C78" s="862" t="e">
        <f>TaxCert!$F$6</f>
        <v>#N/A</v>
      </c>
      <c r="D78" s="862">
        <v>154</v>
      </c>
      <c r="E78" s="862">
        <f>ROUND(TaxCert!$D$45,5)</f>
        <v>0</v>
      </c>
      <c r="G78" s="862" t="e">
        <f t="shared" si="8"/>
        <v>#N/A</v>
      </c>
      <c r="H78" s="862" t="str">
        <f t="shared" si="9"/>
        <v>154</v>
      </c>
      <c r="I78" s="862" t="str">
        <f t="shared" si="11"/>
        <v>0000000000000</v>
      </c>
      <c r="K78" s="862" t="e">
        <f t="shared" si="10"/>
        <v>#N/A</v>
      </c>
    </row>
    <row r="79" spans="1:11" x14ac:dyDescent="0.2">
      <c r="A79" s="862">
        <f>RIGHT(DoM!$B$6,2)-2</f>
        <v>16</v>
      </c>
      <c r="B79" s="862" t="e">
        <f>INDEX(SNAME[],MATCH(C79,SNAME[DIST],0),MATCH($B$1,SNAME[#Headers],0))</f>
        <v>#N/A</v>
      </c>
      <c r="C79" s="862" t="e">
        <f>TaxCert!$F$6</f>
        <v>#N/A</v>
      </c>
      <c r="D79" s="862">
        <v>148</v>
      </c>
      <c r="E79" s="862">
        <f>TaxCert!$D$46</f>
        <v>0</v>
      </c>
      <c r="G79" s="862" t="e">
        <f t="shared" si="8"/>
        <v>#N/A</v>
      </c>
      <c r="H79" s="862" t="str">
        <f t="shared" si="9"/>
        <v>148</v>
      </c>
      <c r="I79" s="862" t="str">
        <f t="shared" si="11"/>
        <v>0000000000000</v>
      </c>
      <c r="K79" s="862" t="e">
        <f t="shared" si="10"/>
        <v>#N/A</v>
      </c>
    </row>
    <row r="80" spans="1:11" x14ac:dyDescent="0.2">
      <c r="A80" s="862">
        <f>RIGHT(DoM!$B$6,2)-2</f>
        <v>16</v>
      </c>
      <c r="B80" s="862" t="e">
        <f>INDEX(SNAME[],MATCH(C80,SNAME[DIST],0),MATCH($B$1,SNAME[#Headers],0))</f>
        <v>#N/A</v>
      </c>
      <c r="C80" s="862" t="e">
        <f>TaxCert!$F$6</f>
        <v>#N/A</v>
      </c>
      <c r="D80" s="862">
        <v>151</v>
      </c>
      <c r="E80" s="871" t="str">
        <f>TaxCert!$D$47</f>
        <v>.00000</v>
      </c>
      <c r="G80" s="862" t="e">
        <f t="shared" si="8"/>
        <v>#N/A</v>
      </c>
      <c r="H80" s="862" t="str">
        <f t="shared" si="9"/>
        <v>151</v>
      </c>
      <c r="I80" s="862" t="str">
        <f t="shared" si="11"/>
        <v>0000000000000</v>
      </c>
      <c r="K80" s="862" t="e">
        <f t="shared" si="10"/>
        <v>#N/A</v>
      </c>
    </row>
    <row r="81" spans="1:11" x14ac:dyDescent="0.2">
      <c r="A81" s="862">
        <f>RIGHT(DoM!$B$6,2)-2</f>
        <v>16</v>
      </c>
      <c r="B81" s="862" t="e">
        <f>INDEX(SNAME[],MATCH(C81,SNAME[DIST],0),MATCH($B$1,SNAME[#Headers],0))</f>
        <v>#N/A</v>
      </c>
      <c r="C81" s="862" t="e">
        <f>TaxCert!$F$6</f>
        <v>#N/A</v>
      </c>
      <c r="D81" s="862">
        <v>152</v>
      </c>
      <c r="E81" s="871" t="str">
        <f>TaxCert!$D$48</f>
        <v>.00000</v>
      </c>
      <c r="G81" s="862" t="e">
        <f t="shared" si="8"/>
        <v>#N/A</v>
      </c>
      <c r="H81" s="862" t="str">
        <f t="shared" si="9"/>
        <v>152</v>
      </c>
      <c r="I81" s="862" t="str">
        <f t="shared" si="11"/>
        <v>0000000000000</v>
      </c>
      <c r="K81" s="862" t="e">
        <f t="shared" si="10"/>
        <v>#N/A</v>
      </c>
    </row>
    <row r="82" spans="1:11" x14ac:dyDescent="0.2">
      <c r="A82" s="862">
        <f>RIGHT(DoM!$B$6,2)-2</f>
        <v>16</v>
      </c>
      <c r="B82" s="862" t="e">
        <f>INDEX(SNAME[],MATCH(C82,SNAME[DIST],0),MATCH($B$1,SNAME[#Headers],0))</f>
        <v>#N/A</v>
      </c>
      <c r="C82" s="862" t="e">
        <f>TaxCert!$F$6</f>
        <v>#N/A</v>
      </c>
      <c r="D82" s="862">
        <v>153</v>
      </c>
      <c r="E82" s="862">
        <f>TaxCert!$D$49</f>
        <v>0</v>
      </c>
      <c r="G82" s="862" t="e">
        <f t="shared" si="8"/>
        <v>#N/A</v>
      </c>
      <c r="H82" s="862" t="str">
        <f t="shared" si="9"/>
        <v>153</v>
      </c>
      <c r="I82" s="862" t="str">
        <f t="shared" si="11"/>
        <v>0000000000000</v>
      </c>
      <c r="K82" s="862" t="e">
        <f t="shared" si="10"/>
        <v>#N/A</v>
      </c>
    </row>
    <row r="83" spans="1:11" x14ac:dyDescent="0.2">
      <c r="A83" s="862">
        <f>RIGHT(DoM!$B$6,2)-2</f>
        <v>16</v>
      </c>
      <c r="B83" s="862" t="e">
        <f>INDEX(SNAME[],MATCH(C83,SNAME[DIST],0),MATCH($B$1,SNAME[#Headers],0))</f>
        <v>#N/A</v>
      </c>
      <c r="C83" s="862" t="e">
        <f>TaxCert!$F$6</f>
        <v>#N/A</v>
      </c>
      <c r="D83" s="862">
        <v>155</v>
      </c>
      <c r="E83" s="862">
        <f>ROUND(TaxCert!$D$50,5)</f>
        <v>0</v>
      </c>
      <c r="G83" s="862" t="e">
        <f t="shared" si="8"/>
        <v>#N/A</v>
      </c>
      <c r="H83" s="862" t="str">
        <f t="shared" si="9"/>
        <v>155</v>
      </c>
      <c r="I83" s="862" t="str">
        <f t="shared" si="11"/>
        <v>0000000000000</v>
      </c>
      <c r="K83" s="862" t="e">
        <f t="shared" si="10"/>
        <v>#N/A</v>
      </c>
    </row>
    <row r="84" spans="1:11" x14ac:dyDescent="0.2">
      <c r="A84" s="862">
        <f>RIGHT(DoM!$B$6,2)-2</f>
        <v>16</v>
      </c>
      <c r="B84" s="862" t="e">
        <f>INDEX(SNAME[],MATCH(C84,SNAME[DIST],0),MATCH($B$1,SNAME[#Headers],0))</f>
        <v>#N/A</v>
      </c>
      <c r="C84" s="862" t="e">
        <f>TaxCert!$F$6</f>
        <v>#N/A</v>
      </c>
      <c r="D84" s="862">
        <v>467</v>
      </c>
      <c r="E84" s="870" t="e">
        <f>TaxCert!$E$34</f>
        <v>#N/A</v>
      </c>
      <c r="G84" s="862" t="e">
        <f t="shared" si="8"/>
        <v>#N/A</v>
      </c>
      <c r="H84" s="862" t="str">
        <f t="shared" si="9"/>
        <v>467</v>
      </c>
      <c r="I84" s="862" t="e">
        <f t="shared" ref="I84:I118" si="12">TEXT(E84*1000,"0000000000000")</f>
        <v>#N/A</v>
      </c>
      <c r="K84" s="862" t="e">
        <f t="shared" si="10"/>
        <v>#N/A</v>
      </c>
    </row>
    <row r="85" spans="1:11" x14ac:dyDescent="0.2">
      <c r="A85" s="862">
        <f>RIGHT(DoM!$B$6,2)-2</f>
        <v>16</v>
      </c>
      <c r="B85" s="862" t="e">
        <f>INDEX(SNAME[],MATCH(C85,SNAME[DIST],0),MATCH($B$1,SNAME[#Headers],0))</f>
        <v>#N/A</v>
      </c>
      <c r="C85" s="862" t="e">
        <f>TaxCert!$F$6</f>
        <v>#N/A</v>
      </c>
      <c r="D85" s="862">
        <v>468</v>
      </c>
      <c r="E85" s="870" t="e">
        <f>TaxCert!$E$35</f>
        <v>#N/A</v>
      </c>
      <c r="G85" s="862" t="e">
        <f t="shared" si="8"/>
        <v>#N/A</v>
      </c>
      <c r="H85" s="862" t="str">
        <f t="shared" si="9"/>
        <v>468</v>
      </c>
      <c r="I85" s="862" t="e">
        <f t="shared" si="12"/>
        <v>#N/A</v>
      </c>
      <c r="K85" s="862" t="e">
        <f t="shared" si="10"/>
        <v>#N/A</v>
      </c>
    </row>
    <row r="86" spans="1:11" x14ac:dyDescent="0.2">
      <c r="A86" s="862">
        <f>RIGHT(DoM!$B$6,2)-2</f>
        <v>16</v>
      </c>
      <c r="B86" s="862" t="e">
        <f>INDEX(SNAME[],MATCH(C86,SNAME[DIST],0),MATCH($B$1,SNAME[#Headers],0))</f>
        <v>#N/A</v>
      </c>
      <c r="C86" s="862" t="e">
        <f>TaxCert!$F$6</f>
        <v>#N/A</v>
      </c>
      <c r="D86" s="862">
        <v>455</v>
      </c>
      <c r="E86" s="870" t="e">
        <f>TaxCert!$E$36</f>
        <v>#N/A</v>
      </c>
      <c r="G86" s="862" t="e">
        <f t="shared" si="8"/>
        <v>#N/A</v>
      </c>
      <c r="H86" s="862" t="str">
        <f t="shared" si="9"/>
        <v>455</v>
      </c>
      <c r="I86" s="862" t="e">
        <f t="shared" si="12"/>
        <v>#N/A</v>
      </c>
      <c r="K86" s="862" t="e">
        <f t="shared" si="10"/>
        <v>#N/A</v>
      </c>
    </row>
    <row r="87" spans="1:11" x14ac:dyDescent="0.2">
      <c r="A87" s="862">
        <f>RIGHT(DoM!$B$6,2)-2</f>
        <v>16</v>
      </c>
      <c r="B87" s="862" t="e">
        <f>INDEX(SNAME[],MATCH(C87,SNAME[DIST],0),MATCH($B$1,SNAME[#Headers],0))</f>
        <v>#N/A</v>
      </c>
      <c r="C87" s="862" t="e">
        <f>TaxCert!$F$6</f>
        <v>#N/A</v>
      </c>
      <c r="D87" s="862">
        <v>456</v>
      </c>
      <c r="E87" s="870">
        <f>TaxCert!$E$38</f>
        <v>0</v>
      </c>
      <c r="G87" s="862" t="e">
        <f t="shared" si="8"/>
        <v>#N/A</v>
      </c>
      <c r="H87" s="862" t="str">
        <f t="shared" si="9"/>
        <v>456</v>
      </c>
      <c r="I87" s="862" t="str">
        <f t="shared" si="12"/>
        <v>0000000000000</v>
      </c>
      <c r="K87" s="862" t="e">
        <f t="shared" si="10"/>
        <v>#N/A</v>
      </c>
    </row>
    <row r="88" spans="1:11" x14ac:dyDescent="0.2">
      <c r="A88" s="862">
        <f>RIGHT(DoM!$B$6,2)-2</f>
        <v>16</v>
      </c>
      <c r="B88" s="862" t="e">
        <f>INDEX(SNAME[],MATCH(C88,SNAME[DIST],0),MATCH($B$1,SNAME[#Headers],0))</f>
        <v>#N/A</v>
      </c>
      <c r="C88" s="862" t="e">
        <f>TaxCert!$F$6</f>
        <v>#N/A</v>
      </c>
      <c r="D88" s="862">
        <v>457</v>
      </c>
      <c r="E88" s="870">
        <f>TaxCert!$E$39</f>
        <v>0</v>
      </c>
      <c r="G88" s="862" t="e">
        <f t="shared" si="8"/>
        <v>#N/A</v>
      </c>
      <c r="H88" s="862" t="str">
        <f t="shared" si="9"/>
        <v>457</v>
      </c>
      <c r="I88" s="862" t="str">
        <f t="shared" si="12"/>
        <v>0000000000000</v>
      </c>
      <c r="K88" s="862" t="e">
        <f t="shared" si="10"/>
        <v>#N/A</v>
      </c>
    </row>
    <row r="89" spans="1:11" x14ac:dyDescent="0.2">
      <c r="A89" s="862">
        <f>RIGHT(DoM!$B$6,2)-2</f>
        <v>16</v>
      </c>
      <c r="B89" s="862" t="e">
        <f>INDEX(SNAME[],MATCH(C89,SNAME[DIST],0),MATCH($B$1,SNAME[#Headers],0))</f>
        <v>#N/A</v>
      </c>
      <c r="C89" s="862" t="e">
        <f>TaxCert!$F$6</f>
        <v>#N/A</v>
      </c>
      <c r="D89" s="862">
        <v>459</v>
      </c>
      <c r="E89" s="870">
        <f>TaxCert!$E$42</f>
        <v>0</v>
      </c>
      <c r="G89" s="862" t="e">
        <f t="shared" si="8"/>
        <v>#N/A</v>
      </c>
      <c r="H89" s="862" t="str">
        <f t="shared" si="9"/>
        <v>459</v>
      </c>
      <c r="I89" s="862" t="str">
        <f t="shared" si="12"/>
        <v>0000000000000</v>
      </c>
      <c r="K89" s="862" t="e">
        <f t="shared" si="10"/>
        <v>#N/A</v>
      </c>
    </row>
    <row r="90" spans="1:11" x14ac:dyDescent="0.2">
      <c r="A90" s="862">
        <f>RIGHT(DoM!$B$6,2)-2</f>
        <v>16</v>
      </c>
      <c r="B90" s="862" t="e">
        <f>INDEX(SNAME[],MATCH(C90,SNAME[DIST],0),MATCH($B$1,SNAME[#Headers],0))</f>
        <v>#N/A</v>
      </c>
      <c r="C90" s="862" t="e">
        <f>TaxCert!$F$6</f>
        <v>#N/A</v>
      </c>
      <c r="D90" s="862">
        <v>460</v>
      </c>
      <c r="E90" s="870">
        <f>TaxCert!$E$43</f>
        <v>0</v>
      </c>
      <c r="G90" s="862" t="e">
        <f t="shared" si="8"/>
        <v>#N/A</v>
      </c>
      <c r="H90" s="862" t="str">
        <f t="shared" si="9"/>
        <v>460</v>
      </c>
      <c r="I90" s="862" t="str">
        <f t="shared" si="12"/>
        <v>0000000000000</v>
      </c>
      <c r="K90" s="862" t="e">
        <f t="shared" si="10"/>
        <v>#N/A</v>
      </c>
    </row>
    <row r="91" spans="1:11" x14ac:dyDescent="0.2">
      <c r="A91" s="862">
        <f>RIGHT(DoM!$B$6,2)-2</f>
        <v>16</v>
      </c>
      <c r="B91" s="862" t="e">
        <f>INDEX(SNAME[],MATCH(C91,SNAME[DIST],0),MATCH($B$1,SNAME[#Headers],0))</f>
        <v>#N/A</v>
      </c>
      <c r="C91" s="862" t="e">
        <f>TaxCert!$F$6</f>
        <v>#N/A</v>
      </c>
      <c r="D91" s="862">
        <v>466</v>
      </c>
      <c r="E91" s="862">
        <f>TaxCert!$E$45</f>
        <v>0</v>
      </c>
      <c r="G91" s="862" t="e">
        <f t="shared" si="8"/>
        <v>#N/A</v>
      </c>
      <c r="H91" s="862" t="str">
        <f t="shared" si="9"/>
        <v>466</v>
      </c>
      <c r="I91" s="862" t="str">
        <f t="shared" si="12"/>
        <v>0000000000000</v>
      </c>
      <c r="K91" s="862" t="e">
        <f t="shared" si="10"/>
        <v>#N/A</v>
      </c>
    </row>
    <row r="92" spans="1:11" x14ac:dyDescent="0.2">
      <c r="A92" s="862">
        <f>RIGHT(DoM!$B$6,2)-2</f>
        <v>16</v>
      </c>
      <c r="B92" s="862" t="e">
        <f>INDEX(SNAME[],MATCH(C92,SNAME[DIST],0),MATCH($B$1,SNAME[#Headers],0))</f>
        <v>#N/A</v>
      </c>
      <c r="C92" s="862" t="e">
        <f>TaxCert!$F$6</f>
        <v>#N/A</v>
      </c>
      <c r="D92" s="862">
        <v>461</v>
      </c>
      <c r="E92" s="870">
        <f>TaxCert!$E$46</f>
        <v>0</v>
      </c>
      <c r="G92" s="862" t="e">
        <f t="shared" si="8"/>
        <v>#N/A</v>
      </c>
      <c r="H92" s="862" t="str">
        <f t="shared" si="9"/>
        <v>461</v>
      </c>
      <c r="I92" s="862" t="str">
        <f t="shared" si="12"/>
        <v>0000000000000</v>
      </c>
      <c r="K92" s="862" t="e">
        <f t="shared" si="10"/>
        <v>#N/A</v>
      </c>
    </row>
    <row r="93" spans="1:11" x14ac:dyDescent="0.2">
      <c r="A93" s="862">
        <f>RIGHT(DoM!$B$6,2)-2</f>
        <v>16</v>
      </c>
      <c r="B93" s="862" t="e">
        <f>INDEX(SNAME[],MATCH(C93,SNAME[DIST],0),MATCH($B$1,SNAME[#Headers],0))</f>
        <v>#N/A</v>
      </c>
      <c r="C93" s="862" t="e">
        <f>TaxCert!$F$6</f>
        <v>#N/A</v>
      </c>
      <c r="D93" s="862">
        <v>464</v>
      </c>
      <c r="E93" s="870">
        <f>TaxCert!$E$47</f>
        <v>0</v>
      </c>
      <c r="G93" s="862" t="e">
        <f t="shared" si="8"/>
        <v>#N/A</v>
      </c>
      <c r="H93" s="862" t="str">
        <f t="shared" si="9"/>
        <v>464</v>
      </c>
      <c r="I93" s="862" t="str">
        <f t="shared" si="12"/>
        <v>0000000000000</v>
      </c>
      <c r="K93" s="862" t="e">
        <f t="shared" si="10"/>
        <v>#N/A</v>
      </c>
    </row>
    <row r="94" spans="1:11" x14ac:dyDescent="0.2">
      <c r="A94" s="862">
        <f>RIGHT(DoM!$B$6,2)-2</f>
        <v>16</v>
      </c>
      <c r="B94" s="862" t="e">
        <f>INDEX(SNAME[],MATCH(C94,SNAME[DIST],0),MATCH($B$1,SNAME[#Headers],0))</f>
        <v>#N/A</v>
      </c>
      <c r="C94" s="862" t="e">
        <f>TaxCert!$F$6</f>
        <v>#N/A</v>
      </c>
      <c r="D94" s="862">
        <v>462</v>
      </c>
      <c r="E94" s="870">
        <f>TaxCert!$E$48</f>
        <v>0</v>
      </c>
      <c r="G94" s="862" t="e">
        <f t="shared" si="8"/>
        <v>#N/A</v>
      </c>
      <c r="H94" s="862" t="str">
        <f t="shared" si="9"/>
        <v>462</v>
      </c>
      <c r="I94" s="862" t="str">
        <f t="shared" si="12"/>
        <v>0000000000000</v>
      </c>
      <c r="K94" s="862" t="e">
        <f t="shared" si="10"/>
        <v>#N/A</v>
      </c>
    </row>
    <row r="95" spans="1:11" x14ac:dyDescent="0.2">
      <c r="A95" s="862">
        <f>RIGHT(DoM!$B$6,2)-2</f>
        <v>16</v>
      </c>
      <c r="B95" s="862" t="e">
        <f>INDEX(SNAME[],MATCH(C95,SNAME[DIST],0),MATCH($B$1,SNAME[#Headers],0))</f>
        <v>#N/A</v>
      </c>
      <c r="C95" s="862" t="e">
        <f>TaxCert!$F$6</f>
        <v>#N/A</v>
      </c>
      <c r="D95" s="862">
        <v>463</v>
      </c>
      <c r="E95" s="870">
        <f>TaxCert!$E$49</f>
        <v>0</v>
      </c>
      <c r="G95" s="862" t="e">
        <f t="shared" si="8"/>
        <v>#N/A</v>
      </c>
      <c r="H95" s="862" t="str">
        <f t="shared" si="9"/>
        <v>463</v>
      </c>
      <c r="I95" s="862" t="str">
        <f t="shared" si="12"/>
        <v>0000000000000</v>
      </c>
      <c r="K95" s="862" t="e">
        <f t="shared" si="10"/>
        <v>#N/A</v>
      </c>
    </row>
    <row r="96" spans="1:11" x14ac:dyDescent="0.2">
      <c r="A96" s="862">
        <f>RIGHT(DoM!$B$6,2)-2</f>
        <v>16</v>
      </c>
      <c r="B96" s="862" t="e">
        <f>INDEX(SNAME[],MATCH(C96,SNAME[DIST],0),MATCH($B$1,SNAME[#Headers],0))</f>
        <v>#N/A</v>
      </c>
      <c r="C96" s="862" t="e">
        <f>TaxCert!$F$6</f>
        <v>#N/A</v>
      </c>
      <c r="D96" s="862">
        <v>465</v>
      </c>
      <c r="E96" s="870" t="e">
        <f>TaxCert!$E$50</f>
        <v>#N/A</v>
      </c>
      <c r="G96" s="862" t="e">
        <f t="shared" si="8"/>
        <v>#N/A</v>
      </c>
      <c r="H96" s="862" t="str">
        <f t="shared" si="9"/>
        <v>465</v>
      </c>
      <c r="I96" s="862" t="e">
        <f t="shared" si="12"/>
        <v>#N/A</v>
      </c>
      <c r="K96" s="862" t="e">
        <f t="shared" si="10"/>
        <v>#N/A</v>
      </c>
    </row>
    <row r="97" spans="1:11" x14ac:dyDescent="0.2">
      <c r="A97" s="862">
        <f>RIGHT(DoM!$B$6,2)-2</f>
        <v>16</v>
      </c>
      <c r="B97" s="862" t="e">
        <f>INDEX(SNAME[],MATCH(C97,SNAME[DIST],0),MATCH($B$1,SNAME[#Headers],0))</f>
        <v>#N/A</v>
      </c>
      <c r="C97" s="862" t="e">
        <f>TaxCert!$F$6</f>
        <v>#N/A</v>
      </c>
      <c r="D97" s="862">
        <v>160</v>
      </c>
      <c r="E97" s="870" t="e">
        <f>FY18WK1!$D4</f>
        <v>#N/A</v>
      </c>
      <c r="G97" s="862" t="e">
        <f t="shared" si="8"/>
        <v>#N/A</v>
      </c>
      <c r="H97" s="862" t="str">
        <f t="shared" si="9"/>
        <v>160</v>
      </c>
      <c r="I97" s="862" t="e">
        <f t="shared" si="12"/>
        <v>#N/A</v>
      </c>
      <c r="K97" s="862" t="e">
        <f t="shared" si="10"/>
        <v>#N/A</v>
      </c>
    </row>
    <row r="98" spans="1:11" x14ac:dyDescent="0.2">
      <c r="A98" s="862">
        <f>RIGHT(DoM!$B$6,2)-2</f>
        <v>16</v>
      </c>
      <c r="B98" s="862" t="e">
        <f>INDEX(SNAME[],MATCH(C98,SNAME[DIST],0),MATCH($B$1,SNAME[#Headers],0))</f>
        <v>#N/A</v>
      </c>
      <c r="C98" s="862" t="e">
        <f>TaxCert!$F$6</f>
        <v>#N/A</v>
      </c>
      <c r="D98" s="862">
        <v>161</v>
      </c>
      <c r="E98" s="870" t="e">
        <f>FY18WK1!$D5</f>
        <v>#N/A</v>
      </c>
      <c r="G98" s="862" t="e">
        <f t="shared" ref="G98:G118" si="13">TEXT(C98,"0000")</f>
        <v>#N/A</v>
      </c>
      <c r="H98" s="862" t="str">
        <f t="shared" ref="H98:H118" si="14">TEXT(D98,"000")</f>
        <v>161</v>
      </c>
      <c r="I98" s="862" t="e">
        <f t="shared" si="12"/>
        <v>#N/A</v>
      </c>
      <c r="K98" s="862" t="e">
        <f t="shared" ref="K98:K118" si="15">CONCATENATE(A98,B98,G98,H98,I98,"+0000000000000000"," ","0000000000000000"," ","0000000000000000"," ","0000000000000000")</f>
        <v>#N/A</v>
      </c>
    </row>
    <row r="99" spans="1:11" x14ac:dyDescent="0.2">
      <c r="A99" s="862">
        <f>RIGHT(DoM!$B$6,2)-2</f>
        <v>16</v>
      </c>
      <c r="B99" s="862" t="e">
        <f>INDEX(SNAME[],MATCH(C99,SNAME[DIST],0),MATCH($B$1,SNAME[#Headers],0))</f>
        <v>#N/A</v>
      </c>
      <c r="C99" s="862" t="e">
        <f>TaxCert!$F$6</f>
        <v>#N/A</v>
      </c>
      <c r="D99" s="862">
        <v>162</v>
      </c>
      <c r="E99" s="870">
        <f>FY18WK1!$D6</f>
        <v>0</v>
      </c>
      <c r="G99" s="862" t="e">
        <f t="shared" si="13"/>
        <v>#N/A</v>
      </c>
      <c r="H99" s="862" t="str">
        <f t="shared" si="14"/>
        <v>162</v>
      </c>
      <c r="I99" s="862" t="str">
        <f t="shared" si="12"/>
        <v>0000000000000</v>
      </c>
      <c r="K99" s="862" t="e">
        <f t="shared" si="15"/>
        <v>#N/A</v>
      </c>
    </row>
    <row r="100" spans="1:11" x14ac:dyDescent="0.2">
      <c r="A100" s="862">
        <f>RIGHT(DoM!$B$6,2)-2</f>
        <v>16</v>
      </c>
      <c r="B100" s="862" t="e">
        <f>INDEX(SNAME[],MATCH(C100,SNAME[DIST],0),MATCH($B$1,SNAME[#Headers],0))</f>
        <v>#N/A</v>
      </c>
      <c r="C100" s="862" t="e">
        <f>TaxCert!$F$6</f>
        <v>#N/A</v>
      </c>
      <c r="D100" s="862">
        <v>163</v>
      </c>
      <c r="E100" s="870">
        <f>FY18WK1!$D7</f>
        <v>0</v>
      </c>
      <c r="G100" s="862" t="e">
        <f t="shared" si="13"/>
        <v>#N/A</v>
      </c>
      <c r="H100" s="862" t="str">
        <f t="shared" si="14"/>
        <v>163</v>
      </c>
      <c r="I100" s="862" t="str">
        <f t="shared" si="12"/>
        <v>0000000000000</v>
      </c>
      <c r="K100" s="862" t="e">
        <f t="shared" si="15"/>
        <v>#N/A</v>
      </c>
    </row>
    <row r="101" spans="1:11" x14ac:dyDescent="0.2">
      <c r="A101" s="862">
        <f>RIGHT(DoM!$B$6,2)-2</f>
        <v>16</v>
      </c>
      <c r="B101" s="862" t="e">
        <f>INDEX(SNAME[],MATCH(C101,SNAME[DIST],0),MATCH($B$1,SNAME[#Headers],0))</f>
        <v>#N/A</v>
      </c>
      <c r="C101" s="862" t="e">
        <f>TaxCert!$F$6</f>
        <v>#N/A</v>
      </c>
      <c r="D101" s="862">
        <v>164</v>
      </c>
      <c r="E101" s="870">
        <f>FY18WK1!$D8</f>
        <v>0</v>
      </c>
      <c r="G101" s="862" t="e">
        <f t="shared" si="13"/>
        <v>#N/A</v>
      </c>
      <c r="H101" s="862" t="str">
        <f t="shared" si="14"/>
        <v>164</v>
      </c>
      <c r="I101" s="862" t="str">
        <f t="shared" si="12"/>
        <v>0000000000000</v>
      </c>
      <c r="K101" s="862" t="e">
        <f t="shared" si="15"/>
        <v>#N/A</v>
      </c>
    </row>
    <row r="102" spans="1:11" x14ac:dyDescent="0.2">
      <c r="A102" s="862">
        <f>RIGHT(DoM!$B$6,2)-2</f>
        <v>16</v>
      </c>
      <c r="B102" s="862" t="e">
        <f>INDEX(SNAME[],MATCH(C102,SNAME[DIST],0),MATCH($B$1,SNAME[#Headers],0))</f>
        <v>#N/A</v>
      </c>
      <c r="C102" s="862" t="e">
        <f>TaxCert!$F$6</f>
        <v>#N/A</v>
      </c>
      <c r="D102" s="862">
        <v>165</v>
      </c>
      <c r="E102" s="870">
        <f>FY18WK1!$D9</f>
        <v>0</v>
      </c>
      <c r="G102" s="862" t="e">
        <f t="shared" si="13"/>
        <v>#N/A</v>
      </c>
      <c r="H102" s="862" t="str">
        <f t="shared" si="14"/>
        <v>165</v>
      </c>
      <c r="I102" s="862" t="str">
        <f t="shared" si="12"/>
        <v>0000000000000</v>
      </c>
      <c r="K102" s="862" t="e">
        <f t="shared" si="15"/>
        <v>#N/A</v>
      </c>
    </row>
    <row r="103" spans="1:11" x14ac:dyDescent="0.2">
      <c r="A103" s="862">
        <f>RIGHT(DoM!$B$6,2)-2</f>
        <v>16</v>
      </c>
      <c r="B103" s="862" t="e">
        <f>INDEX(SNAME[],MATCH(C103,SNAME[DIST],0),MATCH($B$1,SNAME[#Headers],0))</f>
        <v>#N/A</v>
      </c>
      <c r="C103" s="862" t="e">
        <f>TaxCert!$F$6</f>
        <v>#N/A</v>
      </c>
      <c r="D103" s="862">
        <v>166</v>
      </c>
      <c r="E103" s="870">
        <f>FY18WK1!$D10</f>
        <v>0</v>
      </c>
      <c r="G103" s="862" t="e">
        <f t="shared" si="13"/>
        <v>#N/A</v>
      </c>
      <c r="H103" s="862" t="str">
        <f t="shared" si="14"/>
        <v>166</v>
      </c>
      <c r="I103" s="862" t="str">
        <f t="shared" si="12"/>
        <v>0000000000000</v>
      </c>
      <c r="K103" s="862" t="e">
        <f t="shared" si="15"/>
        <v>#N/A</v>
      </c>
    </row>
    <row r="104" spans="1:11" x14ac:dyDescent="0.2">
      <c r="A104" s="862">
        <f>RIGHT(DoM!$B$6,2)-2</f>
        <v>16</v>
      </c>
      <c r="B104" s="862" t="e">
        <f>INDEX(SNAME[],MATCH(C104,SNAME[DIST],0),MATCH($B$1,SNAME[#Headers],0))</f>
        <v>#N/A</v>
      </c>
      <c r="C104" s="862" t="e">
        <f>TaxCert!$F$6</f>
        <v>#N/A</v>
      </c>
      <c r="D104" s="862">
        <v>167</v>
      </c>
      <c r="E104" s="870">
        <f>FY18WK1!$D11</f>
        <v>0</v>
      </c>
      <c r="G104" s="862" t="e">
        <f t="shared" si="13"/>
        <v>#N/A</v>
      </c>
      <c r="H104" s="862" t="str">
        <f t="shared" si="14"/>
        <v>167</v>
      </c>
      <c r="I104" s="862" t="str">
        <f t="shared" si="12"/>
        <v>0000000000000</v>
      </c>
      <c r="K104" s="862" t="e">
        <f t="shared" si="15"/>
        <v>#N/A</v>
      </c>
    </row>
    <row r="105" spans="1:11" x14ac:dyDescent="0.2">
      <c r="A105" s="862">
        <f>RIGHT(DoM!$B$6,2)-2</f>
        <v>16</v>
      </c>
      <c r="B105" s="862" t="e">
        <f>INDEX(SNAME[],MATCH(C105,SNAME[DIST],0),MATCH($B$1,SNAME[#Headers],0))</f>
        <v>#N/A</v>
      </c>
      <c r="C105" s="862" t="e">
        <f>TaxCert!$F$6</f>
        <v>#N/A</v>
      </c>
      <c r="D105" s="862">
        <v>168</v>
      </c>
      <c r="E105" s="870">
        <f>FY18WK1!$D12</f>
        <v>0</v>
      </c>
      <c r="G105" s="862" t="e">
        <f t="shared" si="13"/>
        <v>#N/A</v>
      </c>
      <c r="H105" s="862" t="str">
        <f t="shared" si="14"/>
        <v>168</v>
      </c>
      <c r="I105" s="862" t="str">
        <f t="shared" si="12"/>
        <v>0000000000000</v>
      </c>
      <c r="K105" s="862" t="e">
        <f t="shared" si="15"/>
        <v>#N/A</v>
      </c>
    </row>
    <row r="106" spans="1:11" x14ac:dyDescent="0.2">
      <c r="A106" s="862">
        <f>RIGHT(DoM!$B$6,2)-2</f>
        <v>16</v>
      </c>
      <c r="B106" s="862" t="e">
        <f>INDEX(SNAME[],MATCH(C106,SNAME[DIST],0),MATCH($B$1,SNAME[#Headers],0))</f>
        <v>#N/A</v>
      </c>
      <c r="C106" s="862" t="e">
        <f>TaxCert!$F$6</f>
        <v>#N/A</v>
      </c>
      <c r="D106" s="862">
        <v>169</v>
      </c>
      <c r="E106" s="870" t="e">
        <f>FY18WK1!$D13</f>
        <v>#N/A</v>
      </c>
      <c r="G106" s="862" t="e">
        <f t="shared" si="13"/>
        <v>#N/A</v>
      </c>
      <c r="H106" s="862" t="str">
        <f t="shared" si="14"/>
        <v>169</v>
      </c>
      <c r="I106" s="862" t="e">
        <f t="shared" si="12"/>
        <v>#N/A</v>
      </c>
      <c r="K106" s="862" t="e">
        <f t="shared" si="15"/>
        <v>#N/A</v>
      </c>
    </row>
    <row r="107" spans="1:11" x14ac:dyDescent="0.2">
      <c r="A107" s="862">
        <f>RIGHT(DoM!$B$6,2)-2</f>
        <v>16</v>
      </c>
      <c r="B107" s="862" t="e">
        <f>INDEX(SNAME[],MATCH(C107,SNAME[DIST],0),MATCH($B$1,SNAME[#Headers],0))</f>
        <v>#N/A</v>
      </c>
      <c r="C107" s="862" t="e">
        <f>TaxCert!$F$6</f>
        <v>#N/A</v>
      </c>
      <c r="D107" s="862">
        <v>170</v>
      </c>
      <c r="E107" s="870" t="e">
        <f>FY18WK1!$D14</f>
        <v>#N/A</v>
      </c>
      <c r="G107" s="862" t="e">
        <f t="shared" si="13"/>
        <v>#N/A</v>
      </c>
      <c r="H107" s="862" t="str">
        <f t="shared" si="14"/>
        <v>170</v>
      </c>
      <c r="I107" s="862" t="e">
        <f t="shared" si="12"/>
        <v>#N/A</v>
      </c>
      <c r="K107" s="862" t="e">
        <f t="shared" si="15"/>
        <v>#N/A</v>
      </c>
    </row>
    <row r="108" spans="1:11" x14ac:dyDescent="0.2">
      <c r="A108" s="862">
        <f>RIGHT(DoM!$B$6,2)-2</f>
        <v>16</v>
      </c>
      <c r="B108" s="862" t="e">
        <f>INDEX(SNAME[],MATCH(C108,SNAME[DIST],0),MATCH($B$1,SNAME[#Headers],0))</f>
        <v>#N/A</v>
      </c>
      <c r="C108" s="862" t="e">
        <f>TaxCert!$F$6</f>
        <v>#N/A</v>
      </c>
      <c r="D108" s="862">
        <v>171</v>
      </c>
      <c r="E108" s="870">
        <f>FY18WK1!$D15</f>
        <v>0</v>
      </c>
      <c r="G108" s="862" t="e">
        <f t="shared" si="13"/>
        <v>#N/A</v>
      </c>
      <c r="H108" s="862" t="str">
        <f t="shared" si="14"/>
        <v>171</v>
      </c>
      <c r="I108" s="862" t="str">
        <f t="shared" si="12"/>
        <v>0000000000000</v>
      </c>
      <c r="K108" s="862" t="e">
        <f t="shared" si="15"/>
        <v>#N/A</v>
      </c>
    </row>
    <row r="109" spans="1:11" x14ac:dyDescent="0.2">
      <c r="A109" s="862">
        <f>RIGHT(DoM!$B$6,2)-2</f>
        <v>16</v>
      </c>
      <c r="B109" s="862" t="e">
        <f>INDEX(SNAME[],MATCH(C109,SNAME[DIST],0),MATCH($B$1,SNAME[#Headers],0))</f>
        <v>#N/A</v>
      </c>
      <c r="C109" s="862" t="e">
        <f>TaxCert!$F$6</f>
        <v>#N/A</v>
      </c>
      <c r="D109" s="862">
        <v>172</v>
      </c>
      <c r="E109" s="870">
        <f>FY18WK1!$D16</f>
        <v>0</v>
      </c>
      <c r="G109" s="862" t="e">
        <f t="shared" si="13"/>
        <v>#N/A</v>
      </c>
      <c r="H109" s="862" t="str">
        <f t="shared" si="14"/>
        <v>172</v>
      </c>
      <c r="I109" s="862" t="str">
        <f t="shared" si="12"/>
        <v>0000000000000</v>
      </c>
      <c r="K109" s="862" t="e">
        <f t="shared" si="15"/>
        <v>#N/A</v>
      </c>
    </row>
    <row r="110" spans="1:11" x14ac:dyDescent="0.2">
      <c r="A110" s="862">
        <f>RIGHT(DoM!$B$6,2)-2</f>
        <v>16</v>
      </c>
      <c r="B110" s="862" t="e">
        <f>INDEX(SNAME[],MATCH(C110,SNAME[DIST],0),MATCH($B$1,SNAME[#Headers],0))</f>
        <v>#N/A</v>
      </c>
      <c r="C110" s="862" t="e">
        <f>TaxCert!$F$6</f>
        <v>#N/A</v>
      </c>
      <c r="D110" s="862">
        <v>173</v>
      </c>
      <c r="E110" s="870">
        <f>FY18WK1!$D17</f>
        <v>0</v>
      </c>
      <c r="G110" s="862" t="e">
        <f t="shared" si="13"/>
        <v>#N/A</v>
      </c>
      <c r="H110" s="862" t="str">
        <f t="shared" si="14"/>
        <v>173</v>
      </c>
      <c r="I110" s="862" t="str">
        <f t="shared" si="12"/>
        <v>0000000000000</v>
      </c>
      <c r="K110" s="862" t="e">
        <f t="shared" si="15"/>
        <v>#N/A</v>
      </c>
    </row>
    <row r="111" spans="1:11" x14ac:dyDescent="0.2">
      <c r="A111" s="862">
        <f>RIGHT(DoM!$B$6,2)-2</f>
        <v>16</v>
      </c>
      <c r="B111" s="862" t="e">
        <f>INDEX(SNAME[],MATCH(C111,SNAME[DIST],0),MATCH($B$1,SNAME[#Headers],0))</f>
        <v>#N/A</v>
      </c>
      <c r="C111" s="862" t="e">
        <f>TaxCert!$F$6</f>
        <v>#N/A</v>
      </c>
      <c r="D111" s="862">
        <v>174</v>
      </c>
      <c r="E111" s="870">
        <f>FY18WK1!$D18</f>
        <v>0</v>
      </c>
      <c r="G111" s="862" t="e">
        <f t="shared" si="13"/>
        <v>#N/A</v>
      </c>
      <c r="H111" s="862" t="str">
        <f t="shared" si="14"/>
        <v>174</v>
      </c>
      <c r="I111" s="862" t="str">
        <f t="shared" si="12"/>
        <v>0000000000000</v>
      </c>
      <c r="K111" s="862" t="e">
        <f t="shared" si="15"/>
        <v>#N/A</v>
      </c>
    </row>
    <row r="112" spans="1:11" x14ac:dyDescent="0.2">
      <c r="A112" s="862">
        <f>RIGHT(DoM!$B$6,2)-2</f>
        <v>16</v>
      </c>
      <c r="B112" s="862" t="e">
        <f>INDEX(SNAME[],MATCH(C112,SNAME[DIST],0),MATCH($B$1,SNAME[#Headers],0))</f>
        <v>#N/A</v>
      </c>
      <c r="C112" s="862" t="e">
        <f>TaxCert!$F$6</f>
        <v>#N/A</v>
      </c>
      <c r="D112" s="862">
        <v>175</v>
      </c>
      <c r="E112" s="870" t="e">
        <f>FY18WK1!$D19</f>
        <v>#N/A</v>
      </c>
      <c r="G112" s="862" t="e">
        <f t="shared" si="13"/>
        <v>#N/A</v>
      </c>
      <c r="H112" s="862" t="str">
        <f t="shared" si="14"/>
        <v>175</v>
      </c>
      <c r="I112" s="862" t="e">
        <f t="shared" si="12"/>
        <v>#N/A</v>
      </c>
      <c r="K112" s="862" t="e">
        <f t="shared" si="15"/>
        <v>#N/A</v>
      </c>
    </row>
    <row r="113" spans="1:11" x14ac:dyDescent="0.2">
      <c r="A113" s="862">
        <f>RIGHT(DoM!$B$6,2)-2</f>
        <v>16</v>
      </c>
      <c r="B113" s="862" t="e">
        <f>INDEX(SNAME[],MATCH(C113,SNAME[DIST],0),MATCH($B$1,SNAME[#Headers],0))</f>
        <v>#N/A</v>
      </c>
      <c r="C113" s="862" t="e">
        <f>TaxCert!$F$6</f>
        <v>#N/A</v>
      </c>
      <c r="D113" s="862">
        <v>176</v>
      </c>
      <c r="E113" s="870">
        <f>FY18WK1!$D20</f>
        <v>0</v>
      </c>
      <c r="G113" s="862" t="e">
        <f t="shared" si="13"/>
        <v>#N/A</v>
      </c>
      <c r="H113" s="862" t="str">
        <f t="shared" si="14"/>
        <v>176</v>
      </c>
      <c r="I113" s="862" t="str">
        <f t="shared" si="12"/>
        <v>0000000000000</v>
      </c>
      <c r="K113" s="862" t="e">
        <f t="shared" si="15"/>
        <v>#N/A</v>
      </c>
    </row>
    <row r="114" spans="1:11" x14ac:dyDescent="0.2">
      <c r="A114" s="862">
        <f>RIGHT(DoM!$B$6,2)-2</f>
        <v>16</v>
      </c>
      <c r="B114" s="862" t="e">
        <f>INDEX(SNAME[],MATCH(C114,SNAME[DIST],0),MATCH($B$1,SNAME[#Headers],0))</f>
        <v>#N/A</v>
      </c>
      <c r="C114" s="862" t="e">
        <f>TaxCert!$F$6</f>
        <v>#N/A</v>
      </c>
      <c r="D114" s="862">
        <v>177</v>
      </c>
      <c r="E114" s="870">
        <f>FY18WK1!$D21</f>
        <v>0</v>
      </c>
      <c r="G114" s="862" t="e">
        <f t="shared" si="13"/>
        <v>#N/A</v>
      </c>
      <c r="H114" s="862" t="str">
        <f t="shared" si="14"/>
        <v>177</v>
      </c>
      <c r="I114" s="862" t="str">
        <f t="shared" si="12"/>
        <v>0000000000000</v>
      </c>
      <c r="K114" s="862" t="e">
        <f t="shared" si="15"/>
        <v>#N/A</v>
      </c>
    </row>
    <row r="115" spans="1:11" x14ac:dyDescent="0.2">
      <c r="A115" s="862">
        <f>RIGHT(DoM!$B$6,2)-2</f>
        <v>16</v>
      </c>
      <c r="B115" s="862" t="e">
        <f>INDEX(SNAME[],MATCH(C115,SNAME[DIST],0),MATCH($B$1,SNAME[#Headers],0))</f>
        <v>#N/A</v>
      </c>
      <c r="C115" s="862" t="e">
        <f>TaxCert!$F$6</f>
        <v>#N/A</v>
      </c>
      <c r="D115" s="862">
        <v>178</v>
      </c>
      <c r="E115" s="870">
        <f>FY18WK1!$D22</f>
        <v>0</v>
      </c>
      <c r="G115" s="862" t="e">
        <f t="shared" si="13"/>
        <v>#N/A</v>
      </c>
      <c r="H115" s="862" t="str">
        <f t="shared" si="14"/>
        <v>178</v>
      </c>
      <c r="I115" s="862" t="str">
        <f t="shared" si="12"/>
        <v>0000000000000</v>
      </c>
      <c r="K115" s="862" t="e">
        <f t="shared" si="15"/>
        <v>#N/A</v>
      </c>
    </row>
    <row r="116" spans="1:11" x14ac:dyDescent="0.2">
      <c r="A116" s="862">
        <f>RIGHT(DoM!$B$6,2)-2</f>
        <v>16</v>
      </c>
      <c r="B116" s="862" t="e">
        <f>INDEX(SNAME[],MATCH(C116,SNAME[DIST],0),MATCH($B$1,SNAME[#Headers],0))</f>
        <v>#N/A</v>
      </c>
      <c r="C116" s="862" t="e">
        <f>TaxCert!$F$6</f>
        <v>#N/A</v>
      </c>
      <c r="D116" s="862">
        <v>179</v>
      </c>
      <c r="E116" s="870" t="e">
        <f>FY18WK1!$D23</f>
        <v>#N/A</v>
      </c>
      <c r="G116" s="862" t="e">
        <f t="shared" si="13"/>
        <v>#N/A</v>
      </c>
      <c r="H116" s="862" t="str">
        <f t="shared" si="14"/>
        <v>179</v>
      </c>
      <c r="I116" s="862" t="e">
        <f t="shared" si="12"/>
        <v>#N/A</v>
      </c>
      <c r="K116" s="862" t="e">
        <f t="shared" si="15"/>
        <v>#N/A</v>
      </c>
    </row>
    <row r="117" spans="1:11" x14ac:dyDescent="0.2">
      <c r="A117" s="862">
        <f>RIGHT(DoM!$B$6,2)-2</f>
        <v>16</v>
      </c>
      <c r="B117" s="862" t="e">
        <f>INDEX(SNAME[],MATCH(C117,SNAME[DIST],0),MATCH($B$1,SNAME[#Headers],0))</f>
        <v>#N/A</v>
      </c>
      <c r="C117" s="862" t="e">
        <f>TaxCert!$F$6</f>
        <v>#N/A</v>
      </c>
      <c r="D117" s="862">
        <v>180</v>
      </c>
      <c r="E117" s="870" t="e">
        <f>FY18WK1!$D24</f>
        <v>#N/A</v>
      </c>
      <c r="G117" s="862" t="e">
        <f t="shared" si="13"/>
        <v>#N/A</v>
      </c>
      <c r="H117" s="862" t="str">
        <f t="shared" si="14"/>
        <v>180</v>
      </c>
      <c r="I117" s="862" t="e">
        <f t="shared" si="12"/>
        <v>#N/A</v>
      </c>
      <c r="K117" s="862" t="e">
        <f t="shared" si="15"/>
        <v>#N/A</v>
      </c>
    </row>
    <row r="118" spans="1:11" x14ac:dyDescent="0.2">
      <c r="A118" s="862">
        <f>RIGHT(DoM!$B$6,2)-2</f>
        <v>16</v>
      </c>
      <c r="B118" s="862" t="e">
        <f>INDEX(SNAME[],MATCH(C118,SNAME[DIST],0),MATCH($B$1,SNAME[#Headers],0))</f>
        <v>#N/A</v>
      </c>
      <c r="C118" s="862" t="e">
        <f>TaxCert!$F$6</f>
        <v>#N/A</v>
      </c>
      <c r="D118" s="862">
        <v>181</v>
      </c>
      <c r="E118" s="870" t="e">
        <f>FY18WK1!$D25</f>
        <v>#N/A</v>
      </c>
      <c r="G118" s="862" t="e">
        <f t="shared" si="13"/>
        <v>#N/A</v>
      </c>
      <c r="H118" s="862" t="str">
        <f t="shared" si="14"/>
        <v>181</v>
      </c>
      <c r="I118" s="862" t="e">
        <f t="shared" si="12"/>
        <v>#N/A</v>
      </c>
      <c r="K118" s="862" t="e">
        <f t="shared" si="15"/>
        <v>#N/A</v>
      </c>
    </row>
  </sheetData>
  <sheetProtection password="C47C"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FF99"/>
    <pageSetUpPr fitToPage="1"/>
  </sheetPr>
  <dimension ref="A1:IV67"/>
  <sheetViews>
    <sheetView showGridLines="0" workbookViewId="0">
      <pane ySplit="6" topLeftCell="A7" activePane="bottomLeft" state="frozen"/>
      <selection pane="bottomLeft" sqref="A1:F1"/>
    </sheetView>
  </sheetViews>
  <sheetFormatPr defaultColWidth="9" defaultRowHeight="12" x14ac:dyDescent="0.2"/>
  <cols>
    <col min="1" max="1" width="36.140625" style="141" customWidth="1"/>
    <col min="2" max="2" width="5.5703125" style="141" customWidth="1"/>
    <col min="3" max="3" width="0.140625" style="141" customWidth="1"/>
    <col min="4" max="6" width="14.7109375" style="141" customWidth="1"/>
    <col min="7" max="7" width="8.85546875" style="42" customWidth="1"/>
    <col min="8" max="16384" width="9" style="141"/>
  </cols>
  <sheetData>
    <row r="1" spans="1:256" s="166" customFormat="1" ht="15.75" x14ac:dyDescent="0.25">
      <c r="A1" s="890" t="s">
        <v>783</v>
      </c>
      <c r="B1" s="890"/>
      <c r="C1" s="890"/>
      <c r="D1" s="890"/>
      <c r="E1" s="890"/>
      <c r="F1" s="890"/>
      <c r="G1" s="167"/>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c r="CG1" s="116"/>
      <c r="CH1" s="116"/>
      <c r="CI1" s="116"/>
      <c r="CJ1" s="116"/>
      <c r="CK1" s="116"/>
      <c r="CL1" s="116"/>
      <c r="CM1" s="116"/>
      <c r="CN1" s="116"/>
      <c r="CO1" s="116"/>
      <c r="CP1" s="116"/>
      <c r="CQ1" s="116"/>
      <c r="CR1" s="116"/>
      <c r="CS1" s="116"/>
      <c r="CT1" s="116"/>
      <c r="CU1" s="116"/>
      <c r="CV1" s="116"/>
      <c r="CW1" s="116"/>
      <c r="CX1" s="116"/>
      <c r="CY1" s="116"/>
      <c r="CZ1" s="116"/>
      <c r="DA1" s="116"/>
      <c r="DB1" s="116"/>
      <c r="DC1" s="116"/>
      <c r="DD1" s="116"/>
      <c r="DE1" s="116"/>
      <c r="DF1" s="116"/>
      <c r="DG1" s="116"/>
      <c r="DH1" s="116"/>
      <c r="DI1" s="116"/>
      <c r="DJ1" s="116"/>
      <c r="DK1" s="116"/>
      <c r="DL1" s="116"/>
      <c r="DM1" s="116"/>
      <c r="DN1" s="116"/>
      <c r="DO1" s="116"/>
      <c r="DP1" s="116"/>
      <c r="DQ1" s="116"/>
      <c r="DR1" s="116"/>
      <c r="DS1" s="116"/>
      <c r="DT1" s="116"/>
      <c r="DU1" s="116"/>
      <c r="DV1" s="116"/>
      <c r="DW1" s="116"/>
      <c r="DX1" s="116"/>
      <c r="DY1" s="116"/>
      <c r="DZ1" s="116"/>
      <c r="EA1" s="116"/>
      <c r="EB1" s="116"/>
      <c r="EC1" s="116"/>
      <c r="ED1" s="116"/>
      <c r="EE1" s="116"/>
      <c r="EF1" s="116"/>
      <c r="EG1" s="116"/>
      <c r="EH1" s="116"/>
      <c r="EI1" s="116"/>
      <c r="EJ1" s="116"/>
      <c r="EK1" s="116"/>
      <c r="EL1" s="116"/>
      <c r="EM1" s="116"/>
      <c r="EN1" s="116"/>
      <c r="EO1" s="116"/>
      <c r="EP1" s="116"/>
      <c r="EQ1" s="116"/>
      <c r="ER1" s="116"/>
      <c r="ES1" s="116"/>
      <c r="ET1" s="116"/>
      <c r="EU1" s="116"/>
      <c r="EV1" s="116"/>
      <c r="EW1" s="116"/>
      <c r="EX1" s="116"/>
      <c r="EY1" s="116"/>
      <c r="EZ1" s="116"/>
      <c r="FA1" s="116"/>
      <c r="FB1" s="116"/>
      <c r="FC1" s="116"/>
      <c r="FD1" s="116"/>
      <c r="FE1" s="116"/>
      <c r="FF1" s="116"/>
      <c r="FG1" s="116"/>
      <c r="FH1" s="116"/>
      <c r="FI1" s="116"/>
      <c r="FJ1" s="116"/>
      <c r="FK1" s="116"/>
      <c r="FL1" s="116"/>
      <c r="FM1" s="116"/>
      <c r="FN1" s="116"/>
      <c r="FO1" s="116"/>
      <c r="FP1" s="116"/>
      <c r="FQ1" s="116"/>
      <c r="FR1" s="116"/>
      <c r="FS1" s="116"/>
      <c r="FT1" s="116"/>
      <c r="FU1" s="116"/>
      <c r="FV1" s="116"/>
      <c r="FW1" s="116"/>
      <c r="FX1" s="116"/>
      <c r="FY1" s="116"/>
      <c r="FZ1" s="116"/>
      <c r="GA1" s="116"/>
      <c r="GB1" s="116"/>
      <c r="GC1" s="116"/>
      <c r="GD1" s="116"/>
      <c r="GE1" s="116"/>
      <c r="GF1" s="116"/>
      <c r="GG1" s="116"/>
      <c r="GH1" s="116"/>
      <c r="GI1" s="116"/>
      <c r="GJ1" s="116"/>
      <c r="GK1" s="116"/>
      <c r="GL1" s="116"/>
      <c r="GM1" s="116"/>
      <c r="GN1" s="116"/>
      <c r="GO1" s="116"/>
      <c r="GP1" s="116"/>
      <c r="GQ1" s="116"/>
      <c r="GR1" s="116"/>
      <c r="GS1" s="116"/>
      <c r="GT1" s="116"/>
      <c r="GU1" s="116"/>
      <c r="GV1" s="116"/>
      <c r="GW1" s="116"/>
      <c r="GX1" s="116"/>
      <c r="GY1" s="116"/>
      <c r="GZ1" s="116"/>
      <c r="HA1" s="116"/>
      <c r="HB1" s="116"/>
      <c r="HC1" s="116"/>
      <c r="HD1" s="116"/>
      <c r="HE1" s="116"/>
      <c r="HF1" s="116"/>
      <c r="HG1" s="116"/>
      <c r="HH1" s="116"/>
      <c r="HI1" s="116"/>
      <c r="HJ1" s="116"/>
      <c r="HK1" s="116"/>
      <c r="HL1" s="116"/>
      <c r="HM1" s="116"/>
      <c r="HN1" s="116"/>
      <c r="HO1" s="116"/>
      <c r="HP1" s="116"/>
      <c r="HQ1" s="116"/>
      <c r="HR1" s="116"/>
      <c r="HS1" s="116"/>
      <c r="HT1" s="116"/>
      <c r="HU1" s="116"/>
      <c r="HV1" s="116"/>
      <c r="HW1" s="116"/>
      <c r="HX1" s="116"/>
      <c r="HY1" s="116"/>
      <c r="HZ1" s="116"/>
      <c r="IA1" s="116"/>
      <c r="IB1" s="116"/>
      <c r="IC1" s="116"/>
      <c r="ID1" s="116"/>
      <c r="IE1" s="116"/>
      <c r="IF1" s="116"/>
      <c r="IG1" s="116"/>
      <c r="IH1" s="116"/>
      <c r="II1" s="116"/>
      <c r="IJ1" s="116"/>
      <c r="IK1" s="116"/>
      <c r="IL1" s="116"/>
      <c r="IM1" s="116"/>
      <c r="IN1" s="116"/>
      <c r="IO1" s="116"/>
      <c r="IP1" s="116"/>
      <c r="IQ1" s="116"/>
      <c r="IR1" s="116"/>
      <c r="IS1" s="116"/>
      <c r="IT1" s="116"/>
      <c r="IU1" s="116"/>
      <c r="IV1" s="116"/>
    </row>
    <row r="2" spans="1:256" s="166" customFormat="1" ht="15.75" x14ac:dyDescent="0.25">
      <c r="A2" s="890" t="str">
        <f>CONCATENATE("PROPOSED ",InputsResults!$K$3," SCHOOL BUDGET SUMMARY")</f>
        <v>PROPOSED  SCHOOL BUDGET SUMMARY</v>
      </c>
      <c r="B2" s="890"/>
      <c r="C2" s="890"/>
      <c r="D2" s="890"/>
      <c r="E2" s="890"/>
      <c r="F2" s="890"/>
      <c r="G2" s="167"/>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c r="CG2" s="116"/>
      <c r="CH2" s="116"/>
      <c r="CI2" s="116"/>
      <c r="CJ2" s="116"/>
      <c r="CK2" s="116"/>
      <c r="CL2" s="116"/>
      <c r="CM2" s="116"/>
      <c r="CN2" s="116"/>
      <c r="CO2" s="116"/>
      <c r="CP2" s="116"/>
      <c r="CQ2" s="116"/>
      <c r="CR2" s="116"/>
      <c r="CS2" s="116"/>
      <c r="CT2" s="116"/>
      <c r="CU2" s="116"/>
      <c r="CV2" s="116"/>
      <c r="CW2" s="116"/>
      <c r="CX2" s="116"/>
      <c r="CY2" s="116"/>
      <c r="CZ2" s="116"/>
      <c r="DA2" s="116"/>
      <c r="DB2" s="116"/>
      <c r="DC2" s="116"/>
      <c r="DD2" s="116"/>
      <c r="DE2" s="116"/>
      <c r="DF2" s="116"/>
      <c r="DG2" s="116"/>
      <c r="DH2" s="116"/>
      <c r="DI2" s="116"/>
      <c r="DJ2" s="116"/>
      <c r="DK2" s="116"/>
      <c r="DL2" s="116"/>
      <c r="DM2" s="116"/>
      <c r="DN2" s="116"/>
      <c r="DO2" s="116"/>
      <c r="DP2" s="116"/>
      <c r="DQ2" s="116"/>
      <c r="DR2" s="116"/>
      <c r="DS2" s="116"/>
      <c r="DT2" s="116"/>
      <c r="DU2" s="116"/>
      <c r="DV2" s="116"/>
      <c r="DW2" s="116"/>
      <c r="DX2" s="116"/>
      <c r="DY2" s="116"/>
      <c r="DZ2" s="116"/>
      <c r="EA2" s="116"/>
      <c r="EB2" s="116"/>
      <c r="EC2" s="116"/>
      <c r="ED2" s="116"/>
      <c r="EE2" s="116"/>
      <c r="EF2" s="116"/>
      <c r="EG2" s="116"/>
      <c r="EH2" s="116"/>
      <c r="EI2" s="116"/>
      <c r="EJ2" s="116"/>
      <c r="EK2" s="116"/>
      <c r="EL2" s="116"/>
      <c r="EM2" s="116"/>
      <c r="EN2" s="116"/>
      <c r="EO2" s="116"/>
      <c r="EP2" s="116"/>
      <c r="EQ2" s="116"/>
      <c r="ER2" s="116"/>
      <c r="ES2" s="116"/>
      <c r="ET2" s="116"/>
      <c r="EU2" s="116"/>
      <c r="EV2" s="116"/>
      <c r="EW2" s="116"/>
      <c r="EX2" s="116"/>
      <c r="EY2" s="116"/>
      <c r="EZ2" s="116"/>
      <c r="FA2" s="116"/>
      <c r="FB2" s="116"/>
      <c r="FC2" s="116"/>
      <c r="FD2" s="116"/>
      <c r="FE2" s="116"/>
      <c r="FF2" s="116"/>
      <c r="FG2" s="116"/>
      <c r="FH2" s="116"/>
      <c r="FI2" s="116"/>
      <c r="FJ2" s="116"/>
      <c r="FK2" s="116"/>
      <c r="FL2" s="116"/>
      <c r="FM2" s="116"/>
      <c r="FN2" s="116"/>
      <c r="FO2" s="116"/>
      <c r="FP2" s="116"/>
      <c r="FQ2" s="116"/>
      <c r="FR2" s="116"/>
      <c r="FS2" s="116"/>
      <c r="FT2" s="116"/>
      <c r="FU2" s="116"/>
      <c r="FV2" s="116"/>
      <c r="FW2" s="116"/>
      <c r="FX2" s="116"/>
      <c r="FY2" s="116"/>
      <c r="FZ2" s="116"/>
      <c r="GA2" s="116"/>
      <c r="GB2" s="116"/>
      <c r="GC2" s="116"/>
      <c r="GD2" s="116"/>
      <c r="GE2" s="116"/>
      <c r="GF2" s="116"/>
      <c r="GG2" s="116"/>
      <c r="GH2" s="116"/>
      <c r="GI2" s="116"/>
      <c r="GJ2" s="116"/>
      <c r="GK2" s="116"/>
      <c r="GL2" s="116"/>
      <c r="GM2" s="116"/>
      <c r="GN2" s="116"/>
      <c r="GO2" s="116"/>
      <c r="GP2" s="116"/>
      <c r="GQ2" s="116"/>
      <c r="GR2" s="116"/>
      <c r="GS2" s="116"/>
      <c r="GT2" s="116"/>
      <c r="GU2" s="116"/>
      <c r="GV2" s="116"/>
      <c r="GW2" s="116"/>
      <c r="GX2" s="116"/>
      <c r="GY2" s="116"/>
      <c r="GZ2" s="116"/>
      <c r="HA2" s="116"/>
      <c r="HB2" s="116"/>
      <c r="HC2" s="116"/>
      <c r="HD2" s="116"/>
      <c r="HE2" s="116"/>
      <c r="HF2" s="116"/>
      <c r="HG2" s="116"/>
      <c r="HH2" s="116"/>
      <c r="HI2" s="116"/>
      <c r="HJ2" s="116"/>
      <c r="HK2" s="116"/>
      <c r="HL2" s="116"/>
      <c r="HM2" s="116"/>
      <c r="HN2" s="116"/>
      <c r="HO2" s="116"/>
      <c r="HP2" s="116"/>
      <c r="HQ2" s="116"/>
      <c r="HR2" s="116"/>
      <c r="HS2" s="116"/>
      <c r="HT2" s="116"/>
      <c r="HU2" s="116"/>
      <c r="HV2" s="116"/>
      <c r="HW2" s="116"/>
      <c r="HX2" s="116"/>
      <c r="HY2" s="116"/>
      <c r="HZ2" s="116"/>
      <c r="IA2" s="116"/>
      <c r="IB2" s="116"/>
      <c r="IC2" s="116"/>
      <c r="ID2" s="116"/>
      <c r="IE2" s="116"/>
      <c r="IF2" s="116"/>
      <c r="IG2" s="116"/>
      <c r="IH2" s="116"/>
      <c r="II2" s="116"/>
      <c r="IJ2" s="116"/>
      <c r="IK2" s="116"/>
      <c r="IL2" s="116"/>
      <c r="IM2" s="116"/>
      <c r="IN2" s="116"/>
      <c r="IO2" s="116"/>
      <c r="IP2" s="116"/>
      <c r="IQ2" s="116"/>
      <c r="IR2" s="116"/>
      <c r="IS2" s="116"/>
      <c r="IT2" s="116"/>
      <c r="IU2" s="116"/>
      <c r="IV2" s="116"/>
    </row>
    <row r="3" spans="1:256" s="166" customFormat="1" ht="15.75" x14ac:dyDescent="0.25">
      <c r="A3" s="890" t="str">
        <f>CONCATENATE("FISCAL YEAR ",DoM!$B$5,"-",DoM!$B$6)</f>
        <v>FISCAL YEAR 2017-2018</v>
      </c>
      <c r="B3" s="890"/>
      <c r="C3" s="890"/>
      <c r="D3" s="890"/>
      <c r="E3" s="890"/>
      <c r="F3" s="890"/>
      <c r="G3" s="168"/>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116"/>
      <c r="EX3" s="116"/>
      <c r="EY3" s="116"/>
      <c r="EZ3" s="116"/>
      <c r="FA3" s="116"/>
      <c r="FB3" s="116"/>
      <c r="FC3" s="116"/>
      <c r="FD3" s="116"/>
      <c r="FE3" s="116"/>
      <c r="FF3" s="116"/>
      <c r="FG3" s="116"/>
      <c r="FH3" s="116"/>
      <c r="FI3" s="116"/>
      <c r="FJ3" s="116"/>
      <c r="FK3" s="116"/>
      <c r="FL3" s="116"/>
      <c r="FM3" s="116"/>
      <c r="FN3" s="116"/>
      <c r="FO3" s="116"/>
      <c r="FP3" s="116"/>
      <c r="FQ3" s="116"/>
      <c r="FR3" s="116"/>
      <c r="FS3" s="116"/>
      <c r="FT3" s="116"/>
      <c r="FU3" s="116"/>
      <c r="FV3" s="116"/>
      <c r="FW3" s="116"/>
      <c r="FX3" s="116"/>
      <c r="FY3" s="116"/>
      <c r="FZ3" s="116"/>
      <c r="GA3" s="116"/>
      <c r="GB3" s="116"/>
      <c r="GC3" s="116"/>
      <c r="GD3" s="116"/>
      <c r="GE3" s="116"/>
      <c r="GF3" s="116"/>
      <c r="GG3" s="116"/>
      <c r="GH3" s="116"/>
      <c r="GI3" s="116"/>
      <c r="GJ3" s="116"/>
      <c r="GK3" s="116"/>
      <c r="GL3" s="116"/>
      <c r="GM3" s="116"/>
      <c r="GN3" s="116"/>
      <c r="GO3" s="116"/>
      <c r="GP3" s="116"/>
      <c r="GQ3" s="116"/>
      <c r="GR3" s="116"/>
      <c r="GS3" s="116"/>
      <c r="GT3" s="116"/>
      <c r="GU3" s="116"/>
      <c r="GV3" s="116"/>
      <c r="GW3" s="116"/>
      <c r="GX3" s="116"/>
      <c r="GY3" s="116"/>
      <c r="GZ3" s="116"/>
      <c r="HA3" s="116"/>
      <c r="HB3" s="116"/>
      <c r="HC3" s="116"/>
      <c r="HD3" s="116"/>
      <c r="HE3" s="116"/>
      <c r="HF3" s="116"/>
      <c r="HG3" s="116"/>
      <c r="HH3" s="116"/>
      <c r="HI3" s="116"/>
      <c r="HJ3" s="116"/>
      <c r="HK3" s="116"/>
      <c r="HL3" s="116"/>
      <c r="HM3" s="116"/>
      <c r="HN3" s="116"/>
      <c r="HO3" s="116"/>
      <c r="HP3" s="116"/>
      <c r="HQ3" s="116"/>
      <c r="HR3" s="116"/>
      <c r="HS3" s="116"/>
      <c r="HT3" s="116"/>
      <c r="HU3" s="116"/>
      <c r="HV3" s="116"/>
      <c r="HW3" s="116"/>
      <c r="HX3" s="116"/>
      <c r="HY3" s="116"/>
      <c r="HZ3" s="116"/>
      <c r="IA3" s="116"/>
      <c r="IB3" s="116"/>
      <c r="IC3" s="116"/>
      <c r="ID3" s="116"/>
      <c r="IE3" s="116"/>
      <c r="IF3" s="116"/>
      <c r="IG3" s="116"/>
      <c r="IH3" s="116"/>
      <c r="II3" s="116"/>
      <c r="IJ3" s="116"/>
      <c r="IK3" s="116"/>
      <c r="IL3" s="116"/>
      <c r="IM3" s="116"/>
      <c r="IN3" s="116"/>
      <c r="IO3" s="116"/>
      <c r="IP3" s="116"/>
      <c r="IQ3" s="116"/>
      <c r="IR3" s="116"/>
      <c r="IS3" s="116"/>
      <c r="IT3" s="116"/>
      <c r="IU3" s="116"/>
      <c r="IV3" s="116"/>
    </row>
    <row r="4" spans="1:256" x14ac:dyDescent="0.2">
      <c r="A4" s="144"/>
      <c r="B4" s="145"/>
      <c r="C4" s="145"/>
      <c r="D4" s="145"/>
      <c r="E4" s="142"/>
      <c r="F4" s="142"/>
      <c r="G4" s="143"/>
    </row>
    <row r="5" spans="1:256" ht="12" customHeight="1" x14ac:dyDescent="0.2">
      <c r="A5" s="145" t="s">
        <v>784</v>
      </c>
      <c r="B5" s="142"/>
      <c r="C5" s="142"/>
      <c r="D5" s="142"/>
      <c r="E5" s="142"/>
      <c r="F5" s="142"/>
      <c r="G5" s="146"/>
    </row>
    <row r="6" spans="1:256" ht="24" x14ac:dyDescent="0.2">
      <c r="A6" s="145"/>
      <c r="B6" s="145"/>
      <c r="C6" s="145"/>
      <c r="D6" s="147" t="str">
        <f>CONCATENATE("Budget ",DoM!$B$6)</f>
        <v>Budget 2018</v>
      </c>
      <c r="E6" s="147" t="str">
        <f>CONCATENATE("Re-est. ",DoM!$B$5)</f>
        <v>Re-est. 2017</v>
      </c>
      <c r="F6" s="147" t="str">
        <f>CONCATENATE("Actual ",DoM!$B$6-2)</f>
        <v>Actual 2016</v>
      </c>
      <c r="G6" s="601" t="str">
        <f>CONCATENATE("Avg %",RIGHT(F6,2),"-",RIGHT(D6,2))</f>
        <v>Avg %16-18</v>
      </c>
    </row>
    <row r="7" spans="1:256" ht="12.4" customHeight="1" x14ac:dyDescent="0.2">
      <c r="A7" s="140" t="s">
        <v>785</v>
      </c>
      <c r="B7" s="148">
        <v>1</v>
      </c>
      <c r="C7" s="149"/>
      <c r="D7" s="150" t="e">
        <f>SUM(SUM(FY18WK1!D4:J4),SUM(FY18WK2!C4:H4))</f>
        <v>#N/A</v>
      </c>
      <c r="E7" s="150">
        <f>FY18WK2!I4</f>
        <v>0</v>
      </c>
      <c r="F7" s="150" t="e">
        <f>FY18WK2!J4</f>
        <v>#N/A</v>
      </c>
      <c r="G7" s="151" t="e">
        <f>IF(D7&gt;0,IF(F7=0,"NEW",(ROUND(SQRT(D7/F7)-1,4))),"")</f>
        <v>#N/A</v>
      </c>
    </row>
    <row r="8" spans="1:256" ht="12.4" customHeight="1" x14ac:dyDescent="0.2">
      <c r="A8" s="140" t="s">
        <v>786</v>
      </c>
      <c r="B8" s="148">
        <v>2</v>
      </c>
      <c r="C8" s="149"/>
      <c r="D8" s="150" t="e">
        <f>SUM(SUM(FY18WK1!D5:J5),SUM(FY18WK2!C5:H5))</f>
        <v>#N/A</v>
      </c>
      <c r="E8" s="150">
        <f>FY18WK2!I5</f>
        <v>0</v>
      </c>
      <c r="F8" s="150" t="e">
        <f>FY18WK2!J5</f>
        <v>#N/A</v>
      </c>
      <c r="G8" s="151" t="e">
        <f>IF(D8&gt;0,IF(F8=0," ",(ROUND(SQRT(D8/F8)-1,4))),"")</f>
        <v>#N/A</v>
      </c>
    </row>
    <row r="9" spans="1:256" ht="12.4" customHeight="1" x14ac:dyDescent="0.2">
      <c r="A9" s="140" t="s">
        <v>787</v>
      </c>
      <c r="B9" s="148">
        <v>3</v>
      </c>
      <c r="C9" s="149"/>
      <c r="D9" s="150">
        <f>SUM(SUM(FY18WK1!D6:J6),SUM(FY18WK2!C6:H6))</f>
        <v>0</v>
      </c>
      <c r="E9" s="150">
        <f>FY18WK2!I6</f>
        <v>0</v>
      </c>
      <c r="F9" s="150" t="e">
        <f>FY18WK2!J6</f>
        <v>#N/A</v>
      </c>
      <c r="G9" s="151" t="str">
        <f>IF(D9&gt;0,IF(F9=0,"NEW",(ROUND(SQRT(D9/F9)-1,4))),"")</f>
        <v/>
      </c>
    </row>
    <row r="10" spans="1:256" ht="12.4" customHeight="1" x14ac:dyDescent="0.2">
      <c r="A10" s="140" t="s">
        <v>788</v>
      </c>
      <c r="B10" s="148">
        <v>4</v>
      </c>
      <c r="C10" s="149"/>
      <c r="D10" s="150">
        <f>SUM(SUM(FY18WK1!D7:J7),SUM(FY18WK2!C7:H7))</f>
        <v>0</v>
      </c>
      <c r="E10" s="150">
        <f>FY18WK2!I7</f>
        <v>0</v>
      </c>
      <c r="F10" s="150" t="e">
        <f>FY18WK2!J7</f>
        <v>#N/A</v>
      </c>
      <c r="G10" s="152"/>
    </row>
    <row r="11" spans="1:256" ht="12.4" customHeight="1" x14ac:dyDescent="0.2">
      <c r="A11" s="140" t="s">
        <v>789</v>
      </c>
      <c r="B11" s="148">
        <v>5</v>
      </c>
      <c r="C11" s="149"/>
      <c r="D11" s="150">
        <f>SUM(SUM(FY18WK1!D8:J8),SUM(FY18WK2!C8:H8))</f>
        <v>0</v>
      </c>
      <c r="E11" s="150">
        <f>FY18WK2!I8</f>
        <v>0</v>
      </c>
      <c r="F11" s="150" t="e">
        <f>FY18WK2!J8</f>
        <v>#N/A</v>
      </c>
      <c r="G11" s="153"/>
    </row>
    <row r="12" spans="1:256" ht="12.4" customHeight="1" x14ac:dyDescent="0.2">
      <c r="A12" s="140" t="s">
        <v>790</v>
      </c>
      <c r="B12" s="148">
        <v>6</v>
      </c>
      <c r="C12" s="149"/>
      <c r="D12" s="150">
        <f>SUM(SUM(FY18WK1!D9:J9),SUM(FY18WK2!C9:H9))</f>
        <v>0</v>
      </c>
      <c r="E12" s="150">
        <f>FY18WK2!I9</f>
        <v>0</v>
      </c>
      <c r="F12" s="150" t="e">
        <f>FY18WK2!J9</f>
        <v>#N/A</v>
      </c>
      <c r="G12" s="153"/>
    </row>
    <row r="13" spans="1:256" ht="12.4" customHeight="1" x14ac:dyDescent="0.2">
      <c r="A13" s="140" t="s">
        <v>791</v>
      </c>
      <c r="B13" s="148">
        <v>7</v>
      </c>
      <c r="C13" s="149"/>
      <c r="D13" s="150">
        <f>SUM(SUM(FY18WK1!D10:J10),SUM(FY18WK2!C10:H10))</f>
        <v>0</v>
      </c>
      <c r="E13" s="150">
        <f>FY18WK2!I10</f>
        <v>0</v>
      </c>
      <c r="F13" s="150" t="e">
        <f>FY18WK2!J10</f>
        <v>#N/A</v>
      </c>
      <c r="G13" s="153"/>
    </row>
    <row r="14" spans="1:256" ht="12.4" customHeight="1" x14ac:dyDescent="0.2">
      <c r="A14" s="140" t="s">
        <v>792</v>
      </c>
      <c r="B14" s="148">
        <v>8</v>
      </c>
      <c r="C14" s="149"/>
      <c r="D14" s="150">
        <f>SUM(SUM(FY18WK1!D11:J11),SUM(FY18WK2!C11:H11))</f>
        <v>0</v>
      </c>
      <c r="E14" s="150">
        <f>FY18WK2!I11</f>
        <v>0</v>
      </c>
      <c r="F14" s="150" t="e">
        <f>FY18WK2!J11</f>
        <v>#N/A</v>
      </c>
      <c r="G14" s="153"/>
    </row>
    <row r="15" spans="1:256" ht="12.4" customHeight="1" x14ac:dyDescent="0.2">
      <c r="A15" s="140" t="s">
        <v>793</v>
      </c>
      <c r="B15" s="148">
        <v>9</v>
      </c>
      <c r="C15" s="149"/>
      <c r="D15" s="150">
        <f>SUM(SUM(FY18WK1!D12:J12),SUM(FY18WK2!C12:H12))</f>
        <v>0</v>
      </c>
      <c r="E15" s="150">
        <f>FY18WK2!I12</f>
        <v>0</v>
      </c>
      <c r="F15" s="150" t="e">
        <f>FY18WK2!J12</f>
        <v>#N/A</v>
      </c>
      <c r="G15" s="153"/>
    </row>
    <row r="16" spans="1:256" ht="12.4" customHeight="1" x14ac:dyDescent="0.2">
      <c r="A16" s="140" t="s">
        <v>794</v>
      </c>
      <c r="B16" s="148">
        <v>10</v>
      </c>
      <c r="C16" s="149"/>
      <c r="D16" s="150" t="e">
        <f>SUM(SUM(FY18WK1!D13:J13),SUM(FY18WK2!C13:H13))</f>
        <v>#N/A</v>
      </c>
      <c r="E16" s="150">
        <f>FY18WK2!I13</f>
        <v>0</v>
      </c>
      <c r="F16" s="150" t="e">
        <f>FY18WK2!J13</f>
        <v>#N/A</v>
      </c>
      <c r="G16" s="153"/>
    </row>
    <row r="17" spans="1:7" ht="12.4" customHeight="1" x14ac:dyDescent="0.2">
      <c r="A17" s="140" t="s">
        <v>795</v>
      </c>
      <c r="B17" s="148">
        <v>11</v>
      </c>
      <c r="C17" s="149"/>
      <c r="D17" s="150" t="e">
        <f>SUM(SUM(FY18WK1!D14:J14),SUM(FY18WK2!C14:H14))</f>
        <v>#N/A</v>
      </c>
      <c r="E17" s="150">
        <f>FY18WK2!I14</f>
        <v>0</v>
      </c>
      <c r="F17" s="150" t="e">
        <f>FY18WK2!J14</f>
        <v>#N/A</v>
      </c>
      <c r="G17" s="153"/>
    </row>
    <row r="18" spans="1:7" ht="12.4" customHeight="1" x14ac:dyDescent="0.2">
      <c r="A18" s="140" t="s">
        <v>796</v>
      </c>
      <c r="B18" s="148">
        <v>12</v>
      </c>
      <c r="C18" s="149"/>
      <c r="D18" s="150">
        <f>SUM(SUM(FY18WK1!D15:J15),SUM(FY18WK2!C15:H15))</f>
        <v>0</v>
      </c>
      <c r="E18" s="150">
        <f>FY18WK2!I15</f>
        <v>0</v>
      </c>
      <c r="F18" s="150" t="e">
        <f>FY18WK2!J15</f>
        <v>#N/A</v>
      </c>
      <c r="G18" s="153"/>
    </row>
    <row r="19" spans="1:7" ht="12.4" customHeight="1" x14ac:dyDescent="0.2">
      <c r="A19" s="140" t="s">
        <v>1645</v>
      </c>
      <c r="B19" s="148">
        <v>13</v>
      </c>
      <c r="C19" s="149"/>
      <c r="D19" s="150">
        <f>SUM(SUM(FY18WK1!D16:J16),SUM(FY18WK2!C16:H16))</f>
        <v>0</v>
      </c>
      <c r="E19" s="150">
        <f>FY18WK2!I16</f>
        <v>0</v>
      </c>
      <c r="F19" s="150" t="e">
        <f>FY18WK2!J16</f>
        <v>#N/A</v>
      </c>
      <c r="G19" s="153"/>
    </row>
    <row r="20" spans="1:7" ht="12.4" customHeight="1" x14ac:dyDescent="0.2">
      <c r="A20" s="140" t="s">
        <v>700</v>
      </c>
      <c r="B20" s="148">
        <v>14</v>
      </c>
      <c r="C20" s="149"/>
      <c r="D20" s="150">
        <f>SUM(SUM(FY18WK1!D17:J17),SUM(FY18WK2!C17:H17))</f>
        <v>0</v>
      </c>
      <c r="E20" s="150">
        <f>FY18WK2!I17</f>
        <v>0</v>
      </c>
      <c r="F20" s="150" t="e">
        <f>FY18WK2!J17</f>
        <v>#N/A</v>
      </c>
      <c r="G20" s="153"/>
    </row>
    <row r="21" spans="1:7" ht="12.4" customHeight="1" x14ac:dyDescent="0.2">
      <c r="A21" s="140" t="s">
        <v>922</v>
      </c>
      <c r="B21" s="148">
        <v>15</v>
      </c>
      <c r="C21" s="149"/>
      <c r="D21" s="150">
        <f>SUM(SUM(FY18WK1!D18:J18),SUM(FY18WK2!C18:H18))</f>
        <v>0</v>
      </c>
      <c r="E21" s="150">
        <f>FY18WK2!I18</f>
        <v>0</v>
      </c>
      <c r="F21" s="150" t="e">
        <f>FY18WK2!J18</f>
        <v>#N/A</v>
      </c>
      <c r="G21" s="153"/>
    </row>
    <row r="22" spans="1:7" ht="12.4" customHeight="1" x14ac:dyDescent="0.2">
      <c r="A22" s="140" t="s">
        <v>797</v>
      </c>
      <c r="B22" s="148">
        <v>16</v>
      </c>
      <c r="C22" s="149"/>
      <c r="D22" s="150" t="e">
        <f>SUM(SUM(FY18WK1!D19:J19),SUM(FY18WK2!C19:H19))</f>
        <v>#N/A</v>
      </c>
      <c r="E22" s="150">
        <f>FY18WK2!I19</f>
        <v>0</v>
      </c>
      <c r="F22" s="150" t="e">
        <f>FY18WK2!J19</f>
        <v>#N/A</v>
      </c>
      <c r="G22" s="153"/>
    </row>
    <row r="23" spans="1:7" ht="12.4" customHeight="1" x14ac:dyDescent="0.2">
      <c r="A23" s="140" t="s">
        <v>798</v>
      </c>
      <c r="B23" s="148">
        <v>17</v>
      </c>
      <c r="C23" s="149"/>
      <c r="D23" s="150">
        <f>SUM(SUM(FY18WK1!D20:J20),SUM(FY18WK2!C20:H20))</f>
        <v>0</v>
      </c>
      <c r="E23" s="150">
        <f>FY18WK2!I20</f>
        <v>0</v>
      </c>
      <c r="F23" s="150" t="e">
        <f>FY18WK2!J20</f>
        <v>#N/A</v>
      </c>
      <c r="G23" s="153"/>
    </row>
    <row r="24" spans="1:7" ht="12.4" customHeight="1" x14ac:dyDescent="0.2">
      <c r="A24" s="140" t="s">
        <v>1474</v>
      </c>
      <c r="B24" s="148">
        <v>18</v>
      </c>
      <c r="C24" s="149"/>
      <c r="D24" s="150">
        <f>SUM(SUM(FY18WK1!D21:J21),SUM(FY18WK2!C21:H21))</f>
        <v>0</v>
      </c>
      <c r="E24" s="150">
        <f>FY18WK2!I21</f>
        <v>0</v>
      </c>
      <c r="F24" s="150" t="e">
        <f>FY18WK2!J21</f>
        <v>#N/A</v>
      </c>
      <c r="G24" s="153"/>
    </row>
    <row r="25" spans="1:7" ht="12.4" customHeight="1" x14ac:dyDescent="0.2">
      <c r="A25" s="140" t="s">
        <v>799</v>
      </c>
      <c r="B25" s="148">
        <v>19</v>
      </c>
      <c r="C25" s="149"/>
      <c r="D25" s="150">
        <f>SUM(SUM(FY18WK1!D22:J22),SUM(FY18WK2!C22:H22))</f>
        <v>0</v>
      </c>
      <c r="E25" s="150">
        <f>FY18WK2!I22</f>
        <v>0</v>
      </c>
      <c r="F25" s="150" t="e">
        <f>FY18WK2!J22</f>
        <v>#N/A</v>
      </c>
      <c r="G25" s="153"/>
    </row>
    <row r="26" spans="1:7" ht="12.4" customHeight="1" x14ac:dyDescent="0.2">
      <c r="A26" s="140" t="s">
        <v>800</v>
      </c>
      <c r="B26" s="148">
        <v>20</v>
      </c>
      <c r="C26" s="149"/>
      <c r="D26" s="150" t="e">
        <f>SUM(SUM(FY18WK1!D23:J23),SUM(FY18WK2!C23:H23))</f>
        <v>#N/A</v>
      </c>
      <c r="E26" s="150">
        <f>FY18WK2!I23</f>
        <v>0</v>
      </c>
      <c r="F26" s="150" t="e">
        <f>FY18WK2!J23</f>
        <v>#N/A</v>
      </c>
      <c r="G26" s="153"/>
    </row>
    <row r="27" spans="1:7" ht="12.4" customHeight="1" x14ac:dyDescent="0.2">
      <c r="A27" s="140" t="s">
        <v>801</v>
      </c>
      <c r="B27" s="148">
        <v>21</v>
      </c>
      <c r="C27" s="149"/>
      <c r="D27" s="150" t="e">
        <f>SUM(SUM(FY18WK1!D24:J24),SUM(FY18WK2!C24:H24))</f>
        <v>#N/A</v>
      </c>
      <c r="E27" s="150" t="e">
        <f>FY18WK2!I24</f>
        <v>#N/A</v>
      </c>
      <c r="F27" s="150" t="e">
        <f>FY18WK2!J24</f>
        <v>#N/A</v>
      </c>
      <c r="G27" s="153"/>
    </row>
    <row r="28" spans="1:7" ht="12.4" customHeight="1" x14ac:dyDescent="0.2">
      <c r="A28" s="154" t="s">
        <v>802</v>
      </c>
      <c r="B28" s="148">
        <v>22</v>
      </c>
      <c r="C28" s="149"/>
      <c r="D28" s="150" t="e">
        <f>SUM(SUM(FY18WK1!D25:J25),SUM(FY18WK2!C25:H25))</f>
        <v>#N/A</v>
      </c>
      <c r="E28" s="150" t="e">
        <f>FY18WK2!I25</f>
        <v>#N/A</v>
      </c>
      <c r="F28" s="150" t="e">
        <f>FY18WK2!J25</f>
        <v>#N/A</v>
      </c>
      <c r="G28" s="155"/>
    </row>
    <row r="29" spans="1:7" ht="12.4" customHeight="1" x14ac:dyDescent="0.2">
      <c r="A29" s="156"/>
      <c r="B29" s="145"/>
      <c r="C29" s="145"/>
      <c r="D29" s="145"/>
      <c r="E29" s="145"/>
      <c r="F29" s="145"/>
      <c r="G29" s="157"/>
    </row>
    <row r="30" spans="1:7" ht="12.4" customHeight="1" x14ac:dyDescent="0.2">
      <c r="A30" s="158" t="s">
        <v>803</v>
      </c>
      <c r="B30" s="159">
        <v>23</v>
      </c>
      <c r="C30" s="149"/>
      <c r="D30" s="150">
        <f>SUM(SUM(FY18WK1!D27:J27),SUM(FY18WK2!C27:H27))</f>
        <v>0</v>
      </c>
      <c r="E30" s="150">
        <f>FY18WK2!I27</f>
        <v>0</v>
      </c>
      <c r="F30" s="150" t="e">
        <f>FY18WK2!J27</f>
        <v>#N/A</v>
      </c>
      <c r="G30" s="151" t="str">
        <f>IF(D30&gt;0,IF(F30=0,"NEW",(ROUND(SQRT(D30/F30)-1,4))),"")</f>
        <v/>
      </c>
    </row>
    <row r="31" spans="1:7" ht="12.4" customHeight="1" x14ac:dyDescent="0.2">
      <c r="A31" s="140" t="s">
        <v>804</v>
      </c>
      <c r="B31" s="148">
        <v>24</v>
      </c>
      <c r="C31" s="149"/>
      <c r="D31" s="150">
        <f>SUM(SUM(FY18WK1!D28:J28),SUM(FY18WK2!C28:H28))</f>
        <v>0</v>
      </c>
      <c r="E31" s="150">
        <f>FY18WK2!I28</f>
        <v>0</v>
      </c>
      <c r="F31" s="150" t="e">
        <f>FY18WK2!J28</f>
        <v>#N/A</v>
      </c>
      <c r="G31" s="152"/>
    </row>
    <row r="32" spans="1:7" ht="12.4" customHeight="1" x14ac:dyDescent="0.2">
      <c r="A32" s="140" t="s">
        <v>805</v>
      </c>
      <c r="B32" s="148">
        <v>25</v>
      </c>
      <c r="C32" s="149"/>
      <c r="D32" s="150">
        <f>SUM(SUM(FY18WK1!D29:J29),SUM(FY18WK2!C29:H29))</f>
        <v>0</v>
      </c>
      <c r="E32" s="150">
        <f>FY18WK2!I29</f>
        <v>0</v>
      </c>
      <c r="F32" s="150" t="e">
        <f>FY18WK2!J29</f>
        <v>#N/A</v>
      </c>
      <c r="G32" s="153"/>
    </row>
    <row r="33" spans="1:8" ht="12.4" customHeight="1" x14ac:dyDescent="0.2">
      <c r="A33" s="140" t="s">
        <v>806</v>
      </c>
      <c r="B33" s="148">
        <v>26</v>
      </c>
      <c r="C33" s="149"/>
      <c r="D33" s="150">
        <f>SUM(SUM(FY18WK1!D30:J30),SUM(FY18WK2!C30:H30))</f>
        <v>0</v>
      </c>
      <c r="E33" s="150">
        <f>FY18WK2!I30</f>
        <v>0</v>
      </c>
      <c r="F33" s="150" t="e">
        <f>FY18WK2!J30</f>
        <v>#N/A</v>
      </c>
      <c r="G33" s="153"/>
    </row>
    <row r="34" spans="1:8" ht="12.4" customHeight="1" x14ac:dyDescent="0.2">
      <c r="A34" s="140" t="s">
        <v>923</v>
      </c>
      <c r="B34" s="148">
        <v>27</v>
      </c>
      <c r="C34" s="149"/>
      <c r="D34" s="150">
        <f>SUM(SUM(FY18WK1!D31:J31),SUM(FY18WK2!C31:H31))</f>
        <v>0</v>
      </c>
      <c r="E34" s="150">
        <f>FY18WK2!I31</f>
        <v>0</v>
      </c>
      <c r="F34" s="150" t="e">
        <f>FY18WK2!J31</f>
        <v>#N/A</v>
      </c>
      <c r="G34" s="153"/>
    </row>
    <row r="35" spans="1:8" ht="12.4" customHeight="1" x14ac:dyDescent="0.2">
      <c r="A35" s="140" t="s">
        <v>1066</v>
      </c>
      <c r="B35" s="148">
        <v>28</v>
      </c>
      <c r="C35" s="149"/>
      <c r="D35" s="150">
        <f>SUM(SUM(FY18WK1!D32:J32),SUM(FY18WK2!C32:H32))</f>
        <v>0</v>
      </c>
      <c r="E35" s="150">
        <f>FY18WK2!I32</f>
        <v>0</v>
      </c>
      <c r="F35" s="150" t="e">
        <f>FY18WK2!J32</f>
        <v>#N/A</v>
      </c>
      <c r="G35" s="153"/>
    </row>
    <row r="36" spans="1:8" ht="12.4" customHeight="1" x14ac:dyDescent="0.2">
      <c r="A36" s="140" t="s">
        <v>807</v>
      </c>
      <c r="B36" s="148">
        <v>29</v>
      </c>
      <c r="C36" s="149"/>
      <c r="D36" s="150">
        <f>SUM(SUM(FY18WK1!D33:J33),SUM(FY18WK2!C33:H33))</f>
        <v>0</v>
      </c>
      <c r="E36" s="150">
        <f>FY18WK2!I33</f>
        <v>0</v>
      </c>
      <c r="F36" s="150" t="e">
        <f>FY18WK2!J33</f>
        <v>#N/A</v>
      </c>
      <c r="G36" s="153"/>
    </row>
    <row r="37" spans="1:8" ht="12.4" customHeight="1" x14ac:dyDescent="0.2">
      <c r="A37" s="140" t="s">
        <v>808</v>
      </c>
      <c r="B37" s="148">
        <v>30</v>
      </c>
      <c r="C37" s="149"/>
      <c r="D37" s="150">
        <f>SUM(SUM(FY18WK1!D34:J34),SUM(FY18WK2!C34:H34))</f>
        <v>0</v>
      </c>
      <c r="E37" s="150">
        <f>FY18WK2!I34</f>
        <v>0</v>
      </c>
      <c r="F37" s="150" t="e">
        <f>FY18WK2!J34</f>
        <v>#N/A</v>
      </c>
      <c r="G37" s="153"/>
    </row>
    <row r="38" spans="1:8" ht="12.4" customHeight="1" x14ac:dyDescent="0.2">
      <c r="A38" s="140" t="s">
        <v>924</v>
      </c>
      <c r="B38" s="148">
        <v>31</v>
      </c>
      <c r="C38" s="149"/>
      <c r="D38" s="150">
        <f>SUM(SUM(FY18WK1!D35:J35),SUM(FY18WK2!C35:H35))</f>
        <v>0</v>
      </c>
      <c r="E38" s="150">
        <f>FY18WK2!I35</f>
        <v>0</v>
      </c>
      <c r="F38" s="150">
        <f>FY18WK2!J35</f>
        <v>0</v>
      </c>
      <c r="G38" s="155"/>
    </row>
    <row r="39" spans="1:8" ht="12.4" customHeight="1" x14ac:dyDescent="0.2">
      <c r="A39" s="158" t="s">
        <v>809</v>
      </c>
      <c r="B39" s="159" t="s">
        <v>810</v>
      </c>
      <c r="C39" s="149"/>
      <c r="D39" s="150">
        <f>SUM(D31:D38)</f>
        <v>0</v>
      </c>
      <c r="E39" s="150">
        <f>SUM(E31:E38)</f>
        <v>0</v>
      </c>
      <c r="F39" s="150" t="e">
        <f>SUM(F31:F38)</f>
        <v>#N/A</v>
      </c>
      <c r="G39" s="151" t="str">
        <f>IF(D39&gt;0,IF(F39=0,"NEW",(ROUND(SQRT(D39/F39)-1,4))),"")</f>
        <v/>
      </c>
    </row>
    <row r="40" spans="1:8" ht="12.4" customHeight="1" x14ac:dyDescent="0.2">
      <c r="A40" s="158" t="s">
        <v>812</v>
      </c>
      <c r="B40" s="159">
        <v>32</v>
      </c>
      <c r="C40" s="149"/>
      <c r="D40" s="150">
        <f>SUM(SUM(FY18WK1!D36:J36),SUM(FY18WK2!C36:H36))</f>
        <v>0</v>
      </c>
      <c r="E40" s="150">
        <f>FY18WK2!I36</f>
        <v>0</v>
      </c>
      <c r="F40" s="150" t="e">
        <f>FY18WK2!J36</f>
        <v>#N/A</v>
      </c>
      <c r="G40" s="151" t="str">
        <f>IF(D40&gt;0,IF(F40=0,"NEW",(ROUND(SQRT(D40/F40)-1,4))),"")</f>
        <v/>
      </c>
    </row>
    <row r="41" spans="1:8" ht="12.4" customHeight="1" x14ac:dyDescent="0.2">
      <c r="A41" s="140" t="s">
        <v>813</v>
      </c>
      <c r="B41" s="148">
        <v>33</v>
      </c>
      <c r="C41" s="149"/>
      <c r="D41" s="150">
        <f>SUM(SUM(FY18WK1!D37:J37),SUM(FY18WK2!C37:H37))</f>
        <v>0</v>
      </c>
      <c r="E41" s="150">
        <f>FY18WK2!I37</f>
        <v>0</v>
      </c>
      <c r="F41" s="150" t="e">
        <f>FY18WK2!J37</f>
        <v>#N/A</v>
      </c>
      <c r="G41" s="152"/>
    </row>
    <row r="42" spans="1:8" ht="12.4" customHeight="1" x14ac:dyDescent="0.2">
      <c r="A42" s="140" t="s">
        <v>814</v>
      </c>
      <c r="B42" s="148">
        <v>34</v>
      </c>
      <c r="C42" s="149"/>
      <c r="D42" s="150">
        <f>SUM(SUM(FY18WK1!D38:J38),SUM(FY18WK2!C38:H38))</f>
        <v>0</v>
      </c>
      <c r="E42" s="150">
        <f>FY18WK2!I38</f>
        <v>0</v>
      </c>
      <c r="F42" s="150" t="e">
        <f>FY18WK2!J38</f>
        <v>#N/A</v>
      </c>
      <c r="G42" s="153"/>
    </row>
    <row r="43" spans="1:8" ht="12.4" customHeight="1" x14ac:dyDescent="0.2">
      <c r="A43" s="140" t="s">
        <v>815</v>
      </c>
      <c r="B43" s="148">
        <v>35</v>
      </c>
      <c r="C43" s="149"/>
      <c r="D43" s="150" t="e">
        <f>SUM(SUM(FY18WK1!D39:J39),SUM(FY18WK2!C39:H39))</f>
        <v>#N/A</v>
      </c>
      <c r="E43" s="150">
        <f>FY18WK2!I39</f>
        <v>0</v>
      </c>
      <c r="F43" s="150" t="e">
        <f>FY18WK2!J39</f>
        <v>#N/A</v>
      </c>
      <c r="G43" s="160"/>
      <c r="H43" s="145"/>
    </row>
    <row r="44" spans="1:8" ht="12.4" customHeight="1" x14ac:dyDescent="0.2">
      <c r="A44" s="158" t="s">
        <v>816</v>
      </c>
      <c r="B44" s="159" t="s">
        <v>817</v>
      </c>
      <c r="C44" s="149"/>
      <c r="D44" s="150" t="e">
        <f>SUM(D41:D43)</f>
        <v>#N/A</v>
      </c>
      <c r="E44" s="150">
        <f>SUM(E41:E43)</f>
        <v>0</v>
      </c>
      <c r="F44" s="150" t="e">
        <f>SUM(F41:F43)</f>
        <v>#N/A</v>
      </c>
      <c r="G44" s="151" t="e">
        <f>IF(D44&gt;0,IF(F44=0,"NEW",(ROUND(SQRT(D44/F44)-1,4))),"")</f>
        <v>#N/A</v>
      </c>
      <c r="H44" s="145"/>
    </row>
    <row r="45" spans="1:8" ht="12.4" customHeight="1" x14ac:dyDescent="0.2">
      <c r="A45" s="140" t="s">
        <v>818</v>
      </c>
      <c r="B45" s="148">
        <v>36</v>
      </c>
      <c r="C45" s="149"/>
      <c r="D45" s="150" t="e">
        <f>SUM(SUM(FY18WK1!D40:J40),SUM(FY18WK2!C40:H40))</f>
        <v>#N/A</v>
      </c>
      <c r="E45" s="150">
        <f>FY18WK2!I40</f>
        <v>0</v>
      </c>
      <c r="F45" s="150" t="e">
        <f>FY18WK2!J40</f>
        <v>#N/A</v>
      </c>
      <c r="G45" s="161"/>
      <c r="H45" s="145"/>
    </row>
    <row r="46" spans="1:8" ht="12.4" customHeight="1" x14ac:dyDescent="0.2">
      <c r="A46" s="140" t="s">
        <v>1475</v>
      </c>
      <c r="B46" s="148">
        <v>37</v>
      </c>
      <c r="C46" s="149"/>
      <c r="D46" s="150">
        <f>SUM(SUM(FY18WK1!D41:J41),SUM(FY18WK2!C41:H41))</f>
        <v>0</v>
      </c>
      <c r="E46" s="150">
        <f>FY18WK2!I41</f>
        <v>0</v>
      </c>
      <c r="F46" s="150" t="e">
        <f>FY18WK2!J41</f>
        <v>#N/A</v>
      </c>
      <c r="G46" s="153"/>
      <c r="H46" s="145"/>
    </row>
    <row r="47" spans="1:8" ht="12.4" customHeight="1" x14ac:dyDescent="0.2">
      <c r="A47" s="140" t="s">
        <v>819</v>
      </c>
      <c r="B47" s="148">
        <v>38</v>
      </c>
      <c r="C47" s="149"/>
      <c r="D47" s="150" t="e">
        <f>SUM(SUM(FY18WK1!D42:J42),SUM(FY18WK2!C42:H42))</f>
        <v>#N/A</v>
      </c>
      <c r="E47" s="150">
        <f>FY18WK2!I42</f>
        <v>0</v>
      </c>
      <c r="F47" s="150" t="e">
        <f>FY18WK2!J42</f>
        <v>#N/A</v>
      </c>
      <c r="G47" s="153"/>
      <c r="H47" s="145"/>
    </row>
    <row r="48" spans="1:8" ht="12.4" customHeight="1" x14ac:dyDescent="0.2">
      <c r="A48" s="140" t="s">
        <v>820</v>
      </c>
      <c r="B48" s="148">
        <v>39</v>
      </c>
      <c r="C48" s="149"/>
      <c r="D48" s="150" t="e">
        <f>SUM(SUM(FY18WK1!D43:J43),SUM(FY18WK2!C43:H43))</f>
        <v>#N/A</v>
      </c>
      <c r="E48" s="150" t="e">
        <f>FY18WK2!I43</f>
        <v>#N/A</v>
      </c>
      <c r="F48" s="150" t="e">
        <f>FY18WK2!J43</f>
        <v>#N/A</v>
      </c>
      <c r="G48" s="155"/>
      <c r="H48" s="145"/>
    </row>
    <row r="49" spans="1:8" ht="12.4" customHeight="1" x14ac:dyDescent="0.2">
      <c r="A49" s="154" t="s">
        <v>821</v>
      </c>
      <c r="B49" s="159">
        <v>40</v>
      </c>
      <c r="C49" s="149"/>
      <c r="D49" s="150" t="e">
        <f>SUM(SUM(FY18WK1!D44:J44),SUM(FY18WK2!C44:H44))</f>
        <v>#N/A</v>
      </c>
      <c r="E49" s="150" t="e">
        <f>FY18WK2!I44</f>
        <v>#N/A</v>
      </c>
      <c r="F49" s="150" t="e">
        <f>FY18WK2!J44</f>
        <v>#N/A</v>
      </c>
      <c r="G49" s="160"/>
      <c r="H49" s="145"/>
    </row>
    <row r="50" spans="1:8" ht="12.4" customHeight="1" x14ac:dyDescent="0.2">
      <c r="A50" s="145" t="s">
        <v>1308</v>
      </c>
      <c r="B50" s="145"/>
      <c r="C50" s="145"/>
      <c r="D50" s="162">
        <f>TaxCert!D50</f>
        <v>0</v>
      </c>
      <c r="E50" s="163"/>
      <c r="F50" s="169"/>
      <c r="G50" s="170"/>
    </row>
    <row r="51" spans="1:8" ht="12.4" customHeight="1" x14ac:dyDescent="0.2">
      <c r="A51" s="143" t="s">
        <v>822</v>
      </c>
      <c r="B51" s="164"/>
      <c r="C51" s="164"/>
      <c r="D51" s="164" t="s">
        <v>823</v>
      </c>
      <c r="E51" s="171"/>
      <c r="F51" s="171" t="s">
        <v>824</v>
      </c>
      <c r="G51" s="172"/>
    </row>
    <row r="52" spans="1:8" ht="12.4" customHeight="1" x14ac:dyDescent="0.2">
      <c r="A52" s="403"/>
      <c r="B52" s="405" t="s">
        <v>1471</v>
      </c>
      <c r="C52" s="164">
        <v>1</v>
      </c>
      <c r="D52" s="413"/>
      <c r="E52" s="171"/>
      <c r="F52" s="396"/>
      <c r="G52" s="171"/>
    </row>
    <row r="53" spans="1:8" ht="12.4" customHeight="1" thickBot="1" x14ac:dyDescent="0.25">
      <c r="A53" s="403"/>
      <c r="B53" s="405" t="s">
        <v>1471</v>
      </c>
      <c r="C53" s="164">
        <v>2</v>
      </c>
      <c r="D53" s="438"/>
      <c r="E53" s="414" t="s">
        <v>1471</v>
      </c>
      <c r="F53" s="439"/>
      <c r="G53" s="414" t="s">
        <v>1471</v>
      </c>
      <c r="H53" s="145"/>
    </row>
    <row r="54" spans="1:8" ht="12.4" customHeight="1" x14ac:dyDescent="0.2">
      <c r="A54" s="403"/>
      <c r="B54" s="405" t="s">
        <v>1471</v>
      </c>
      <c r="C54" s="164">
        <v>3</v>
      </c>
      <c r="D54" s="397" t="s">
        <v>1470</v>
      </c>
      <c r="E54" s="171"/>
      <c r="F54" s="397"/>
      <c r="G54" s="173"/>
      <c r="H54" s="145"/>
    </row>
    <row r="55" spans="1:8" ht="12.4" customHeight="1" x14ac:dyDescent="0.2">
      <c r="A55" s="145" t="str">
        <f>CONCATENATE("The Board of Directors will conduct a public hearing on the proposed ",DoM!$B$5,"/",RIGHT(DoM!$B$6,2)," school budget at the above-noted location")</f>
        <v>The Board of Directors will conduct a public hearing on the proposed 2017/18 school budget at the above-noted location</v>
      </c>
      <c r="B55" s="145"/>
      <c r="C55" s="145"/>
      <c r="D55" s="145"/>
      <c r="E55" s="145"/>
      <c r="F55" s="145"/>
      <c r="G55" s="143"/>
      <c r="H55" s="145"/>
    </row>
    <row r="56" spans="1:8" ht="12.4" customHeight="1" x14ac:dyDescent="0.2">
      <c r="A56" s="145" t="s">
        <v>1309</v>
      </c>
      <c r="B56" s="145"/>
      <c r="C56" s="145"/>
      <c r="D56" s="145"/>
      <c r="E56" s="145"/>
      <c r="F56" s="145"/>
      <c r="G56" s="143"/>
      <c r="H56" s="145"/>
    </row>
    <row r="57" spans="1:8" ht="12.4" customHeight="1" x14ac:dyDescent="0.2">
      <c r="A57" s="145" t="s">
        <v>1310</v>
      </c>
      <c r="B57" s="145"/>
      <c r="C57" s="145"/>
      <c r="D57" s="145"/>
      <c r="E57" s="145"/>
      <c r="F57" s="145"/>
      <c r="G57" s="143"/>
      <c r="H57" s="145"/>
    </row>
    <row r="58" spans="1:8" ht="12.4" customHeight="1" x14ac:dyDescent="0.2">
      <c r="A58" s="143" t="s">
        <v>1311</v>
      </c>
      <c r="B58" s="145"/>
      <c r="C58" s="145"/>
      <c r="D58" s="145"/>
      <c r="E58" s="145"/>
      <c r="F58" s="145"/>
      <c r="G58" s="143"/>
      <c r="H58" s="145"/>
    </row>
    <row r="59" spans="1:8" ht="12.75" x14ac:dyDescent="0.2">
      <c r="A59" s="165"/>
      <c r="B59" s="13"/>
      <c r="C59" s="145"/>
      <c r="D59" s="145"/>
      <c r="E59" s="145"/>
      <c r="F59" s="145"/>
      <c r="G59" s="143"/>
      <c r="H59" s="145"/>
    </row>
    <row r="60" spans="1:8" x14ac:dyDescent="0.2">
      <c r="A60" s="165"/>
      <c r="B60" s="145"/>
      <c r="C60" s="145"/>
      <c r="D60" s="145"/>
      <c r="E60" s="145"/>
      <c r="F60" s="145"/>
      <c r="G60" s="143"/>
      <c r="H60" s="145"/>
    </row>
    <row r="61" spans="1:8" x14ac:dyDescent="0.2">
      <c r="A61" s="165"/>
      <c r="B61" s="145"/>
      <c r="C61" s="145"/>
      <c r="D61" s="145"/>
      <c r="E61" s="145"/>
      <c r="F61" s="145"/>
      <c r="G61" s="143"/>
      <c r="H61" s="145"/>
    </row>
    <row r="62" spans="1:8" x14ac:dyDescent="0.2">
      <c r="A62" s="165"/>
      <c r="B62" s="145"/>
      <c r="C62" s="145"/>
      <c r="D62" s="145"/>
      <c r="E62" s="145"/>
      <c r="F62" s="145"/>
      <c r="G62" s="143"/>
      <c r="H62" s="145"/>
    </row>
    <row r="63" spans="1:8" x14ac:dyDescent="0.2">
      <c r="A63" s="143"/>
      <c r="B63" s="145"/>
      <c r="C63" s="145"/>
      <c r="D63" s="145"/>
      <c r="E63" s="145"/>
      <c r="F63" s="145"/>
      <c r="G63" s="143"/>
      <c r="H63" s="145"/>
    </row>
    <row r="64" spans="1:8" x14ac:dyDescent="0.2">
      <c r="A64" s="143"/>
      <c r="B64" s="145"/>
      <c r="C64" s="145"/>
      <c r="D64" s="145"/>
      <c r="E64" s="145"/>
      <c r="F64" s="145"/>
      <c r="G64" s="143"/>
      <c r="H64" s="145"/>
    </row>
    <row r="65" spans="1:8" x14ac:dyDescent="0.2">
      <c r="A65" s="143"/>
      <c r="B65" s="145"/>
      <c r="C65" s="145"/>
      <c r="D65" s="145"/>
      <c r="E65" s="145"/>
      <c r="F65" s="145"/>
      <c r="G65" s="143"/>
      <c r="H65" s="145"/>
    </row>
    <row r="66" spans="1:8" x14ac:dyDescent="0.2">
      <c r="A66" s="145"/>
      <c r="B66" s="145"/>
      <c r="C66" s="145"/>
      <c r="D66" s="145"/>
      <c r="E66" s="145"/>
      <c r="F66" s="145"/>
      <c r="G66" s="143"/>
    </row>
    <row r="67" spans="1:8" x14ac:dyDescent="0.2">
      <c r="A67" s="145"/>
      <c r="B67" s="145"/>
      <c r="C67" s="145"/>
      <c r="D67" s="145"/>
      <c r="E67" s="145"/>
      <c r="F67" s="145"/>
      <c r="G67" s="143"/>
    </row>
  </sheetData>
  <sheetProtection password="C47C" sheet="1" objects="1" scenarios="1"/>
  <customSheetViews>
    <customSheetView guid="{53CC1FF8-69F4-40AB-9E52-A9F35D642996}" showGridLines="0" fitToPage="1">
      <pane ySplit="6" topLeftCell="A7" activePane="bottomLeft" state="frozen"/>
      <selection pane="bottomLeft" activeCell="B23" sqref="B23"/>
      <pageMargins left="0.5" right="0.5" top="0.5" bottom="0.5" header="0.5" footer="0.5"/>
      <printOptions horizontalCentered="1" verticalCentered="1"/>
      <pageSetup orientation="portrait" horizontalDpi="1200" verticalDpi="1200" r:id="rId1"/>
      <headerFooter alignWithMargins="0"/>
    </customSheetView>
  </customSheetViews>
  <mergeCells count="3">
    <mergeCell ref="A1:F1"/>
    <mergeCell ref="A2:F2"/>
    <mergeCell ref="A3:F3"/>
  </mergeCells>
  <phoneticPr fontId="0" type="noConversion"/>
  <printOptions horizontalCentered="1" verticalCentered="1"/>
  <pageMargins left="0.5" right="0.5" top="0.5" bottom="0.5" header="0.5" footer="0.5"/>
  <pageSetup orientation="portrait" horizontalDpi="1200" verticalDpi="1200"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00FF"/>
    <pageSetUpPr fitToPage="1"/>
  </sheetPr>
  <dimension ref="A1:F50"/>
  <sheetViews>
    <sheetView showGridLines="0" zoomScale="75" workbookViewId="0">
      <pane ySplit="4" topLeftCell="A5" activePane="bottomLeft" state="frozen"/>
      <selection pane="bottomLeft" sqref="A1:F1"/>
    </sheetView>
  </sheetViews>
  <sheetFormatPr defaultColWidth="9" defaultRowHeight="12.75" x14ac:dyDescent="0.2"/>
  <cols>
    <col min="1" max="1" width="44.85546875" style="2" customWidth="1"/>
    <col min="2" max="2" width="4.5703125" style="2" customWidth="1"/>
    <col min="3" max="3" width="3.5703125" style="2" customWidth="1"/>
    <col min="4" max="6" width="16.5703125" style="2" customWidth="1"/>
    <col min="7" max="16384" width="9" style="2"/>
  </cols>
  <sheetData>
    <row r="1" spans="1:6" ht="16.5" x14ac:dyDescent="0.25">
      <c r="A1" s="891" t="str">
        <f>CONCATENATE("ADOPTED ",InputsResults!$K$3," SCHOOL BUDGET SUMMARY")</f>
        <v>ADOPTED  SCHOOL BUDGET SUMMARY</v>
      </c>
      <c r="B1" s="891"/>
      <c r="C1" s="891"/>
      <c r="D1" s="891"/>
      <c r="E1" s="891"/>
      <c r="F1" s="891"/>
    </row>
    <row r="2" spans="1:6" x14ac:dyDescent="0.2">
      <c r="A2" s="27"/>
      <c r="E2" s="26" t="s">
        <v>825</v>
      </c>
      <c r="F2" s="595" t="e">
        <f>InputsResults!$J$3</f>
        <v>#N/A</v>
      </c>
    </row>
    <row r="3" spans="1:6" x14ac:dyDescent="0.2">
      <c r="A3" s="3" t="s">
        <v>826</v>
      </c>
    </row>
    <row r="4" spans="1:6" x14ac:dyDescent="0.2">
      <c r="D4" s="410" t="str">
        <f>Proposed!D6</f>
        <v>Budget 2018</v>
      </c>
      <c r="E4" s="410" t="str">
        <f>Proposed!E6</f>
        <v>Re-est. 2017</v>
      </c>
      <c r="F4" s="410" t="str">
        <f>Proposed!F6</f>
        <v>Actual 2016</v>
      </c>
    </row>
    <row r="5" spans="1:6" x14ac:dyDescent="0.2">
      <c r="A5" s="4" t="s">
        <v>785</v>
      </c>
      <c r="B5" s="5">
        <v>1</v>
      </c>
      <c r="C5" s="6"/>
      <c r="D5" s="65" t="e">
        <f>SUM(SUM(FY18WK1!D4:J4),SUM(FY18WK2!C4:H4))</f>
        <v>#N/A</v>
      </c>
      <c r="E5" s="65">
        <f>Proposed!E7</f>
        <v>0</v>
      </c>
      <c r="F5" s="65" t="e">
        <f>Proposed!F7</f>
        <v>#N/A</v>
      </c>
    </row>
    <row r="6" spans="1:6" x14ac:dyDescent="0.2">
      <c r="A6" s="4" t="s">
        <v>786</v>
      </c>
      <c r="B6" s="5">
        <v>2</v>
      </c>
      <c r="C6" s="6"/>
      <c r="D6" s="65" t="e">
        <f>SUM(SUM(FY18WK1!D5:J5),SUM(FY18WK2!C5:H5))</f>
        <v>#N/A</v>
      </c>
      <c r="E6" s="65">
        <f>Proposed!E8</f>
        <v>0</v>
      </c>
      <c r="F6" s="65" t="e">
        <f>Proposed!F8</f>
        <v>#N/A</v>
      </c>
    </row>
    <row r="7" spans="1:6" x14ac:dyDescent="0.2">
      <c r="A7" s="4" t="s">
        <v>787</v>
      </c>
      <c r="B7" s="5">
        <v>3</v>
      </c>
      <c r="C7" s="6"/>
      <c r="D7" s="65">
        <f>SUM(SUM(FY18WK1!D6:J6),SUM(FY18WK2!C6:H6))</f>
        <v>0</v>
      </c>
      <c r="E7" s="65">
        <f>Proposed!E9</f>
        <v>0</v>
      </c>
      <c r="F7" s="65" t="e">
        <f>Proposed!F9</f>
        <v>#N/A</v>
      </c>
    </row>
    <row r="8" spans="1:6" x14ac:dyDescent="0.2">
      <c r="A8" s="4" t="s">
        <v>788</v>
      </c>
      <c r="B8" s="5">
        <v>4</v>
      </c>
      <c r="C8" s="6"/>
      <c r="D8" s="65">
        <f>SUM(SUM(FY18WK1!D7:J7),SUM(FY18WK2!C7:H7))</f>
        <v>0</v>
      </c>
      <c r="E8" s="65">
        <f>Proposed!E10</f>
        <v>0</v>
      </c>
      <c r="F8" s="65" t="e">
        <f>Proposed!F10</f>
        <v>#N/A</v>
      </c>
    </row>
    <row r="9" spans="1:6" x14ac:dyDescent="0.2">
      <c r="A9" s="4" t="s">
        <v>789</v>
      </c>
      <c r="B9" s="5">
        <v>5</v>
      </c>
      <c r="C9" s="6"/>
      <c r="D9" s="65">
        <f>SUM(SUM(FY18WK1!D8:J8),SUM(FY18WK2!C8:H8))</f>
        <v>0</v>
      </c>
      <c r="E9" s="65">
        <f>Proposed!E11</f>
        <v>0</v>
      </c>
      <c r="F9" s="65" t="e">
        <f>Proposed!F11</f>
        <v>#N/A</v>
      </c>
    </row>
    <row r="10" spans="1:6" x14ac:dyDescent="0.2">
      <c r="A10" s="4" t="s">
        <v>790</v>
      </c>
      <c r="B10" s="5">
        <v>6</v>
      </c>
      <c r="C10" s="6"/>
      <c r="D10" s="65">
        <f>SUM(SUM(FY18WK1!D9:J9),SUM(FY18WK2!C9:H9))</f>
        <v>0</v>
      </c>
      <c r="E10" s="65">
        <f>Proposed!E12</f>
        <v>0</v>
      </c>
      <c r="F10" s="65" t="e">
        <f>Proposed!F12</f>
        <v>#N/A</v>
      </c>
    </row>
    <row r="11" spans="1:6" x14ac:dyDescent="0.2">
      <c r="A11" s="4" t="s">
        <v>791</v>
      </c>
      <c r="B11" s="5">
        <v>7</v>
      </c>
      <c r="C11" s="6"/>
      <c r="D11" s="65">
        <f>SUM(SUM(FY18WK1!D10:J10),SUM(FY18WK2!C10:H10))</f>
        <v>0</v>
      </c>
      <c r="E11" s="65">
        <f>Proposed!E13</f>
        <v>0</v>
      </c>
      <c r="F11" s="65" t="e">
        <f>Proposed!F13</f>
        <v>#N/A</v>
      </c>
    </row>
    <row r="12" spans="1:6" x14ac:dyDescent="0.2">
      <c r="A12" s="4" t="s">
        <v>792</v>
      </c>
      <c r="B12" s="5">
        <v>8</v>
      </c>
      <c r="C12" s="6"/>
      <c r="D12" s="65">
        <f>SUM(SUM(FY18WK1!D11:J11),SUM(FY18WK2!C11:H11))</f>
        <v>0</v>
      </c>
      <c r="E12" s="65">
        <f>Proposed!E14</f>
        <v>0</v>
      </c>
      <c r="F12" s="65" t="e">
        <f>Proposed!F14</f>
        <v>#N/A</v>
      </c>
    </row>
    <row r="13" spans="1:6" x14ac:dyDescent="0.2">
      <c r="A13" s="4" t="s">
        <v>793</v>
      </c>
      <c r="B13" s="5">
        <v>9</v>
      </c>
      <c r="C13" s="6"/>
      <c r="D13" s="65">
        <f>SUM(SUM(FY18WK1!D12:J12),SUM(FY18WK2!C12:H12))</f>
        <v>0</v>
      </c>
      <c r="E13" s="65">
        <f>Proposed!E15</f>
        <v>0</v>
      </c>
      <c r="F13" s="65" t="e">
        <f>Proposed!F15</f>
        <v>#N/A</v>
      </c>
    </row>
    <row r="14" spans="1:6" x14ac:dyDescent="0.2">
      <c r="A14" s="4" t="s">
        <v>794</v>
      </c>
      <c r="B14" s="5">
        <v>10</v>
      </c>
      <c r="C14" s="6"/>
      <c r="D14" s="65" t="e">
        <f>SUM(SUM(FY18WK1!D13:J13),SUM(FY18WK2!C13:H13))</f>
        <v>#N/A</v>
      </c>
      <c r="E14" s="65">
        <f>Proposed!E16</f>
        <v>0</v>
      </c>
      <c r="F14" s="65" t="e">
        <f>Proposed!F16</f>
        <v>#N/A</v>
      </c>
    </row>
    <row r="15" spans="1:6" x14ac:dyDescent="0.2">
      <c r="A15" s="4" t="s">
        <v>795</v>
      </c>
      <c r="B15" s="5">
        <v>11</v>
      </c>
      <c r="C15" s="6"/>
      <c r="D15" s="65" t="e">
        <f>SUM(SUM(FY18WK1!D14:J14),SUM(FY18WK2!C14:H14))</f>
        <v>#N/A</v>
      </c>
      <c r="E15" s="65">
        <f>Proposed!E17</f>
        <v>0</v>
      </c>
      <c r="F15" s="65" t="e">
        <f>Proposed!F17</f>
        <v>#N/A</v>
      </c>
    </row>
    <row r="16" spans="1:6" x14ac:dyDescent="0.2">
      <c r="A16" s="4" t="s">
        <v>796</v>
      </c>
      <c r="B16" s="5">
        <v>12</v>
      </c>
      <c r="C16" s="6"/>
      <c r="D16" s="65">
        <f>SUM(SUM(FY18WK1!D15:J15),SUM(FY18WK2!C15:H15))</f>
        <v>0</v>
      </c>
      <c r="E16" s="65">
        <f>Proposed!E18</f>
        <v>0</v>
      </c>
      <c r="F16" s="65" t="e">
        <f>Proposed!F18</f>
        <v>#N/A</v>
      </c>
    </row>
    <row r="17" spans="1:6" x14ac:dyDescent="0.2">
      <c r="A17" s="4" t="s">
        <v>1645</v>
      </c>
      <c r="B17" s="5">
        <v>13</v>
      </c>
      <c r="C17" s="6"/>
      <c r="D17" s="65">
        <f>SUM(SUM(FY18WK1!D16:J16),SUM(FY18WK2!C16:H16))</f>
        <v>0</v>
      </c>
      <c r="E17" s="65">
        <f>Proposed!E19</f>
        <v>0</v>
      </c>
      <c r="F17" s="65" t="e">
        <f>Proposed!F19</f>
        <v>#N/A</v>
      </c>
    </row>
    <row r="18" spans="1:6" x14ac:dyDescent="0.2">
      <c r="A18" s="4" t="s">
        <v>700</v>
      </c>
      <c r="B18" s="5">
        <v>14</v>
      </c>
      <c r="C18" s="6"/>
      <c r="D18" s="65">
        <f>SUM(SUM(FY18WK1!D17:J17),SUM(FY18WK2!C17:H17))</f>
        <v>0</v>
      </c>
      <c r="E18" s="65">
        <f>Proposed!E20</f>
        <v>0</v>
      </c>
      <c r="F18" s="65" t="e">
        <f>Proposed!F20</f>
        <v>#N/A</v>
      </c>
    </row>
    <row r="19" spans="1:6" x14ac:dyDescent="0.2">
      <c r="A19" s="4" t="s">
        <v>922</v>
      </c>
      <c r="B19" s="5">
        <v>15</v>
      </c>
      <c r="C19" s="6"/>
      <c r="D19" s="65">
        <f>SUM(SUM(FY18WK1!D18:J18),SUM(FY18WK2!C18:H18))</f>
        <v>0</v>
      </c>
      <c r="E19" s="65">
        <f>Proposed!E21</f>
        <v>0</v>
      </c>
      <c r="F19" s="65" t="e">
        <f>Proposed!F21</f>
        <v>#N/A</v>
      </c>
    </row>
    <row r="20" spans="1:6" x14ac:dyDescent="0.2">
      <c r="A20" s="4" t="s">
        <v>797</v>
      </c>
      <c r="B20" s="5">
        <v>16</v>
      </c>
      <c r="C20" s="6"/>
      <c r="D20" s="65" t="e">
        <f>SUM(SUM(FY18WK1!D19:J19),SUM(FY18WK2!C19:H19))</f>
        <v>#N/A</v>
      </c>
      <c r="E20" s="65">
        <f>Proposed!E22</f>
        <v>0</v>
      </c>
      <c r="F20" s="65" t="e">
        <f>Proposed!F22</f>
        <v>#N/A</v>
      </c>
    </row>
    <row r="21" spans="1:6" x14ac:dyDescent="0.2">
      <c r="A21" s="4" t="s">
        <v>798</v>
      </c>
      <c r="B21" s="5">
        <v>17</v>
      </c>
      <c r="C21" s="6"/>
      <c r="D21" s="65">
        <f>SUM(SUM(FY18WK1!D20:J20),SUM(FY18WK2!C20:H20))</f>
        <v>0</v>
      </c>
      <c r="E21" s="65">
        <f>Proposed!E23</f>
        <v>0</v>
      </c>
      <c r="F21" s="65" t="e">
        <f>Proposed!F23</f>
        <v>#N/A</v>
      </c>
    </row>
    <row r="22" spans="1:6" x14ac:dyDescent="0.2">
      <c r="A22" s="4" t="s">
        <v>1474</v>
      </c>
      <c r="B22" s="5">
        <v>18</v>
      </c>
      <c r="C22" s="6"/>
      <c r="D22" s="65">
        <f>SUM(SUM(FY18WK1!D21:J21),SUM(FY18WK2!C21:H21))</f>
        <v>0</v>
      </c>
      <c r="E22" s="65">
        <f>Proposed!E24</f>
        <v>0</v>
      </c>
      <c r="F22" s="65" t="e">
        <f>Proposed!F24</f>
        <v>#N/A</v>
      </c>
    </row>
    <row r="23" spans="1:6" x14ac:dyDescent="0.2">
      <c r="A23" s="4" t="s">
        <v>799</v>
      </c>
      <c r="B23" s="5">
        <v>19</v>
      </c>
      <c r="C23" s="6"/>
      <c r="D23" s="65">
        <f>SUM(SUM(FY18WK1!D22:J22),SUM(FY18WK2!C22:H22))</f>
        <v>0</v>
      </c>
      <c r="E23" s="65">
        <f>Proposed!E25</f>
        <v>0</v>
      </c>
      <c r="F23" s="65" t="e">
        <f>Proposed!F25</f>
        <v>#N/A</v>
      </c>
    </row>
    <row r="24" spans="1:6" x14ac:dyDescent="0.2">
      <c r="A24" s="4" t="s">
        <v>800</v>
      </c>
      <c r="B24" s="5">
        <v>20</v>
      </c>
      <c r="C24" s="6"/>
      <c r="D24" s="65" t="e">
        <f>SUM(SUM(FY18WK1!D23:J23),SUM(FY18WK2!C23:H23))</f>
        <v>#N/A</v>
      </c>
      <c r="E24" s="65">
        <f>Proposed!E26</f>
        <v>0</v>
      </c>
      <c r="F24" s="65" t="e">
        <f>Proposed!F26</f>
        <v>#N/A</v>
      </c>
    </row>
    <row r="25" spans="1:6" x14ac:dyDescent="0.2">
      <c r="A25" s="4" t="s">
        <v>801</v>
      </c>
      <c r="B25" s="5">
        <v>21</v>
      </c>
      <c r="C25" s="6"/>
      <c r="D25" s="65" t="e">
        <f>SUM(SUM(FY18WK1!D24:J24),SUM(FY18WK2!C24:H24))</f>
        <v>#N/A</v>
      </c>
      <c r="E25" s="65" t="e">
        <f>Proposed!E27</f>
        <v>#N/A</v>
      </c>
      <c r="F25" s="65" t="e">
        <f>Proposed!F27</f>
        <v>#N/A</v>
      </c>
    </row>
    <row r="26" spans="1:6" ht="13.5" x14ac:dyDescent="0.25">
      <c r="A26" s="354" t="s">
        <v>802</v>
      </c>
      <c r="B26" s="5">
        <v>22</v>
      </c>
      <c r="C26" s="6"/>
      <c r="D26" s="65" t="e">
        <f>SUM(SUM(FY18WK1!D25:J25),SUM(FY18WK2!C25:H25))</f>
        <v>#N/A</v>
      </c>
      <c r="E26" s="65" t="e">
        <f>Proposed!E28</f>
        <v>#N/A</v>
      </c>
      <c r="F26" s="65" t="e">
        <f>Proposed!F28</f>
        <v>#N/A</v>
      </c>
    </row>
    <row r="27" spans="1:6" x14ac:dyDescent="0.2">
      <c r="D27" s="64"/>
      <c r="E27" s="64"/>
      <c r="F27" s="64"/>
    </row>
    <row r="28" spans="1:6" ht="13.5" x14ac:dyDescent="0.25">
      <c r="A28" s="8" t="s">
        <v>803</v>
      </c>
      <c r="B28" s="5">
        <v>23</v>
      </c>
      <c r="C28" s="6"/>
      <c r="D28" s="65">
        <f>SUM(SUM(FY18WK1!D27:J27),SUM(FY18WK2!C27:H27))</f>
        <v>0</v>
      </c>
      <c r="E28" s="65">
        <f>Proposed!E30</f>
        <v>0</v>
      </c>
      <c r="F28" s="65" t="e">
        <f>Proposed!F30</f>
        <v>#N/A</v>
      </c>
    </row>
    <row r="29" spans="1:6" x14ac:dyDescent="0.2">
      <c r="A29" s="4" t="s">
        <v>804</v>
      </c>
      <c r="B29" s="5">
        <v>24</v>
      </c>
      <c r="C29" s="6"/>
      <c r="D29" s="65">
        <f>SUM(SUM(FY18WK1!D28:J28),SUM(FY18WK2!C28:H28))</f>
        <v>0</v>
      </c>
      <c r="E29" s="65">
        <f>Proposed!E31</f>
        <v>0</v>
      </c>
      <c r="F29" s="65" t="e">
        <f>Proposed!F31</f>
        <v>#N/A</v>
      </c>
    </row>
    <row r="30" spans="1:6" x14ac:dyDescent="0.2">
      <c r="A30" s="4" t="s">
        <v>805</v>
      </c>
      <c r="B30" s="5">
        <v>25</v>
      </c>
      <c r="C30" s="6"/>
      <c r="D30" s="65">
        <f>SUM(SUM(FY18WK1!D29:J29),SUM(FY18WK2!C29:H29))</f>
        <v>0</v>
      </c>
      <c r="E30" s="65">
        <f>Proposed!E32</f>
        <v>0</v>
      </c>
      <c r="F30" s="65" t="e">
        <f>Proposed!F32</f>
        <v>#N/A</v>
      </c>
    </row>
    <row r="31" spans="1:6" x14ac:dyDescent="0.2">
      <c r="A31" s="4" t="s">
        <v>806</v>
      </c>
      <c r="B31" s="5">
        <v>26</v>
      </c>
      <c r="C31" s="6"/>
      <c r="D31" s="65">
        <f>SUM(SUM(FY18WK1!D30:J30),SUM(FY18WK2!C30:H30))</f>
        <v>0</v>
      </c>
      <c r="E31" s="65">
        <f>Proposed!E33</f>
        <v>0</v>
      </c>
      <c r="F31" s="65" t="e">
        <f>Proposed!F33</f>
        <v>#N/A</v>
      </c>
    </row>
    <row r="32" spans="1:6" x14ac:dyDescent="0.2">
      <c r="A32" s="4" t="s">
        <v>923</v>
      </c>
      <c r="B32" s="5">
        <v>27</v>
      </c>
      <c r="C32" s="6"/>
      <c r="D32" s="65">
        <f>SUM(SUM(FY18WK1!D31:J31),SUM(FY18WK2!C31:H31))</f>
        <v>0</v>
      </c>
      <c r="E32" s="65">
        <f>Proposed!E34</f>
        <v>0</v>
      </c>
      <c r="F32" s="65" t="e">
        <f>Proposed!F34</f>
        <v>#N/A</v>
      </c>
    </row>
    <row r="33" spans="1:6" x14ac:dyDescent="0.2">
      <c r="A33" s="4" t="s">
        <v>1066</v>
      </c>
      <c r="B33" s="5">
        <v>28</v>
      </c>
      <c r="C33" s="6"/>
      <c r="D33" s="65">
        <f>SUM(SUM(FY18WK1!D32:J32),SUM(FY18WK2!C32:H32))</f>
        <v>0</v>
      </c>
      <c r="E33" s="65">
        <f>Proposed!E35</f>
        <v>0</v>
      </c>
      <c r="F33" s="65" t="e">
        <f>Proposed!F35</f>
        <v>#N/A</v>
      </c>
    </row>
    <row r="34" spans="1:6" x14ac:dyDescent="0.2">
      <c r="A34" s="4" t="s">
        <v>807</v>
      </c>
      <c r="B34" s="5">
        <v>29</v>
      </c>
      <c r="C34" s="6"/>
      <c r="D34" s="65">
        <f>SUM(SUM(FY18WK1!D33:J33),SUM(FY18WK2!C33:H33))</f>
        <v>0</v>
      </c>
      <c r="E34" s="65">
        <f>Proposed!E36</f>
        <v>0</v>
      </c>
      <c r="F34" s="65" t="e">
        <f>Proposed!F36</f>
        <v>#N/A</v>
      </c>
    </row>
    <row r="35" spans="1:6" x14ac:dyDescent="0.2">
      <c r="A35" s="4" t="s">
        <v>808</v>
      </c>
      <c r="B35" s="5">
        <v>30</v>
      </c>
      <c r="C35" s="6"/>
      <c r="D35" s="65">
        <f>SUM(SUM(FY18WK1!D34:J34),SUM(FY18WK2!C34:H34))</f>
        <v>0</v>
      </c>
      <c r="E35" s="65">
        <f>Proposed!E37</f>
        <v>0</v>
      </c>
      <c r="F35" s="65" t="e">
        <f>Proposed!F37</f>
        <v>#N/A</v>
      </c>
    </row>
    <row r="36" spans="1:6" x14ac:dyDescent="0.2">
      <c r="A36" s="140" t="s">
        <v>924</v>
      </c>
      <c r="B36" s="5">
        <v>31</v>
      </c>
      <c r="C36" s="6"/>
      <c r="D36" s="65">
        <f>SUM(SUM(FY18WK1!D35:J35),SUM(FY18WK2!C35:H35))</f>
        <v>0</v>
      </c>
      <c r="E36" s="65">
        <f>Proposed!E38</f>
        <v>0</v>
      </c>
      <c r="F36" s="65">
        <f>Proposed!F38</f>
        <v>0</v>
      </c>
    </row>
    <row r="37" spans="1:6" ht="13.5" x14ac:dyDescent="0.25">
      <c r="A37" s="8" t="s">
        <v>809</v>
      </c>
      <c r="B37" s="111" t="s">
        <v>810</v>
      </c>
      <c r="C37" s="6"/>
      <c r="D37" s="65">
        <f>SUM(D29:D36)</f>
        <v>0</v>
      </c>
      <c r="E37" s="65">
        <f>Proposed!E39</f>
        <v>0</v>
      </c>
      <c r="F37" s="65" t="e">
        <f>Proposed!F39</f>
        <v>#N/A</v>
      </c>
    </row>
    <row r="38" spans="1:6" ht="13.5" x14ac:dyDescent="0.25">
      <c r="A38" s="8" t="s">
        <v>812</v>
      </c>
      <c r="B38" s="5">
        <v>32</v>
      </c>
      <c r="C38" s="6"/>
      <c r="D38" s="65">
        <f>SUM(SUM(FY18WK1!D36:J36),SUM(FY18WK2!C36:H36))</f>
        <v>0</v>
      </c>
      <c r="E38" s="65">
        <f>Proposed!E40</f>
        <v>0</v>
      </c>
      <c r="F38" s="65" t="e">
        <f>Proposed!F40</f>
        <v>#N/A</v>
      </c>
    </row>
    <row r="39" spans="1:6" x14ac:dyDescent="0.2">
      <c r="A39" s="4" t="s">
        <v>813</v>
      </c>
      <c r="B39" s="5">
        <v>33</v>
      </c>
      <c r="C39" s="6"/>
      <c r="D39" s="65">
        <f>SUM(SUM(FY18WK1!D37:J37),SUM(FY18WK2!C37:H37))</f>
        <v>0</v>
      </c>
      <c r="E39" s="65">
        <f>Proposed!E41</f>
        <v>0</v>
      </c>
      <c r="F39" s="65" t="e">
        <f>Proposed!F41</f>
        <v>#N/A</v>
      </c>
    </row>
    <row r="40" spans="1:6" x14ac:dyDescent="0.2">
      <c r="A40" s="4" t="s">
        <v>814</v>
      </c>
      <c r="B40" s="5">
        <v>34</v>
      </c>
      <c r="C40" s="6"/>
      <c r="D40" s="65">
        <f>SUM(SUM(FY18WK1!D38:J38),SUM(FY18WK2!C38:H38))</f>
        <v>0</v>
      </c>
      <c r="E40" s="65">
        <f>Proposed!E42</f>
        <v>0</v>
      </c>
      <c r="F40" s="65" t="e">
        <f>Proposed!F42</f>
        <v>#N/A</v>
      </c>
    </row>
    <row r="41" spans="1:6" x14ac:dyDescent="0.2">
      <c r="A41" s="4" t="s">
        <v>815</v>
      </c>
      <c r="B41" s="5">
        <v>35</v>
      </c>
      <c r="C41" s="6"/>
      <c r="D41" s="65" t="e">
        <f>SUM(SUM(FY18WK1!D39:J39),SUM(FY18WK2!C39:H39))</f>
        <v>#N/A</v>
      </c>
      <c r="E41" s="65">
        <f>Proposed!E43</f>
        <v>0</v>
      </c>
      <c r="F41" s="65" t="e">
        <f>Proposed!F43</f>
        <v>#N/A</v>
      </c>
    </row>
    <row r="42" spans="1:6" ht="13.5" x14ac:dyDescent="0.25">
      <c r="A42" s="8" t="s">
        <v>816</v>
      </c>
      <c r="B42" s="111" t="s">
        <v>817</v>
      </c>
      <c r="C42" s="6"/>
      <c r="D42" s="65" t="e">
        <f>SUM(D39:D41)</f>
        <v>#N/A</v>
      </c>
      <c r="E42" s="65">
        <f>Proposed!E44</f>
        <v>0</v>
      </c>
      <c r="F42" s="65" t="e">
        <f>Proposed!F44</f>
        <v>#N/A</v>
      </c>
    </row>
    <row r="43" spans="1:6" x14ac:dyDescent="0.2">
      <c r="A43" s="4" t="s">
        <v>818</v>
      </c>
      <c r="B43" s="5">
        <v>36</v>
      </c>
      <c r="C43" s="6"/>
      <c r="D43" s="65" t="e">
        <f>SUM(SUM(FY18WK1!D40:J40),SUM(FY18WK2!C40:H40))</f>
        <v>#N/A</v>
      </c>
      <c r="E43" s="65">
        <f>Proposed!E45</f>
        <v>0</v>
      </c>
      <c r="F43" s="65" t="e">
        <f>Proposed!F45</f>
        <v>#N/A</v>
      </c>
    </row>
    <row r="44" spans="1:6" x14ac:dyDescent="0.2">
      <c r="A44" s="4" t="s">
        <v>1475</v>
      </c>
      <c r="B44" s="5">
        <v>37</v>
      </c>
      <c r="C44" s="6"/>
      <c r="D44" s="65">
        <f>SUM(SUM(FY18WK1!D41:J41),SUM(FY18WK2!C41:H41))</f>
        <v>0</v>
      </c>
      <c r="E44" s="65">
        <f>Proposed!E46</f>
        <v>0</v>
      </c>
      <c r="F44" s="65" t="e">
        <f>Proposed!F46</f>
        <v>#N/A</v>
      </c>
    </row>
    <row r="45" spans="1:6" x14ac:dyDescent="0.2">
      <c r="A45" s="4" t="s">
        <v>819</v>
      </c>
      <c r="B45" s="5">
        <v>38</v>
      </c>
      <c r="C45" s="6"/>
      <c r="D45" s="65" t="e">
        <f>SUM(SUM(FY18WK1!D42:J42),SUM(FY18WK2!C42:H42))</f>
        <v>#N/A</v>
      </c>
      <c r="E45" s="65">
        <f>Proposed!E47</f>
        <v>0</v>
      </c>
      <c r="F45" s="65" t="e">
        <f>Proposed!F47</f>
        <v>#N/A</v>
      </c>
    </row>
    <row r="46" spans="1:6" x14ac:dyDescent="0.2">
      <c r="A46" s="4" t="s">
        <v>820</v>
      </c>
      <c r="B46" s="5">
        <v>39</v>
      </c>
      <c r="C46" s="6"/>
      <c r="D46" s="65" t="e">
        <f>SUM(SUM(FY18WK1!D43:J43),SUM(FY18WK2!C43:H43))</f>
        <v>#N/A</v>
      </c>
      <c r="E46" s="65" t="e">
        <f>Proposed!E48</f>
        <v>#N/A</v>
      </c>
      <c r="F46" s="65" t="e">
        <f>Proposed!F48</f>
        <v>#N/A</v>
      </c>
    </row>
    <row r="47" spans="1:6" x14ac:dyDescent="0.2">
      <c r="A47" s="7" t="s">
        <v>821</v>
      </c>
      <c r="B47" s="5">
        <v>40</v>
      </c>
      <c r="C47" s="6"/>
      <c r="D47" s="65" t="e">
        <f>SUM(SUM(FY18WK1!D44:J44),SUM(FY18WK2!C44:H44))</f>
        <v>#N/A</v>
      </c>
      <c r="E47" s="65" t="e">
        <f>Proposed!E49</f>
        <v>#N/A</v>
      </c>
      <c r="F47" s="65" t="e">
        <f>Proposed!F49</f>
        <v>#N/A</v>
      </c>
    </row>
    <row r="49" spans="1:3" x14ac:dyDescent="0.2">
      <c r="A49" s="9"/>
      <c r="C49" s="306"/>
    </row>
    <row r="50" spans="1:3" x14ac:dyDescent="0.2">
      <c r="A50" s="9"/>
      <c r="C50" s="306"/>
    </row>
  </sheetData>
  <sheetProtection password="C47C" sheet="1" objects="1" scenarios="1"/>
  <customSheetViews>
    <customSheetView guid="{53CC1FF8-69F4-40AB-9E52-A9F35D642996}" scale="75" showGridLines="0" fitToPage="1" state="hidden">
      <pane ySplit="4" topLeftCell="A5" activePane="bottomLeft" state="frozen"/>
      <selection pane="bottomLeft" activeCell="A4" sqref="A4"/>
      <pageMargins left="0.5" right="0.5" top="0.5" bottom="0.5" header="0.5" footer="0.5"/>
      <printOptions horizontalCentered="1" verticalCentered="1"/>
      <pageSetup orientation="portrait" horizontalDpi="1200" verticalDpi="1200" r:id="rId1"/>
      <headerFooter alignWithMargins="0"/>
    </customSheetView>
  </customSheetViews>
  <mergeCells count="1">
    <mergeCell ref="A1:F1"/>
  </mergeCells>
  <phoneticPr fontId="0" type="noConversion"/>
  <printOptions horizontalCentered="1" verticalCentered="1"/>
  <pageMargins left="0.5" right="0.5" top="0.5" bottom="0.5" header="0.5" footer="0.5"/>
  <pageSetup orientation="portrait" horizontalDpi="1200" verticalDpi="1200"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00FF"/>
    <pageSetUpPr fitToPage="1"/>
  </sheetPr>
  <dimension ref="A1:M82"/>
  <sheetViews>
    <sheetView showGridLines="0" topLeftCell="A4" zoomScale="75" workbookViewId="0">
      <selection activeCell="I40" sqref="I40"/>
    </sheetView>
  </sheetViews>
  <sheetFormatPr defaultColWidth="9" defaultRowHeight="12.75" x14ac:dyDescent="0.2"/>
  <cols>
    <col min="1" max="1" width="60.28515625" style="2" customWidth="1"/>
    <col min="2" max="2" width="3.7109375" style="2" customWidth="1"/>
    <col min="3" max="6" width="17.85546875" style="2" customWidth="1"/>
    <col min="7" max="9" width="9" style="2"/>
    <col min="10" max="10" width="11.7109375" style="2" customWidth="1"/>
    <col min="11" max="16384" width="9" style="2"/>
  </cols>
  <sheetData>
    <row r="1" spans="1:13" ht="36.75" customHeight="1" x14ac:dyDescent="0.2">
      <c r="A1" s="359"/>
      <c r="B1" s="895"/>
      <c r="C1" s="895"/>
      <c r="D1" s="894"/>
      <c r="E1" s="894"/>
      <c r="F1" s="358"/>
      <c r="G1" s="356"/>
      <c r="H1" s="357"/>
      <c r="I1" s="355"/>
      <c r="J1" s="892"/>
      <c r="K1" s="892"/>
      <c r="L1" s="892"/>
      <c r="M1" s="893"/>
    </row>
    <row r="2" spans="1:13" ht="15.75" x14ac:dyDescent="0.25">
      <c r="A2" s="896" t="s">
        <v>1887</v>
      </c>
      <c r="B2" s="896"/>
      <c r="C2" s="896"/>
      <c r="D2" s="896"/>
      <c r="E2" s="896"/>
      <c r="F2" s="896"/>
    </row>
    <row r="3" spans="1:13" ht="15.75" x14ac:dyDescent="0.25">
      <c r="A3" s="896" t="str">
        <f>CONCATENATE("JULY 1, ",DoM!$B$5,"-JUNE 30, ",DoM!$B$6)</f>
        <v>JULY 1, 2017-JUNE 30, 2018</v>
      </c>
      <c r="B3" s="896"/>
      <c r="C3" s="896"/>
      <c r="D3" s="896"/>
      <c r="E3" s="896"/>
      <c r="F3" s="896"/>
    </row>
    <row r="4" spans="1:13" ht="13.5" customHeight="1" x14ac:dyDescent="0.25">
      <c r="A4" s="11" t="s">
        <v>827</v>
      </c>
      <c r="B4" s="1"/>
      <c r="C4" s="202"/>
      <c r="D4" s="1"/>
    </row>
    <row r="5" spans="1:13" ht="13.5" customHeight="1" x14ac:dyDescent="0.25">
      <c r="A5" s="10"/>
      <c r="B5" s="1"/>
      <c r="C5" s="1"/>
      <c r="D5" s="1"/>
    </row>
    <row r="6" spans="1:13" ht="20.25" customHeight="1" x14ac:dyDescent="0.3">
      <c r="A6" s="174">
        <f>InputsResults!$K$3</f>
        <v>0</v>
      </c>
      <c r="B6" s="1"/>
      <c r="E6" s="116" t="s">
        <v>828</v>
      </c>
      <c r="F6" s="596" t="e">
        <f>InputsResults!J3</f>
        <v>#N/A</v>
      </c>
    </row>
    <row r="7" spans="1:13" ht="14.85" customHeight="1" x14ac:dyDescent="0.2">
      <c r="A7" s="32"/>
      <c r="B7" s="1"/>
    </row>
    <row r="8" spans="1:13" ht="14.85" customHeight="1" x14ac:dyDescent="0.2">
      <c r="A8" s="20" t="s">
        <v>829</v>
      </c>
      <c r="B8" s="12"/>
      <c r="C8" s="12"/>
      <c r="D8" s="12"/>
    </row>
    <row r="9" spans="1:13" ht="14.85" customHeight="1" x14ac:dyDescent="0.2">
      <c r="C9" s="1"/>
    </row>
    <row r="10" spans="1:13" ht="14.85" customHeight="1" x14ac:dyDescent="0.2">
      <c r="A10" s="4" t="s">
        <v>830</v>
      </c>
      <c r="B10" s="181">
        <v>97</v>
      </c>
      <c r="C10" s="66" t="e">
        <f>AidLevy!B280</f>
        <v>#N/A</v>
      </c>
    </row>
    <row r="11" spans="1:13" ht="14.85" customHeight="1" x14ac:dyDescent="0.2">
      <c r="A11" s="4" t="s">
        <v>831</v>
      </c>
      <c r="B11" s="181">
        <v>99</v>
      </c>
      <c r="C11" s="66" t="e">
        <f>AidLevy!B306</f>
        <v>#N/A</v>
      </c>
    </row>
    <row r="12" spans="1:13" ht="14.85" customHeight="1" x14ac:dyDescent="0.2">
      <c r="A12" s="56"/>
      <c r="B12" s="182"/>
      <c r="C12" s="57"/>
    </row>
    <row r="13" spans="1:13" ht="14.85" customHeight="1" x14ac:dyDescent="0.2">
      <c r="A13" s="56"/>
      <c r="B13" s="182"/>
      <c r="C13" s="57"/>
    </row>
    <row r="14" spans="1:13" ht="14.85" customHeight="1" x14ac:dyDescent="0.2">
      <c r="A14" s="4" t="s">
        <v>832</v>
      </c>
      <c r="B14" s="181">
        <v>105</v>
      </c>
      <c r="C14" s="66">
        <f>AidLevy!B402</f>
        <v>0</v>
      </c>
    </row>
    <row r="15" spans="1:13" ht="14.85" customHeight="1" x14ac:dyDescent="0.2">
      <c r="B15" s="108"/>
      <c r="C15" s="107"/>
    </row>
    <row r="16" spans="1:13" ht="14.85" customHeight="1" x14ac:dyDescent="0.2">
      <c r="A16" s="20" t="s">
        <v>833</v>
      </c>
      <c r="B16" s="108"/>
      <c r="C16" s="108"/>
    </row>
    <row r="17" spans="1:6" ht="14.85" customHeight="1" x14ac:dyDescent="0.2">
      <c r="B17" s="108"/>
      <c r="C17" s="108"/>
    </row>
    <row r="18" spans="1:6" ht="14.85" customHeight="1" x14ac:dyDescent="0.2">
      <c r="A18" s="4" t="s">
        <v>834</v>
      </c>
      <c r="B18" s="181">
        <v>96</v>
      </c>
      <c r="C18" s="110">
        <f>AidLevy!B290*100</f>
        <v>0</v>
      </c>
    </row>
    <row r="19" spans="1:6" ht="14.85" customHeight="1" x14ac:dyDescent="0.2">
      <c r="A19" s="4" t="s">
        <v>835</v>
      </c>
      <c r="B19" s="181">
        <v>98</v>
      </c>
      <c r="C19" s="110">
        <f>AidLevy!B307*100</f>
        <v>0</v>
      </c>
    </row>
    <row r="20" spans="1:6" ht="14.85" customHeight="1" x14ac:dyDescent="0.2">
      <c r="A20" s="56"/>
      <c r="B20" s="182"/>
      <c r="C20" s="57"/>
      <c r="E20" s="13"/>
      <c r="F20" s="13"/>
    </row>
    <row r="21" spans="1:6" ht="14.85" customHeight="1" x14ac:dyDescent="0.2">
      <c r="A21" s="56"/>
      <c r="B21" s="182"/>
      <c r="C21" s="57"/>
      <c r="E21" s="13"/>
      <c r="F21" s="13"/>
    </row>
    <row r="22" spans="1:6" ht="14.85" customHeight="1" x14ac:dyDescent="0.2">
      <c r="A22" s="4" t="s">
        <v>836</v>
      </c>
      <c r="B22" s="181">
        <v>104</v>
      </c>
      <c r="C22" s="110">
        <f>AidLevy!B403*100</f>
        <v>0</v>
      </c>
      <c r="E22" s="13"/>
      <c r="F22" s="13"/>
    </row>
    <row r="23" spans="1:6" ht="14.85" customHeight="1" x14ac:dyDescent="0.2">
      <c r="E23" s="13"/>
      <c r="F23" s="13"/>
    </row>
    <row r="24" spans="1:6" ht="14.85" customHeight="1" x14ac:dyDescent="0.2">
      <c r="A24" s="12" t="s">
        <v>837</v>
      </c>
      <c r="B24" s="12"/>
      <c r="C24" s="12"/>
      <c r="D24" s="16"/>
    </row>
    <row r="25" spans="1:6" ht="14.85" customHeight="1" x14ac:dyDescent="0.2">
      <c r="D25" s="16"/>
    </row>
    <row r="26" spans="1:6" ht="14.85" customHeight="1" x14ac:dyDescent="0.2">
      <c r="C26" s="86" t="s">
        <v>838</v>
      </c>
      <c r="D26" s="91"/>
      <c r="E26" s="87"/>
      <c r="F26" s="87" t="s">
        <v>927</v>
      </c>
    </row>
    <row r="27" spans="1:6" ht="14.85" customHeight="1" x14ac:dyDescent="0.2">
      <c r="C27" s="88" t="s">
        <v>839</v>
      </c>
      <c r="D27" s="92"/>
      <c r="E27" s="89" t="s">
        <v>840</v>
      </c>
      <c r="F27" s="89" t="s">
        <v>841</v>
      </c>
    </row>
    <row r="28" spans="1:6" ht="14.85" customHeight="1" x14ac:dyDescent="0.2">
      <c r="A28" s="94"/>
      <c r="B28" s="95"/>
      <c r="C28" s="94" t="s">
        <v>842</v>
      </c>
      <c r="D28" s="90" t="s">
        <v>843</v>
      </c>
      <c r="E28" s="90" t="s">
        <v>844</v>
      </c>
      <c r="F28" s="90" t="s">
        <v>845</v>
      </c>
    </row>
    <row r="29" spans="1:6" ht="14.85" customHeight="1" x14ac:dyDescent="0.2">
      <c r="A29" s="93" t="s">
        <v>847</v>
      </c>
      <c r="B29" s="95">
        <v>1</v>
      </c>
      <c r="C29" s="66" t="e">
        <f>AidLevy!B345</f>
        <v>#N/A</v>
      </c>
      <c r="D29" s="59"/>
      <c r="E29" s="59"/>
      <c r="F29" s="59"/>
    </row>
    <row r="30" spans="1:6" ht="14.85" customHeight="1" x14ac:dyDescent="0.2">
      <c r="A30" s="4" t="s">
        <v>848</v>
      </c>
      <c r="B30" s="14">
        <v>2</v>
      </c>
      <c r="C30" s="84" t="e">
        <f>AidLevy!B347</f>
        <v>#N/A</v>
      </c>
      <c r="D30" s="59"/>
      <c r="E30" s="59"/>
      <c r="F30" s="59"/>
    </row>
    <row r="31" spans="1:6" ht="14.85" customHeight="1" x14ac:dyDescent="0.2">
      <c r="A31" s="4" t="s">
        <v>849</v>
      </c>
      <c r="B31" s="14">
        <v>3</v>
      </c>
      <c r="C31" s="66">
        <f>AidLevy!B351</f>
        <v>0</v>
      </c>
      <c r="D31" s="59"/>
      <c r="E31" s="59"/>
      <c r="F31" s="59"/>
    </row>
    <row r="32" spans="1:6" ht="14.85" customHeight="1" x14ac:dyDescent="0.2">
      <c r="A32" s="4" t="s">
        <v>852</v>
      </c>
      <c r="B32" s="14">
        <v>4</v>
      </c>
      <c r="C32" s="66">
        <f>AidLevy!B352</f>
        <v>0</v>
      </c>
      <c r="D32" s="59"/>
      <c r="E32" s="59"/>
      <c r="F32" s="59"/>
    </row>
    <row r="33" spans="1:10" ht="14.85" customHeight="1" x14ac:dyDescent="0.2">
      <c r="A33" s="4" t="s">
        <v>853</v>
      </c>
      <c r="B33" s="14">
        <v>5</v>
      </c>
      <c r="C33" s="66">
        <f>AidLevy!B353</f>
        <v>0</v>
      </c>
      <c r="D33" s="60"/>
      <c r="E33" s="60"/>
      <c r="F33" s="60"/>
    </row>
    <row r="34" spans="1:10" ht="14.85" customHeight="1" x14ac:dyDescent="0.2">
      <c r="A34" s="4" t="s">
        <v>1520</v>
      </c>
      <c r="B34" s="14">
        <v>6</v>
      </c>
      <c r="C34" s="66" t="e">
        <f>SUM(C29:C32)-C33</f>
        <v>#N/A</v>
      </c>
      <c r="D34" s="69">
        <f>IF(C52&gt;0,ROUND(C34/(C52/1000),5),0)</f>
        <v>0</v>
      </c>
      <c r="E34" s="66" t="e">
        <f>IF(AND(C34&gt;0,C52&gt;0,E52&gt;0),ROUND(D34*E52/1000,0),0)</f>
        <v>#N/A</v>
      </c>
      <c r="F34" s="109" t="e">
        <f>IF(E34&gt;0,IF(C34-E34=0,"0",C34-E34),0)</f>
        <v>#N/A</v>
      </c>
    </row>
    <row r="35" spans="1:10" ht="14.85" customHeight="1" x14ac:dyDescent="0.2">
      <c r="A35" s="4" t="s">
        <v>1521</v>
      </c>
      <c r="B35" s="14">
        <v>7</v>
      </c>
      <c r="C35" s="66" t="e">
        <f>AidLevy!B346</f>
        <v>#N/A</v>
      </c>
      <c r="D35" s="69">
        <f>IF(C54&gt;0,ROUND(C35/(C54/1000),5),0)</f>
        <v>0</v>
      </c>
      <c r="E35" s="66" t="e">
        <f>IF(AND(C35&gt;0,C54&gt;0,E54&gt;0),ROUND(D35*E54/1000,0),0)</f>
        <v>#N/A</v>
      </c>
      <c r="F35" s="109" t="e">
        <f>IF(E35&gt;0,IF(C35-E35=0,"0",C35-E35),0)</f>
        <v>#N/A</v>
      </c>
    </row>
    <row r="36" spans="1:10" ht="14.85" customHeight="1" x14ac:dyDescent="0.2">
      <c r="A36" s="4" t="s">
        <v>1506</v>
      </c>
      <c r="B36" s="14">
        <v>8</v>
      </c>
      <c r="C36" s="66" t="e">
        <f>C34+C35</f>
        <v>#N/A</v>
      </c>
      <c r="D36" s="69">
        <f>D34+D35</f>
        <v>0</v>
      </c>
      <c r="E36" s="66" t="e">
        <f>E34+E35</f>
        <v>#N/A</v>
      </c>
      <c r="F36" s="109" t="e">
        <f>IF(E36&gt;0,IF(C36-E36=0,"0",C36-E36),0)</f>
        <v>#N/A</v>
      </c>
    </row>
    <row r="37" spans="1:10" ht="14.85" customHeight="1" x14ac:dyDescent="0.2">
      <c r="A37" s="56"/>
      <c r="B37" s="139">
        <v>9</v>
      </c>
      <c r="C37" s="298"/>
      <c r="D37" s="302"/>
      <c r="E37" s="302"/>
      <c r="F37" s="300"/>
    </row>
    <row r="38" spans="1:10" ht="14.85" customHeight="1" x14ac:dyDescent="0.2">
      <c r="A38" s="4" t="s">
        <v>1648</v>
      </c>
      <c r="B38" s="14">
        <v>10</v>
      </c>
      <c r="C38" s="66">
        <f>AidLevy!B422</f>
        <v>0</v>
      </c>
      <c r="D38" s="69">
        <f>IF(C52&gt;0,ROUND(C38/(C52/1000),5),0)</f>
        <v>0</v>
      </c>
      <c r="E38" s="66">
        <f>IF(AND(C38&gt;0,C52&gt;0,E52&gt;0),ROUND(D38*E52/1000,0),0)</f>
        <v>0</v>
      </c>
      <c r="F38" s="109">
        <f>IF(E38&gt;0,IF(C38-E38=0,"0",C38-E38),0)</f>
        <v>0</v>
      </c>
    </row>
    <row r="39" spans="1:10" ht="14.85" customHeight="1" x14ac:dyDescent="0.2">
      <c r="A39" s="4" t="s">
        <v>1649</v>
      </c>
      <c r="B39" s="14">
        <v>11</v>
      </c>
      <c r="C39" s="66">
        <f>AidLevy!B423</f>
        <v>0</v>
      </c>
      <c r="D39" s="69">
        <f>IF(C52&gt;0,ROUND(C39/(C52/1000),5),0)</f>
        <v>0</v>
      </c>
      <c r="E39" s="66">
        <f>IF(AND(C39&gt;0,C52&gt;0,E52&gt;0),ROUND(D39*E52/1000,0),0)</f>
        <v>0</v>
      </c>
      <c r="F39" s="109">
        <f>IF(E39&gt;0,IF(C39-E39=0,"0",C39-E39),0)</f>
        <v>0</v>
      </c>
    </row>
    <row r="40" spans="1:10" ht="14.85" customHeight="1" x14ac:dyDescent="0.2">
      <c r="A40" s="4" t="s">
        <v>854</v>
      </c>
      <c r="B40" s="14">
        <v>12</v>
      </c>
      <c r="C40" s="66">
        <f>Form703!K8</f>
        <v>0</v>
      </c>
      <c r="D40" s="58"/>
      <c r="E40" s="58"/>
      <c r="F40" s="58"/>
    </row>
    <row r="41" spans="1:10" ht="14.85" customHeight="1" x14ac:dyDescent="0.2">
      <c r="A41" s="4" t="s">
        <v>855</v>
      </c>
      <c r="B41" s="14">
        <v>13</v>
      </c>
      <c r="C41" s="66">
        <f>AidLevy!B408-Form703!K8</f>
        <v>0</v>
      </c>
      <c r="D41" s="60"/>
      <c r="E41" s="60"/>
      <c r="F41" s="60"/>
    </row>
    <row r="42" spans="1:10" ht="14.85" customHeight="1" x14ac:dyDescent="0.2">
      <c r="A42" s="4" t="s">
        <v>856</v>
      </c>
      <c r="B42" s="14">
        <v>14</v>
      </c>
      <c r="C42" s="66">
        <f>SUM(C40:C41)</f>
        <v>0</v>
      </c>
      <c r="D42" s="398" t="str">
        <f>IF(AND(C42&gt;0,$C$52&gt;0),IF(ROUND(($C$54*0.001)*1.34,0)=ROUND(C42,0),IF(ROUND(C42,0)=0,0,1.34),IF(ROUND(C42/($C$54/1000),10)&lt;1.34,ROUND(C42/($C$54/1000),10),IF(AND(ROUND(C42/($C$54/1000),10)&gt;1.34,ROUND(C42-1/($C$54/1000),10)&lt;1.34),ROUND(C42/($C$54/1000),5),"Max Rate Exceeded"))),".00000")</f>
        <v>.00000</v>
      </c>
      <c r="E42" s="66">
        <f>IF(AND(C42&gt;0,C54&gt;0,E54&gt;0),ROUND(D42*E54/1000,0),0)</f>
        <v>0</v>
      </c>
      <c r="F42" s="109">
        <f>IF(E42&gt;0,IF(C42-E42=0,"0",C42-E42),0)</f>
        <v>0</v>
      </c>
    </row>
    <row r="43" spans="1:10" ht="14.85" customHeight="1" x14ac:dyDescent="0.2">
      <c r="A43" s="4" t="s">
        <v>857</v>
      </c>
      <c r="B43" s="14">
        <v>15</v>
      </c>
      <c r="C43" s="66">
        <f>AidLevy!B424</f>
        <v>0</v>
      </c>
      <c r="D43" s="398" t="str">
        <f>IF(AND(C43&gt;0,$C$52&gt;0),IF(ROUND(($C$54*0.001)*0.33,0)=ROUND(C43,0),IF(ROUND(C43,0)=0,0,0.33),IF(ROUND(C43/($C$54/1000),10)&lt;0.33,ROUND(C43/($C$54/1000),10),IF(AND(ROUND(C43/($C$54/1000),10)&gt;0.33,ROUND(C43-1/($C$54/1000),10)&lt;0.33),ROUND(C43/($C$54/1000),5),"Max Rate Exceeded"))),".00000")</f>
        <v>.00000</v>
      </c>
      <c r="E43" s="84">
        <f>IF(AND(C43&gt;0,C54&gt;0,E54&gt;0),ROUND(D43*E54/1000,0),0)</f>
        <v>0</v>
      </c>
      <c r="F43" s="303">
        <f>IF(E43&gt;0,IF(C43-E43=0,"0",C43-E43),0)</f>
        <v>0</v>
      </c>
    </row>
    <row r="44" spans="1:10" ht="14.85" customHeight="1" x14ac:dyDescent="0.2">
      <c r="A44" s="4" t="s">
        <v>858</v>
      </c>
      <c r="B44" s="14">
        <v>16</v>
      </c>
      <c r="C44" s="297">
        <f>SUM(C42:C43)</f>
        <v>0</v>
      </c>
      <c r="D44" s="301"/>
      <c r="E44" s="301"/>
      <c r="F44" s="299"/>
    </row>
    <row r="45" spans="1:10" ht="14.85" customHeight="1" x14ac:dyDescent="0.2">
      <c r="A45" s="56"/>
      <c r="B45" s="139">
        <v>17</v>
      </c>
      <c r="C45" s="298"/>
      <c r="D45" s="302"/>
      <c r="E45" s="302"/>
      <c r="F45" s="300"/>
    </row>
    <row r="46" spans="1:10" ht="14.85" customHeight="1" x14ac:dyDescent="0.2">
      <c r="A46" s="4" t="s">
        <v>495</v>
      </c>
      <c r="B46" s="139">
        <v>18</v>
      </c>
      <c r="C46" s="70">
        <f>AidLevy!B425</f>
        <v>0</v>
      </c>
      <c r="D46" s="386">
        <f>IF(C52&gt;0,ROUND(C46/(C52/1000),5),0)</f>
        <v>0</v>
      </c>
      <c r="E46" s="70">
        <f>IF(AND(C46&gt;0,C52&gt;0,E52&gt;0),ROUND(D46*E52/1000,0),0)</f>
        <v>0</v>
      </c>
      <c r="F46" s="387">
        <f>IF(E46&gt;0,IF(C46-E46=0,"0",C46-E46),0)</f>
        <v>0</v>
      </c>
    </row>
    <row r="47" spans="1:10" ht="14.85" customHeight="1" x14ac:dyDescent="0.2">
      <c r="A47" s="4" t="s">
        <v>599</v>
      </c>
      <c r="B47" s="139">
        <v>19</v>
      </c>
      <c r="C47" s="70">
        <f>AidLevy!B426</f>
        <v>0</v>
      </c>
      <c r="D47" s="398" t="str">
        <f>IF(AND(C47&gt;0,$C$52&gt;0),IF(ROUND(($C$52*0.001)*0.27,0)=ROUND(C47,0),IF(ROUND(C47,0)=0,0,0.27),IF(ROUND(C47/($C$52/1000),10)&lt;0.27,ROUND(C47/($C$52/1000),10),IF(AND(ROUND(C47/($C$52/1000),10)&gt;0.27,ROUND(C47-1/($C$52/1000),10)&lt;0.27),ROUND(C47/($C$52/1000),5),"Max Rate Exceeded"))),".00000")</f>
        <v>.00000</v>
      </c>
      <c r="E47" s="85">
        <f>IF(AND(C47&gt;0,C52&gt;0,E52&gt;0),ROUND(D47*E52/1000,0),0)</f>
        <v>0</v>
      </c>
      <c r="F47" s="304">
        <f>IF(E47&gt;0,IF(C47-E47=0,"0",C47-E47),0)</f>
        <v>0</v>
      </c>
      <c r="J47" s="611"/>
    </row>
    <row r="48" spans="1:10" ht="14.85" customHeight="1" x14ac:dyDescent="0.2">
      <c r="A48" s="4" t="s">
        <v>859</v>
      </c>
      <c r="B48" s="14">
        <v>20</v>
      </c>
      <c r="C48" s="85">
        <f>AidLevy!B427</f>
        <v>0</v>
      </c>
      <c r="D48" s="398" t="str">
        <f>IF(AND(C48&gt;0,$C$52&gt;0),IF(ROUND(($C$52*0.001)*0.135,0)=ROUND(C48,0),IF(ROUND(C48,0)=0,0,0.135),IF(ROUND(C48/($C$52/1000),10)&lt;0.135,ROUND(C48/($C$52/1000),10),IF(AND(ROUND(C48/($C$52/1000),10)&gt;0.135,ROUND(C48-1/($C$52/1000),10)&lt;0.135),ROUND(C48/($C$52/1000),5),"Max Rate Exceeded"))),".00000")</f>
        <v>.00000</v>
      </c>
      <c r="E48" s="85">
        <f>IF(AND(C48&gt;0,C52&gt;0,E52&gt;0),ROUND(D48*E52/1000,0),0)</f>
        <v>0</v>
      </c>
      <c r="F48" s="304">
        <f>IF(E48&gt;0,IF(C48-E48=0,"0",C48-E48),0)</f>
        <v>0</v>
      </c>
    </row>
    <row r="49" spans="1:6" ht="14.85" customHeight="1" x14ac:dyDescent="0.2">
      <c r="A49" s="4" t="s">
        <v>860</v>
      </c>
      <c r="B49" s="14">
        <v>21</v>
      </c>
      <c r="C49" s="66">
        <f>Form703!K33</f>
        <v>0</v>
      </c>
      <c r="D49" s="69">
        <f>IF(C52&gt;0,ROUND(C49/(C54/1000),5),0)</f>
        <v>0</v>
      </c>
      <c r="E49" s="66">
        <f>IF(AND(C49&gt;0,C54&gt;0,E54&gt;0),ROUND(D49*E54/1000,0),0)</f>
        <v>0</v>
      </c>
      <c r="F49" s="109">
        <f>IF(E49&gt;0,IF(C49-E49=0,"0",C49-E49),0)</f>
        <v>0</v>
      </c>
    </row>
    <row r="50" spans="1:6" ht="14.85" customHeight="1" x14ac:dyDescent="0.2">
      <c r="A50" s="7" t="s">
        <v>861</v>
      </c>
      <c r="B50" s="14">
        <v>22</v>
      </c>
      <c r="C50" s="66" t="e">
        <f>SUM(C36:C39,C44,C46,C47,C48,C49)</f>
        <v>#N/A</v>
      </c>
      <c r="D50" s="69">
        <f>D36+D37+D38+D39+D42+D43+D46+D47+D48+D49</f>
        <v>0</v>
      </c>
      <c r="E50" s="66" t="e">
        <f>SUM(E36:E39,E42:E43,E46:E49)</f>
        <v>#N/A</v>
      </c>
      <c r="F50" s="66" t="e">
        <f>SUM(F36:F39,F42:F43,F46:F49)</f>
        <v>#N/A</v>
      </c>
    </row>
    <row r="51" spans="1:6" ht="14.85" customHeight="1" x14ac:dyDescent="0.2"/>
    <row r="52" spans="1:6" ht="14.85" customHeight="1" x14ac:dyDescent="0.2">
      <c r="A52" s="15" t="str">
        <f>CONCATENATE("1-1-",RIGHT(DoM!$B$6,2)-2," Taxable Valuation                                       WITH Gas &amp; Electric Utilities")</f>
        <v>1-1-16 Taxable Valuation                                       WITH Gas &amp; Electric Utilities</v>
      </c>
      <c r="B52" s="15"/>
      <c r="C52" s="70">
        <f>InputsResults!E3</f>
        <v>0</v>
      </c>
      <c r="D52" s="114" t="s">
        <v>862</v>
      </c>
      <c r="E52" s="70">
        <f>InputsResults!E7</f>
        <v>0</v>
      </c>
    </row>
    <row r="53" spans="1:6" ht="14.85" customHeight="1" x14ac:dyDescent="0.2">
      <c r="A53" s="15" t="str">
        <f>CONCATENATE("1-1-",RIGHT(DoM!$B$6,2)-2," Tax Increment Valuation                         WITH Gas &amp; Electric Utilities")</f>
        <v>1-1-16 Tax Increment Valuation                         WITH Gas &amp; Electric Utilities</v>
      </c>
      <c r="C53" s="70">
        <f>InputsResults!E4</f>
        <v>0</v>
      </c>
      <c r="D53" s="114" t="s">
        <v>862</v>
      </c>
      <c r="E53" s="70">
        <f>InputsResults!E8</f>
        <v>0</v>
      </c>
    </row>
    <row r="54" spans="1:6" ht="14.85" customHeight="1" x14ac:dyDescent="0.2">
      <c r="A54" s="2" t="str">
        <f>CONCATENATE("1-1-",RIGHT(DoM!$B$6,2)-2," Debt Service, PPEL, ISL Valuation  WITH Gas &amp; Electric Utilities")</f>
        <v>1-1-16 Debt Service, PPEL, ISL Valuation  WITH Gas &amp; Electric Utilities</v>
      </c>
      <c r="C54" s="70">
        <f>SUM(C52:C53)</f>
        <v>0</v>
      </c>
      <c r="D54" s="114" t="s">
        <v>862</v>
      </c>
      <c r="E54" s="70">
        <f>SUM(E52:E53)</f>
        <v>0</v>
      </c>
    </row>
    <row r="55" spans="1:6" ht="14.85" customHeight="1" x14ac:dyDescent="0.2">
      <c r="C55" s="104"/>
      <c r="D55" s="114"/>
      <c r="E55" s="104"/>
    </row>
    <row r="56" spans="1:6" ht="14.85" customHeight="1" x14ac:dyDescent="0.2"/>
    <row r="57" spans="1:6" ht="14.85" customHeight="1" x14ac:dyDescent="0.2">
      <c r="A57" s="96" t="s">
        <v>863</v>
      </c>
      <c r="B57" s="97"/>
      <c r="C57" s="98"/>
      <c r="D57" s="99"/>
      <c r="E57" s="100"/>
      <c r="F57" s="100"/>
    </row>
    <row r="58" spans="1:6" ht="14.25" customHeight="1" x14ac:dyDescent="0.2">
      <c r="A58" s="101"/>
      <c r="B58" s="102"/>
      <c r="C58" s="103"/>
      <c r="D58" s="104"/>
      <c r="E58" s="105"/>
      <c r="F58" s="105"/>
    </row>
    <row r="59" spans="1:6" ht="14.85" customHeight="1" x14ac:dyDescent="0.2">
      <c r="A59" s="106" t="s">
        <v>915</v>
      </c>
      <c r="B59"/>
      <c r="C59" s="103"/>
      <c r="D59" s="104"/>
      <c r="E59" s="105"/>
      <c r="F59" s="105"/>
    </row>
    <row r="60" spans="1:6" ht="14.85" customHeight="1" x14ac:dyDescent="0.2">
      <c r="A60" s="106" t="s">
        <v>916</v>
      </c>
      <c r="B60"/>
      <c r="C60" s="103"/>
      <c r="D60" s="104"/>
      <c r="E60" s="105"/>
      <c r="F60" s="105"/>
    </row>
    <row r="61" spans="1:6" ht="14.85" customHeight="1" x14ac:dyDescent="0.2">
      <c r="A61" s="106" t="s">
        <v>926</v>
      </c>
      <c r="B61"/>
      <c r="C61" s="103"/>
      <c r="D61" s="104"/>
      <c r="E61" s="105"/>
      <c r="F61" s="105"/>
    </row>
    <row r="62" spans="1:6" ht="14.85" customHeight="1" x14ac:dyDescent="0.2">
      <c r="A62" s="106" t="s">
        <v>864</v>
      </c>
      <c r="B62"/>
      <c r="C62" s="103"/>
      <c r="D62" s="104"/>
      <c r="E62" s="105"/>
      <c r="F62" s="105"/>
    </row>
    <row r="63" spans="1:6" ht="14.85" customHeight="1" x14ac:dyDescent="0.2">
      <c r="A63" s="106" t="s">
        <v>865</v>
      </c>
      <c r="B63"/>
      <c r="C63" s="103"/>
      <c r="D63" s="104"/>
      <c r="E63" s="105"/>
      <c r="F63" s="105"/>
    </row>
    <row r="64" spans="1:6" ht="14.85" customHeight="1" x14ac:dyDescent="0.2">
      <c r="A64" s="106" t="s">
        <v>534</v>
      </c>
      <c r="B64"/>
      <c r="C64" s="103"/>
      <c r="D64" s="104"/>
      <c r="E64" s="105"/>
      <c r="F64" s="105"/>
    </row>
    <row r="65" spans="1:6" ht="14.85" customHeight="1" x14ac:dyDescent="0.2">
      <c r="A65" s="2" t="s">
        <v>1876</v>
      </c>
      <c r="B65"/>
      <c r="C65" s="103"/>
      <c r="D65" s="104"/>
      <c r="E65" s="105"/>
      <c r="F65" s="105"/>
    </row>
    <row r="66" spans="1:6" ht="14.85" customHeight="1" x14ac:dyDescent="0.2">
      <c r="B66"/>
      <c r="C66" s="103"/>
      <c r="D66" s="104"/>
      <c r="E66" s="105"/>
      <c r="F66" s="105"/>
    </row>
    <row r="67" spans="1:6" ht="13.5" customHeight="1" x14ac:dyDescent="0.2">
      <c r="B67" s="13"/>
      <c r="C67" s="13"/>
      <c r="D67" s="63"/>
      <c r="E67" s="63"/>
      <c r="F67" s="13" t="s">
        <v>866</v>
      </c>
    </row>
    <row r="68" spans="1:6" ht="13.5" customHeight="1" x14ac:dyDescent="0.2">
      <c r="B68" s="13"/>
      <c r="C68" s="13"/>
      <c r="D68" s="13"/>
    </row>
    <row r="69" spans="1:6" ht="13.5" customHeight="1" x14ac:dyDescent="0.2">
      <c r="B69" s="13"/>
      <c r="C69" s="13"/>
      <c r="D69" s="13"/>
    </row>
    <row r="70" spans="1:6" ht="13.5" customHeight="1" x14ac:dyDescent="0.2">
      <c r="B70" s="13"/>
      <c r="C70" s="13"/>
      <c r="D70" s="63"/>
      <c r="E70" s="63"/>
      <c r="F70" s="13" t="s">
        <v>867</v>
      </c>
    </row>
    <row r="71" spans="1:6" ht="13.5" customHeight="1" x14ac:dyDescent="0.2">
      <c r="B71" s="13"/>
      <c r="C71" s="13"/>
      <c r="D71" s="13"/>
      <c r="E71" s="13"/>
      <c r="F71" s="13"/>
    </row>
    <row r="74" spans="1:6" ht="14.85" customHeight="1" x14ac:dyDescent="0.2"/>
    <row r="75" spans="1:6" ht="14.85" customHeight="1" x14ac:dyDescent="0.2"/>
    <row r="76" spans="1:6" ht="14.85" customHeight="1" x14ac:dyDescent="0.2"/>
    <row r="77" spans="1:6" ht="14.85" customHeight="1" x14ac:dyDescent="0.2">
      <c r="C77" s="473"/>
      <c r="D77" s="473"/>
      <c r="E77" s="104"/>
    </row>
    <row r="78" spans="1:6" x14ac:dyDescent="0.2">
      <c r="E78" s="13"/>
    </row>
    <row r="82" spans="6:6" x14ac:dyDescent="0.2">
      <c r="F82" s="574"/>
    </row>
  </sheetData>
  <sheetProtection password="C47C" sheet="1" objects="1" scenarios="1"/>
  <customSheetViews>
    <customSheetView guid="{53CC1FF8-69F4-40AB-9E52-A9F35D642996}" scale="75" showGridLines="0" fitToPage="1" state="hidden">
      <pageMargins left="0.5" right="0.5" top="0.5" bottom="0.5" header="0.5" footer="0.5"/>
      <printOptions horizontalCentered="1" verticalCentered="1"/>
      <pageSetup scale="82" orientation="portrait" horizontalDpi="1200" verticalDpi="1200" r:id="rId1"/>
      <headerFooter alignWithMargins="0"/>
    </customSheetView>
  </customSheetViews>
  <mergeCells count="5">
    <mergeCell ref="J1:M1"/>
    <mergeCell ref="D1:E1"/>
    <mergeCell ref="B1:C1"/>
    <mergeCell ref="A3:F3"/>
    <mergeCell ref="A2:F2"/>
  </mergeCells>
  <phoneticPr fontId="0" type="noConversion"/>
  <dataValidations count="1">
    <dataValidation type="whole" allowBlank="1" showInputMessage="1" showErrorMessage="1" error="Only a WHOLE number can be entered in this area.  Select cancel and reenter an appropriate number." sqref="E52:E53 C52:C53 C77">
      <formula1>-999999999999</formula1>
      <formula2>999999999999</formula2>
    </dataValidation>
  </dataValidations>
  <printOptions horizontalCentered="1" verticalCentered="1"/>
  <pageMargins left="0.5" right="0.5" top="0.5" bottom="0.5" header="0.5" footer="0.5"/>
  <pageSetup scale="82" orientation="portrait" horizontalDpi="1200" verticalDpi="1200" r:id="rId2"/>
  <headerFooter alignWithMargins="0"/>
  <ignoredErrors>
    <ignoredError sqref="C52:C53 E52:E53"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FF99"/>
    <pageSetUpPr fitToPage="1"/>
  </sheetPr>
  <dimension ref="A1:K44"/>
  <sheetViews>
    <sheetView showGridLines="0" zoomScale="80" zoomScaleNormal="80" workbookViewId="0">
      <pane xSplit="3" ySplit="3" topLeftCell="D4" activePane="bottomRight" state="frozen"/>
      <selection activeCell="C2" sqref="C2:H2"/>
      <selection pane="topRight" activeCell="C2" sqref="C2:H2"/>
      <selection pane="bottomLeft" activeCell="C2" sqref="C2:H2"/>
      <selection pane="bottomRight" activeCell="D4" sqref="D4"/>
    </sheetView>
  </sheetViews>
  <sheetFormatPr defaultColWidth="9" defaultRowHeight="12.75" x14ac:dyDescent="0.2"/>
  <cols>
    <col min="1" max="1" width="44.85546875" style="15" customWidth="1"/>
    <col min="2" max="2" width="3.5703125" style="2" customWidth="1"/>
    <col min="3" max="3" width="1.42578125" style="2" customWidth="1"/>
    <col min="4" max="6" width="15.7109375" style="18" customWidth="1"/>
    <col min="7" max="7" width="15.28515625" style="18" customWidth="1"/>
    <col min="8" max="8" width="16.140625" style="18" customWidth="1"/>
    <col min="9" max="9" width="15.28515625" style="18" customWidth="1"/>
    <col min="10" max="10" width="13.5703125" style="18" customWidth="1"/>
    <col min="11" max="11" width="3.5703125" style="2" customWidth="1"/>
    <col min="12" max="16384" width="9" style="2"/>
  </cols>
  <sheetData>
    <row r="1" spans="1:11" ht="19.5" thickBot="1" x14ac:dyDescent="0.35">
      <c r="A1" s="34" t="s">
        <v>869</v>
      </c>
      <c r="B1" s="175"/>
      <c r="C1" s="16"/>
      <c r="D1" s="900" t="str">
        <f>CONCATENATE("FY ",DoM!$B$6," BUDGET YEAR WORKSHEET - Page 1")</f>
        <v>FY 2018 BUDGET YEAR WORKSHEET - Page 1</v>
      </c>
      <c r="E1" s="900"/>
      <c r="F1" s="900"/>
      <c r="G1" s="900"/>
      <c r="H1" s="418"/>
      <c r="I1" s="418" t="s">
        <v>846</v>
      </c>
      <c r="J1" s="419" t="e">
        <f>InputsResults!$J$3</f>
        <v>#N/A</v>
      </c>
      <c r="K1" s="420"/>
    </row>
    <row r="2" spans="1:11" x14ac:dyDescent="0.2">
      <c r="A2" s="597">
        <f>InputsResults!$K$3</f>
        <v>0</v>
      </c>
      <c r="B2" s="31"/>
      <c r="C2" s="16"/>
      <c r="D2" s="417"/>
      <c r="E2" s="897" t="s">
        <v>870</v>
      </c>
      <c r="F2" s="898"/>
      <c r="G2" s="898"/>
      <c r="H2" s="898"/>
      <c r="I2" s="898"/>
      <c r="J2" s="899"/>
      <c r="K2" s="40"/>
    </row>
    <row r="3" spans="1:11" ht="24.75" customHeight="1" x14ac:dyDescent="0.2">
      <c r="A3" s="38" t="s">
        <v>871</v>
      </c>
      <c r="B3" s="31"/>
      <c r="C3" s="31"/>
      <c r="D3" s="54" t="s">
        <v>928</v>
      </c>
      <c r="E3" s="416" t="s">
        <v>931</v>
      </c>
      <c r="F3" s="342" t="s">
        <v>929</v>
      </c>
      <c r="G3" s="39" t="s">
        <v>930</v>
      </c>
      <c r="H3" s="388" t="s">
        <v>1642</v>
      </c>
      <c r="I3" s="388" t="s">
        <v>52</v>
      </c>
      <c r="J3" s="388" t="s">
        <v>1488</v>
      </c>
      <c r="K3" s="40"/>
    </row>
    <row r="4" spans="1:11" x14ac:dyDescent="0.2">
      <c r="A4" s="4" t="s">
        <v>785</v>
      </c>
      <c r="B4" s="5">
        <v>1</v>
      </c>
      <c r="C4" s="6"/>
      <c r="D4" s="66" t="e">
        <f>TaxCert!E36</f>
        <v>#N/A</v>
      </c>
      <c r="E4" s="292"/>
      <c r="F4" s="66">
        <f>TaxCert!E38</f>
        <v>0</v>
      </c>
      <c r="G4" s="66">
        <f>TaxCert!E48</f>
        <v>0</v>
      </c>
      <c r="H4" s="66">
        <f>TaxCert!E39+TaxCert!E46</f>
        <v>0</v>
      </c>
      <c r="I4" s="66">
        <f>TaxCert!E47</f>
        <v>0</v>
      </c>
      <c r="J4" s="292"/>
      <c r="K4" s="6">
        <v>1</v>
      </c>
    </row>
    <row r="5" spans="1:11" x14ac:dyDescent="0.2">
      <c r="A5" s="4" t="s">
        <v>786</v>
      </c>
      <c r="B5" s="24">
        <v>2</v>
      </c>
      <c r="C5" s="6"/>
      <c r="D5" s="67" t="e">
        <f>TaxCert!F36</f>
        <v>#N/A</v>
      </c>
      <c r="E5" s="292"/>
      <c r="F5" s="137">
        <f>TaxCert!F38</f>
        <v>0</v>
      </c>
      <c r="G5" s="137">
        <f>TaxCert!F48</f>
        <v>0</v>
      </c>
      <c r="H5" s="137">
        <f>TaxCert!F39+TaxCert!F46</f>
        <v>0</v>
      </c>
      <c r="I5" s="137">
        <f>TaxCert!F47</f>
        <v>0</v>
      </c>
      <c r="J5" s="292"/>
      <c r="K5" s="14">
        <v>2</v>
      </c>
    </row>
    <row r="6" spans="1:11" x14ac:dyDescent="0.2">
      <c r="A6" s="4" t="s">
        <v>787</v>
      </c>
      <c r="B6" s="24">
        <v>3</v>
      </c>
      <c r="C6" s="6"/>
      <c r="D6" s="136"/>
      <c r="E6" s="292"/>
      <c r="F6" s="292"/>
      <c r="G6" s="292"/>
      <c r="H6" s="292"/>
      <c r="I6" s="292"/>
      <c r="J6" s="292"/>
      <c r="K6" s="6">
        <v>3</v>
      </c>
    </row>
    <row r="7" spans="1:11" x14ac:dyDescent="0.2">
      <c r="A7" s="4" t="s">
        <v>788</v>
      </c>
      <c r="B7" s="24">
        <v>4</v>
      </c>
      <c r="C7" s="6"/>
      <c r="D7" s="136"/>
      <c r="E7" s="112"/>
      <c r="F7" s="292"/>
      <c r="G7" s="292"/>
      <c r="H7" s="292"/>
      <c r="I7" s="292"/>
      <c r="J7" s="292"/>
      <c r="K7" s="6">
        <v>4</v>
      </c>
    </row>
    <row r="8" spans="1:11" x14ac:dyDescent="0.2">
      <c r="A8" s="4" t="s">
        <v>789</v>
      </c>
      <c r="B8" s="24">
        <v>5</v>
      </c>
      <c r="C8" s="6"/>
      <c r="D8" s="67"/>
      <c r="E8" s="137"/>
      <c r="F8" s="291"/>
      <c r="G8" s="291"/>
      <c r="H8" s="291"/>
      <c r="I8" s="291"/>
      <c r="J8" s="292"/>
      <c r="K8" s="6">
        <v>5</v>
      </c>
    </row>
    <row r="9" spans="1:11" x14ac:dyDescent="0.2">
      <c r="A9" s="4" t="s">
        <v>790</v>
      </c>
      <c r="B9" s="24">
        <v>6</v>
      </c>
      <c r="C9" s="6"/>
      <c r="D9" s="62"/>
      <c r="E9" s="292"/>
      <c r="F9" s="292"/>
      <c r="G9" s="292"/>
      <c r="H9" s="292"/>
      <c r="I9" s="292"/>
      <c r="J9" s="292"/>
      <c r="K9" s="14">
        <v>6</v>
      </c>
    </row>
    <row r="10" spans="1:11" x14ac:dyDescent="0.2">
      <c r="A10" s="4" t="s">
        <v>791</v>
      </c>
      <c r="B10" s="24">
        <v>7</v>
      </c>
      <c r="C10" s="6"/>
      <c r="D10" s="136"/>
      <c r="E10" s="112"/>
      <c r="F10" s="292"/>
      <c r="G10" s="292"/>
      <c r="H10" s="292"/>
      <c r="I10" s="292"/>
      <c r="J10" s="292"/>
      <c r="K10" s="6">
        <v>7</v>
      </c>
    </row>
    <row r="11" spans="1:11" x14ac:dyDescent="0.2">
      <c r="A11" s="4" t="s">
        <v>792</v>
      </c>
      <c r="B11" s="24">
        <v>8</v>
      </c>
      <c r="C11" s="6"/>
      <c r="D11" s="67"/>
      <c r="E11" s="67"/>
      <c r="F11" s="135"/>
      <c r="G11" s="135"/>
      <c r="H11" s="135"/>
      <c r="I11" s="135"/>
      <c r="J11" s="292"/>
      <c r="K11" s="6">
        <v>8</v>
      </c>
    </row>
    <row r="12" spans="1:11" x14ac:dyDescent="0.2">
      <c r="A12" s="4" t="s">
        <v>793</v>
      </c>
      <c r="B12" s="24">
        <v>9</v>
      </c>
      <c r="C12" s="6"/>
      <c r="D12" s="67"/>
      <c r="E12" s="67"/>
      <c r="F12" s="67"/>
      <c r="G12" s="67"/>
      <c r="H12" s="67"/>
      <c r="I12" s="67"/>
      <c r="J12" s="292"/>
      <c r="K12" s="6">
        <v>9</v>
      </c>
    </row>
    <row r="13" spans="1:11" x14ac:dyDescent="0.2">
      <c r="A13" s="4" t="s">
        <v>794</v>
      </c>
      <c r="B13" s="24">
        <v>10</v>
      </c>
      <c r="C13" s="6"/>
      <c r="D13" s="66" t="e">
        <f>AidLevy!B274</f>
        <v>#N/A</v>
      </c>
      <c r="E13" s="292"/>
      <c r="F13" s="292"/>
      <c r="G13" s="292"/>
      <c r="H13" s="292"/>
      <c r="I13" s="292"/>
      <c r="J13" s="292"/>
      <c r="K13" s="6">
        <v>10</v>
      </c>
    </row>
    <row r="14" spans="1:11" x14ac:dyDescent="0.2">
      <c r="A14" s="4" t="s">
        <v>795</v>
      </c>
      <c r="B14" s="24">
        <v>11</v>
      </c>
      <c r="C14" s="6"/>
      <c r="D14" s="68" t="e">
        <f>AidLevy!B299</f>
        <v>#N/A</v>
      </c>
      <c r="E14" s="292"/>
      <c r="F14" s="292"/>
      <c r="G14" s="292"/>
      <c r="H14" s="292"/>
      <c r="I14" s="292"/>
      <c r="J14" s="292"/>
      <c r="K14" s="6">
        <v>11</v>
      </c>
    </row>
    <row r="15" spans="1:11" x14ac:dyDescent="0.2">
      <c r="A15" s="4" t="s">
        <v>796</v>
      </c>
      <c r="B15" s="24">
        <v>12</v>
      </c>
      <c r="C15" s="6"/>
      <c r="D15" s="67"/>
      <c r="E15" s="292"/>
      <c r="F15" s="67"/>
      <c r="G15" s="112"/>
      <c r="H15" s="67"/>
      <c r="I15" s="67"/>
      <c r="J15" s="292"/>
      <c r="K15" s="14">
        <v>12</v>
      </c>
    </row>
    <row r="16" spans="1:11" x14ac:dyDescent="0.2">
      <c r="A16" s="4" t="s">
        <v>1645</v>
      </c>
      <c r="B16" s="24">
        <v>13</v>
      </c>
      <c r="C16" s="6"/>
      <c r="D16" s="67">
        <f>'C I Est'!C24</f>
        <v>0</v>
      </c>
      <c r="E16" s="292"/>
      <c r="F16" s="67">
        <f>'C I Est'!C26</f>
        <v>0</v>
      </c>
      <c r="G16" s="67">
        <f>'C I Est'!C33</f>
        <v>0</v>
      </c>
      <c r="H16" s="67">
        <f>'C I Est'!C27+'C I Est'!C31</f>
        <v>0</v>
      </c>
      <c r="I16" s="67">
        <f>'C I Est'!C32</f>
        <v>0</v>
      </c>
      <c r="J16" s="292"/>
      <c r="K16" s="14">
        <v>13</v>
      </c>
    </row>
    <row r="17" spans="1:11" x14ac:dyDescent="0.2">
      <c r="A17" s="23" t="s">
        <v>700</v>
      </c>
      <c r="B17" s="24">
        <v>14</v>
      </c>
      <c r="C17" s="6"/>
      <c r="D17" s="67"/>
      <c r="E17" s="292"/>
      <c r="F17" s="292"/>
      <c r="G17" s="292"/>
      <c r="H17" s="292"/>
      <c r="I17" s="292"/>
      <c r="J17" s="292"/>
      <c r="K17" s="14">
        <v>14</v>
      </c>
    </row>
    <row r="18" spans="1:11" x14ac:dyDescent="0.2">
      <c r="A18" s="4" t="s">
        <v>922</v>
      </c>
      <c r="B18" s="24">
        <v>15</v>
      </c>
      <c r="C18" s="6"/>
      <c r="D18" s="67"/>
      <c r="E18" s="292"/>
      <c r="F18" s="67"/>
      <c r="G18" s="136"/>
      <c r="H18" s="67"/>
      <c r="I18" s="67"/>
      <c r="J18" s="292"/>
      <c r="K18" s="14">
        <v>15</v>
      </c>
    </row>
    <row r="19" spans="1:11" x14ac:dyDescent="0.2">
      <c r="A19" s="23" t="s">
        <v>797</v>
      </c>
      <c r="B19" s="24">
        <v>16</v>
      </c>
      <c r="C19" s="6"/>
      <c r="D19" s="66" t="e">
        <f t="shared" ref="D19:I19" si="0">SUM(D4:D18)</f>
        <v>#N/A</v>
      </c>
      <c r="E19" s="85">
        <f t="shared" si="0"/>
        <v>0</v>
      </c>
      <c r="F19" s="66">
        <f t="shared" si="0"/>
        <v>0</v>
      </c>
      <c r="G19" s="66">
        <f t="shared" si="0"/>
        <v>0</v>
      </c>
      <c r="H19" s="66">
        <f t="shared" si="0"/>
        <v>0</v>
      </c>
      <c r="I19" s="66">
        <f t="shared" si="0"/>
        <v>0</v>
      </c>
      <c r="J19" s="292"/>
      <c r="K19" s="6">
        <v>16</v>
      </c>
    </row>
    <row r="20" spans="1:11" x14ac:dyDescent="0.2">
      <c r="A20" s="23" t="s">
        <v>798</v>
      </c>
      <c r="B20" s="24">
        <v>17</v>
      </c>
      <c r="C20" s="6"/>
      <c r="D20" s="67"/>
      <c r="E20" s="292"/>
      <c r="F20" s="292"/>
      <c r="G20" s="292"/>
      <c r="H20" s="292"/>
      <c r="I20" s="292"/>
      <c r="J20" s="292"/>
      <c r="K20" s="6">
        <v>17</v>
      </c>
    </row>
    <row r="21" spans="1:11" x14ac:dyDescent="0.2">
      <c r="A21" s="23" t="s">
        <v>1476</v>
      </c>
      <c r="B21" s="24">
        <v>18</v>
      </c>
      <c r="C21" s="6"/>
      <c r="D21" s="67"/>
      <c r="E21" s="67"/>
      <c r="F21" s="67"/>
      <c r="G21" s="67"/>
      <c r="H21" s="67"/>
      <c r="I21" s="67"/>
      <c r="J21" s="292"/>
      <c r="K21" s="6">
        <v>18</v>
      </c>
    </row>
    <row r="22" spans="1:11" x14ac:dyDescent="0.2">
      <c r="A22" s="23" t="s">
        <v>799</v>
      </c>
      <c r="B22" s="24">
        <v>19</v>
      </c>
      <c r="C22" s="6"/>
      <c r="D22" s="67"/>
      <c r="E22" s="67"/>
      <c r="F22" s="292"/>
      <c r="G22" s="67"/>
      <c r="H22" s="67"/>
      <c r="I22" s="67"/>
      <c r="J22" s="292"/>
      <c r="K22" s="6">
        <v>19</v>
      </c>
    </row>
    <row r="23" spans="1:11" x14ac:dyDescent="0.2">
      <c r="A23" s="23" t="s">
        <v>800</v>
      </c>
      <c r="B23" s="24">
        <v>20</v>
      </c>
      <c r="C23" s="6"/>
      <c r="D23" s="66" t="e">
        <f t="shared" ref="D23:I23" si="1">SUM(D19:D22)</f>
        <v>#N/A</v>
      </c>
      <c r="E23" s="66">
        <f t="shared" si="1"/>
        <v>0</v>
      </c>
      <c r="F23" s="66">
        <f t="shared" si="1"/>
        <v>0</v>
      </c>
      <c r="G23" s="66">
        <f t="shared" si="1"/>
        <v>0</v>
      </c>
      <c r="H23" s="66">
        <f t="shared" si="1"/>
        <v>0</v>
      </c>
      <c r="I23" s="66">
        <f t="shared" si="1"/>
        <v>0</v>
      </c>
      <c r="J23" s="292"/>
      <c r="K23" s="6">
        <v>20</v>
      </c>
    </row>
    <row r="24" spans="1:11" x14ac:dyDescent="0.2">
      <c r="A24" s="23" t="s">
        <v>801</v>
      </c>
      <c r="B24" s="24">
        <v>21</v>
      </c>
      <c r="C24" s="6"/>
      <c r="D24" s="286" t="e">
        <f>FY17Wk1!D44</f>
        <v>#N/A</v>
      </c>
      <c r="E24" s="286" t="e">
        <f>FY17Wk1!E44</f>
        <v>#N/A</v>
      </c>
      <c r="F24" s="286" t="e">
        <f>FY17Wk1!F44</f>
        <v>#N/A</v>
      </c>
      <c r="G24" s="286" t="e">
        <f>FY17Wk1!G44</f>
        <v>#N/A</v>
      </c>
      <c r="H24" s="286" t="e">
        <f>FY17Wk1!H44</f>
        <v>#N/A</v>
      </c>
      <c r="I24" s="286" t="e">
        <f>FY17Wk1!I44</f>
        <v>#N/A</v>
      </c>
      <c r="J24" s="292"/>
      <c r="K24" s="6">
        <v>21</v>
      </c>
    </row>
    <row r="25" spans="1:11" x14ac:dyDescent="0.2">
      <c r="A25" s="23" t="s">
        <v>802</v>
      </c>
      <c r="B25" s="24">
        <v>22</v>
      </c>
      <c r="C25" s="293"/>
      <c r="D25" s="66" t="e">
        <f t="shared" ref="D25:I25" si="2">SUM(D23:D24)</f>
        <v>#N/A</v>
      </c>
      <c r="E25" s="66" t="e">
        <f t="shared" si="2"/>
        <v>#N/A</v>
      </c>
      <c r="F25" s="66" t="e">
        <f t="shared" si="2"/>
        <v>#N/A</v>
      </c>
      <c r="G25" s="66" t="e">
        <f t="shared" si="2"/>
        <v>#N/A</v>
      </c>
      <c r="H25" s="66" t="e">
        <f t="shared" si="2"/>
        <v>#N/A</v>
      </c>
      <c r="I25" s="66" t="e">
        <f t="shared" si="2"/>
        <v>#N/A</v>
      </c>
      <c r="J25" s="292"/>
      <c r="K25" s="6">
        <v>22</v>
      </c>
    </row>
    <row r="26" spans="1:11" x14ac:dyDescent="0.2">
      <c r="A26" s="25" t="s">
        <v>872</v>
      </c>
      <c r="B26" s="13"/>
      <c r="C26" s="139"/>
    </row>
    <row r="27" spans="1:11" x14ac:dyDescent="0.2">
      <c r="A27" s="23" t="s">
        <v>873</v>
      </c>
      <c r="B27" s="5">
        <v>23</v>
      </c>
      <c r="C27" s="294"/>
      <c r="D27" s="67"/>
      <c r="E27" s="112"/>
      <c r="F27" s="67"/>
      <c r="G27" s="112"/>
      <c r="H27" s="112"/>
      <c r="I27" s="112"/>
      <c r="J27" s="292"/>
      <c r="K27" s="6">
        <v>23</v>
      </c>
    </row>
    <row r="28" spans="1:11" x14ac:dyDescent="0.2">
      <c r="A28" s="23" t="s">
        <v>804</v>
      </c>
      <c r="B28" s="24">
        <v>24</v>
      </c>
      <c r="C28" s="6"/>
      <c r="D28" s="67"/>
      <c r="E28" s="112"/>
      <c r="F28" s="67"/>
      <c r="G28" s="112"/>
      <c r="H28" s="112"/>
      <c r="I28" s="389"/>
      <c r="J28" s="292"/>
      <c r="K28" s="14">
        <v>24</v>
      </c>
    </row>
    <row r="29" spans="1:11" x14ac:dyDescent="0.2">
      <c r="A29" s="23" t="s">
        <v>805</v>
      </c>
      <c r="B29" s="24">
        <v>25</v>
      </c>
      <c r="C29" s="6"/>
      <c r="D29" s="67"/>
      <c r="E29" s="137"/>
      <c r="F29" s="67"/>
      <c r="G29" s="112"/>
      <c r="H29" s="112"/>
      <c r="I29" s="389"/>
      <c r="J29" s="292"/>
      <c r="K29" s="14">
        <v>25</v>
      </c>
    </row>
    <row r="30" spans="1:11" x14ac:dyDescent="0.2">
      <c r="A30" s="23" t="s">
        <v>806</v>
      </c>
      <c r="B30" s="24">
        <v>26</v>
      </c>
      <c r="C30" s="6"/>
      <c r="D30" s="67"/>
      <c r="E30" s="137"/>
      <c r="F30" s="67"/>
      <c r="G30" s="112"/>
      <c r="H30" s="67"/>
      <c r="I30" s="389"/>
      <c r="J30" s="292"/>
      <c r="K30" s="14">
        <v>26</v>
      </c>
    </row>
    <row r="31" spans="1:11" x14ac:dyDescent="0.2">
      <c r="A31" s="4" t="s">
        <v>923</v>
      </c>
      <c r="B31" s="24">
        <v>27</v>
      </c>
      <c r="C31" s="6"/>
      <c r="D31" s="67"/>
      <c r="E31" s="137"/>
      <c r="F31" s="67"/>
      <c r="G31" s="112"/>
      <c r="H31" s="67"/>
      <c r="I31" s="389"/>
      <c r="J31" s="292"/>
      <c r="K31" s="14">
        <v>27</v>
      </c>
    </row>
    <row r="32" spans="1:11" x14ac:dyDescent="0.2">
      <c r="A32" s="23" t="s">
        <v>1066</v>
      </c>
      <c r="B32" s="24">
        <v>28</v>
      </c>
      <c r="C32" s="6"/>
      <c r="D32" s="67"/>
      <c r="E32" s="137"/>
      <c r="F32" s="67"/>
      <c r="G32" s="135"/>
      <c r="H32" s="67"/>
      <c r="I32" s="389"/>
      <c r="J32" s="292"/>
      <c r="K32" s="6">
        <v>28</v>
      </c>
    </row>
    <row r="33" spans="1:11" x14ac:dyDescent="0.2">
      <c r="A33" s="23" t="s">
        <v>807</v>
      </c>
      <c r="B33" s="24">
        <v>29</v>
      </c>
      <c r="C33" s="6"/>
      <c r="D33" s="67"/>
      <c r="E33" s="137"/>
      <c r="F33" s="67"/>
      <c r="G33" s="137"/>
      <c r="H33" s="67"/>
      <c r="I33" s="389"/>
      <c r="J33" s="292"/>
      <c r="K33" s="6">
        <v>29</v>
      </c>
    </row>
    <row r="34" spans="1:11" x14ac:dyDescent="0.2">
      <c r="A34" s="23" t="s">
        <v>808</v>
      </c>
      <c r="B34" s="24">
        <v>30</v>
      </c>
      <c r="C34" s="6"/>
      <c r="D34" s="67"/>
      <c r="E34" s="137"/>
      <c r="F34" s="67"/>
      <c r="G34" s="137"/>
      <c r="H34" s="292"/>
      <c r="I34" s="389"/>
      <c r="J34" s="292"/>
      <c r="K34" s="6">
        <v>30</v>
      </c>
    </row>
    <row r="35" spans="1:11" x14ac:dyDescent="0.2">
      <c r="A35" s="4" t="s">
        <v>924</v>
      </c>
      <c r="B35" s="24">
        <v>31</v>
      </c>
      <c r="C35" s="6"/>
      <c r="D35" s="292"/>
      <c r="E35" s="292"/>
      <c r="F35" s="292"/>
      <c r="G35" s="292"/>
      <c r="H35" s="292"/>
      <c r="I35" s="135"/>
      <c r="J35" s="292"/>
      <c r="K35" s="14">
        <v>31</v>
      </c>
    </row>
    <row r="36" spans="1:11" x14ac:dyDescent="0.2">
      <c r="A36" s="23" t="s">
        <v>874</v>
      </c>
      <c r="B36" s="24">
        <v>32</v>
      </c>
      <c r="C36" s="6"/>
      <c r="D36" s="137"/>
      <c r="E36" s="292"/>
      <c r="F36" s="67"/>
      <c r="G36" s="135"/>
      <c r="H36" s="67"/>
      <c r="I36" s="112"/>
      <c r="J36" s="292"/>
      <c r="K36" s="6">
        <v>32</v>
      </c>
    </row>
    <row r="37" spans="1:11" x14ac:dyDescent="0.2">
      <c r="A37" s="23" t="s">
        <v>813</v>
      </c>
      <c r="B37" s="24">
        <v>33</v>
      </c>
      <c r="C37" s="6"/>
      <c r="D37" s="61"/>
      <c r="E37" s="292"/>
      <c r="F37" s="67"/>
      <c r="G37" s="136"/>
      <c r="H37" s="292"/>
      <c r="I37" s="67"/>
      <c r="J37" s="292"/>
      <c r="K37" s="14">
        <v>33</v>
      </c>
    </row>
    <row r="38" spans="1:11" x14ac:dyDescent="0.2">
      <c r="A38" s="23" t="s">
        <v>875</v>
      </c>
      <c r="B38" s="24">
        <v>34</v>
      </c>
      <c r="C38" s="6"/>
      <c r="D38" s="61"/>
      <c r="E38" s="292"/>
      <c r="F38" s="292"/>
      <c r="G38" s="292"/>
      <c r="H38" s="292"/>
      <c r="I38" s="292"/>
      <c r="J38" s="292"/>
      <c r="K38" s="6">
        <v>34</v>
      </c>
    </row>
    <row r="39" spans="1:11" x14ac:dyDescent="0.2">
      <c r="A39" s="23" t="s">
        <v>815</v>
      </c>
      <c r="B39" s="24">
        <v>35</v>
      </c>
      <c r="C39" s="6"/>
      <c r="D39" s="85" t="e">
        <f>AidLevy!B373</f>
        <v>#N/A</v>
      </c>
      <c r="E39" s="292"/>
      <c r="F39" s="292"/>
      <c r="G39" s="292"/>
      <c r="H39" s="292"/>
      <c r="I39" s="292"/>
      <c r="J39" s="292"/>
      <c r="K39" s="6">
        <v>35</v>
      </c>
    </row>
    <row r="40" spans="1:11" x14ac:dyDescent="0.2">
      <c r="A40" s="23" t="s">
        <v>818</v>
      </c>
      <c r="B40" s="24">
        <v>36</v>
      </c>
      <c r="C40" s="6"/>
      <c r="D40" s="66" t="e">
        <f t="shared" ref="D40:I40" si="3">SUM(D27:D39)</f>
        <v>#N/A</v>
      </c>
      <c r="E40" s="66">
        <f t="shared" si="3"/>
        <v>0</v>
      </c>
      <c r="F40" s="66">
        <f t="shared" si="3"/>
        <v>0</v>
      </c>
      <c r="G40" s="66">
        <f t="shared" si="3"/>
        <v>0</v>
      </c>
      <c r="H40" s="66">
        <f t="shared" si="3"/>
        <v>0</v>
      </c>
      <c r="I40" s="66">
        <f t="shared" si="3"/>
        <v>0</v>
      </c>
      <c r="J40" s="292"/>
      <c r="K40" s="6">
        <v>36</v>
      </c>
    </row>
    <row r="41" spans="1:11" x14ac:dyDescent="0.2">
      <c r="A41" s="23" t="s">
        <v>1477</v>
      </c>
      <c r="B41" s="24">
        <v>37</v>
      </c>
      <c r="C41" s="6"/>
      <c r="D41" s="67"/>
      <c r="E41" s="67"/>
      <c r="F41" s="67"/>
      <c r="G41" s="67"/>
      <c r="H41" s="67"/>
      <c r="I41" s="67"/>
      <c r="J41" s="292"/>
      <c r="K41" s="6">
        <v>37</v>
      </c>
    </row>
    <row r="42" spans="1:11" x14ac:dyDescent="0.2">
      <c r="A42" s="23" t="s">
        <v>819</v>
      </c>
      <c r="B42" s="24">
        <v>38</v>
      </c>
      <c r="C42" s="6"/>
      <c r="D42" s="66" t="e">
        <f t="shared" ref="D42:I42" si="4">SUM(D40:D41)</f>
        <v>#N/A</v>
      </c>
      <c r="E42" s="66">
        <f t="shared" si="4"/>
        <v>0</v>
      </c>
      <c r="F42" s="66">
        <f t="shared" si="4"/>
        <v>0</v>
      </c>
      <c r="G42" s="66">
        <f t="shared" si="4"/>
        <v>0</v>
      </c>
      <c r="H42" s="66">
        <f t="shared" si="4"/>
        <v>0</v>
      </c>
      <c r="I42" s="66">
        <f t="shared" si="4"/>
        <v>0</v>
      </c>
      <c r="J42" s="292"/>
      <c r="K42" s="6">
        <v>38</v>
      </c>
    </row>
    <row r="43" spans="1:11" x14ac:dyDescent="0.2">
      <c r="A43" s="23" t="s">
        <v>820</v>
      </c>
      <c r="B43" s="24">
        <v>39</v>
      </c>
      <c r="C43" s="6"/>
      <c r="D43" s="66" t="e">
        <f t="shared" ref="D43:I43" si="5">D44-D42</f>
        <v>#N/A</v>
      </c>
      <c r="E43" s="66" t="e">
        <f t="shared" si="5"/>
        <v>#N/A</v>
      </c>
      <c r="F43" s="66" t="e">
        <f t="shared" si="5"/>
        <v>#N/A</v>
      </c>
      <c r="G43" s="66" t="e">
        <f t="shared" si="5"/>
        <v>#N/A</v>
      </c>
      <c r="H43" s="66" t="e">
        <f t="shared" si="5"/>
        <v>#N/A</v>
      </c>
      <c r="I43" s="66" t="e">
        <f t="shared" si="5"/>
        <v>#N/A</v>
      </c>
      <c r="J43" s="292"/>
      <c r="K43" s="6">
        <v>39</v>
      </c>
    </row>
    <row r="44" spans="1:11" x14ac:dyDescent="0.2">
      <c r="A44" s="23" t="s">
        <v>821</v>
      </c>
      <c r="B44" s="24">
        <v>40</v>
      </c>
      <c r="C44" s="6"/>
      <c r="D44" s="66" t="e">
        <f t="shared" ref="D44:I44" si="6">D25</f>
        <v>#N/A</v>
      </c>
      <c r="E44" s="66" t="e">
        <f t="shared" si="6"/>
        <v>#N/A</v>
      </c>
      <c r="F44" s="66" t="e">
        <f t="shared" si="6"/>
        <v>#N/A</v>
      </c>
      <c r="G44" s="66" t="e">
        <f t="shared" si="6"/>
        <v>#N/A</v>
      </c>
      <c r="H44" s="66" t="e">
        <f t="shared" si="6"/>
        <v>#N/A</v>
      </c>
      <c r="I44" s="66" t="e">
        <f t="shared" si="6"/>
        <v>#N/A</v>
      </c>
      <c r="J44" s="292"/>
      <c r="K44" s="6">
        <v>40</v>
      </c>
    </row>
  </sheetData>
  <sheetProtection password="C47C" sheet="1" objects="1" scenarios="1"/>
  <customSheetViews>
    <customSheetView guid="{53CC1FF8-69F4-40AB-9E52-A9F35D642996}" scale="80" showGridLines="0" fitToPage="1" state="hidden">
      <pane xSplit="3" ySplit="3" topLeftCell="D4" activePane="bottomRight" state="frozen"/>
      <selection pane="bottomRight" activeCell="A2" sqref="A2"/>
      <pageMargins left="0.5" right="0.5" top="0.5" bottom="0.5" header="0.5" footer="0.5"/>
      <printOptions horizontalCentered="1" verticalCentered="1"/>
      <pageSetup scale="93" orientation="landscape" horizontalDpi="1200" verticalDpi="1200" r:id="rId1"/>
      <headerFooter alignWithMargins="0"/>
    </customSheetView>
  </customSheetViews>
  <mergeCells count="2">
    <mergeCell ref="E2:J2"/>
    <mergeCell ref="D1:G1"/>
  </mergeCells>
  <phoneticPr fontId="0" type="noConversion"/>
  <dataValidations count="3">
    <dataValidation type="whole" allowBlank="1" showInputMessage="1" showErrorMessage="1" error="Only a WHOLE number can be entered in this area.  Select cancel and reenter an appropriate number." sqref="D27:J44 D6:D25 E4:J25">
      <formula1>-999999999999</formula1>
      <formula2>999999999999</formula2>
    </dataValidation>
    <dataValidation type="whole" allowBlank="1" showInputMessage="1" showErrorMessage="1" error="Only a WHOLE number can be entered in this area.  Select cancel and reenter an appropriate number." sqref="D4">
      <formula1>-999999999999</formula1>
      <formula2>999999999999</formula2>
    </dataValidation>
    <dataValidation type="whole" allowBlank="1" showInputMessage="1" showErrorMessage="1" error="Only a WHOLE number can be entered in this area.  Select cancel and reenter an appropriate number." sqref="D5">
      <formula1>-999999999999</formula1>
      <formula2>999999999999</formula2>
    </dataValidation>
  </dataValidations>
  <printOptions horizontalCentered="1" verticalCentered="1"/>
  <pageMargins left="0.5" right="0.5" top="0.5" bottom="0.5" header="0.5" footer="0.5"/>
  <pageSetup scale="93" orientation="landscape" horizontalDpi="1200" verticalDpi="1200"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99"/>
    <pageSetUpPr fitToPage="1"/>
  </sheetPr>
  <dimension ref="A1:P46"/>
  <sheetViews>
    <sheetView showGridLines="0" zoomScale="80" zoomScaleNormal="80" workbookViewId="0">
      <pane xSplit="2" ySplit="3" topLeftCell="C4" activePane="bottomRight" state="frozen"/>
      <selection activeCell="D2" sqref="D2:G2"/>
      <selection pane="topRight" activeCell="D2" sqref="D2:G2"/>
      <selection pane="bottomLeft" activeCell="D2" sqref="D2:G2"/>
      <selection pane="bottomRight" activeCell="N1" sqref="M1:N1048576"/>
    </sheetView>
  </sheetViews>
  <sheetFormatPr defaultColWidth="9" defaultRowHeight="12.75" x14ac:dyDescent="0.2"/>
  <cols>
    <col min="1" max="1" width="44.85546875" style="15" customWidth="1"/>
    <col min="2" max="2" width="3.5703125" style="2" customWidth="1"/>
    <col min="3" max="10" width="15.140625" style="18" customWidth="1"/>
    <col min="11" max="11" width="3.5703125" style="2" customWidth="1"/>
    <col min="12" max="12" width="9" style="2"/>
    <col min="13" max="13" width="12.5703125" style="2" hidden="1" customWidth="1"/>
    <col min="14" max="14" width="0" style="2" hidden="1" customWidth="1"/>
    <col min="15" max="15" width="9" style="2"/>
    <col min="16" max="16" width="15.85546875" style="2" customWidth="1"/>
    <col min="17" max="16384" width="9" style="2"/>
  </cols>
  <sheetData>
    <row r="1" spans="1:16" ht="19.5" thickBot="1" x14ac:dyDescent="0.35">
      <c r="A1" s="17" t="s">
        <v>876</v>
      </c>
      <c r="C1" s="906" t="str">
        <f>CONCATENATE("FY ",DoM!$B$6," BUDGET YEAR WORKSHEET - Page 2")</f>
        <v>FY 2018 BUDGET YEAR WORKSHEET - Page 2</v>
      </c>
      <c r="D1" s="906"/>
      <c r="E1" s="906"/>
      <c r="F1" s="906"/>
      <c r="H1" s="41" t="s">
        <v>846</v>
      </c>
      <c r="I1" s="41" t="e">
        <f>InputsResults!$J$3</f>
        <v>#N/A</v>
      </c>
      <c r="J1" s="41"/>
      <c r="L1" s="13"/>
    </row>
    <row r="2" spans="1:16" ht="12.75" customHeight="1" x14ac:dyDescent="0.2">
      <c r="A2" s="598">
        <f>InputsResults!$K$3</f>
        <v>0</v>
      </c>
      <c r="B2" s="16"/>
      <c r="C2" s="903" t="s">
        <v>1492</v>
      </c>
      <c r="D2" s="904"/>
      <c r="E2" s="905"/>
      <c r="F2" s="433" t="s">
        <v>880</v>
      </c>
      <c r="G2" s="901" t="s">
        <v>877</v>
      </c>
      <c r="H2" s="902"/>
      <c r="I2" s="53" t="s">
        <v>878</v>
      </c>
      <c r="J2" s="53" t="s">
        <v>879</v>
      </c>
      <c r="K2" s="19"/>
      <c r="L2" s="432"/>
      <c r="M2" s="432"/>
      <c r="N2" s="340"/>
      <c r="O2" s="340"/>
      <c r="P2" s="340"/>
    </row>
    <row r="3" spans="1:16" x14ac:dyDescent="0.2">
      <c r="A3" s="20" t="s">
        <v>871</v>
      </c>
      <c r="B3" s="422"/>
      <c r="C3" s="423" t="s">
        <v>1486</v>
      </c>
      <c r="D3" s="39" t="s">
        <v>1489</v>
      </c>
      <c r="E3" s="39" t="s">
        <v>1487</v>
      </c>
      <c r="F3" s="434" t="s">
        <v>1490</v>
      </c>
      <c r="G3" s="21" t="s">
        <v>932</v>
      </c>
      <c r="H3" s="421" t="s">
        <v>933</v>
      </c>
      <c r="I3" s="52" t="str">
        <f>DoM!$C$5</f>
        <v>FY17</v>
      </c>
      <c r="J3" s="52" t="str">
        <f>CONCATENATE("FY",RIGHT(DoM!B5-1,2))</f>
        <v>FY16</v>
      </c>
      <c r="K3" s="22"/>
      <c r="L3" s="432"/>
      <c r="M3" s="432"/>
      <c r="N3" s="340"/>
      <c r="O3" s="340"/>
      <c r="P3" s="340"/>
    </row>
    <row r="4" spans="1:16" x14ac:dyDescent="0.2">
      <c r="A4" s="4" t="s">
        <v>785</v>
      </c>
      <c r="B4" s="63">
        <v>1</v>
      </c>
      <c r="C4" s="296"/>
      <c r="D4" s="66">
        <f>TaxCert!E42+TaxCert!E43</f>
        <v>0</v>
      </c>
      <c r="E4" s="292"/>
      <c r="F4" s="66">
        <f>TaxCert!E49</f>
        <v>0</v>
      </c>
      <c r="G4" s="61"/>
      <c r="H4" s="61"/>
      <c r="I4" s="67">
        <f>FY17Wk2!I5</f>
        <v>0</v>
      </c>
      <c r="J4" s="288" t="e">
        <f>INDEX(SNAMEB[],MATCH($I$1,SNAMEB[DIST],0),MATCH($M4,SNAMEB[#Headers],0))+M45</f>
        <v>#N/A</v>
      </c>
      <c r="K4" s="6">
        <v>1</v>
      </c>
      <c r="L4" s="432"/>
      <c r="M4" s="788" t="str">
        <f>SNAMEB[[#Headers],[Property Tax Revenue]]</f>
        <v>Property Tax Revenue</v>
      </c>
      <c r="N4" s="340"/>
      <c r="O4" s="340"/>
      <c r="P4" s="340"/>
    </row>
    <row r="5" spans="1:16" x14ac:dyDescent="0.2">
      <c r="A5" s="4" t="s">
        <v>786</v>
      </c>
      <c r="B5" s="139">
        <v>2</v>
      </c>
      <c r="C5" s="296"/>
      <c r="D5" s="138">
        <f>TaxCert!F42+TaxCert!F43</f>
        <v>0</v>
      </c>
      <c r="E5" s="412"/>
      <c r="F5" s="138">
        <f>TaxCert!F49</f>
        <v>0</v>
      </c>
      <c r="G5" s="61"/>
      <c r="H5" s="61"/>
      <c r="I5" s="67">
        <f>FY17Wk2!I6</f>
        <v>0</v>
      </c>
      <c r="J5" s="288" t="e">
        <f>INDEX(SNAMEB[],MATCH($I$1,SNAMEB[DIST],0),MATCH($M5,SNAMEB[#Headers],0))</f>
        <v>#N/A</v>
      </c>
      <c r="K5" s="6">
        <v>2</v>
      </c>
      <c r="L5" s="432"/>
      <c r="M5" s="788" t="str">
        <f>SNAMEB[[#Headers],[Utility Excise ReplacementTax Revenue]]</f>
        <v>Utility Excise ReplacementTax Revenue</v>
      </c>
      <c r="N5" s="340"/>
      <c r="O5" s="340"/>
      <c r="P5" s="340"/>
    </row>
    <row r="6" spans="1:16" x14ac:dyDescent="0.2">
      <c r="A6" s="4" t="s">
        <v>787</v>
      </c>
      <c r="B6" s="139">
        <v>3</v>
      </c>
      <c r="C6" s="296"/>
      <c r="D6" s="112"/>
      <c r="E6" s="292"/>
      <c r="F6" s="61"/>
      <c r="G6" s="61"/>
      <c r="H6" s="61"/>
      <c r="I6" s="67">
        <f>FY17Wk2!I7</f>
        <v>0</v>
      </c>
      <c r="J6" s="288" t="e">
        <f>INDEX(SNAMEB[],MATCH($I$1,SNAMEB[DIST],0),MATCH($M6,SNAMEB[#Headers],0))</f>
        <v>#N/A</v>
      </c>
      <c r="K6" s="6">
        <v>3</v>
      </c>
      <c r="L6" s="432"/>
      <c r="M6" s="788" t="str">
        <f>SNAMEB[[#Headers],[Income Surtax Revenue]]</f>
        <v>Income Surtax Revenue</v>
      </c>
      <c r="N6" s="340"/>
      <c r="O6" s="340"/>
      <c r="P6" s="340"/>
    </row>
    <row r="7" spans="1:16" x14ac:dyDescent="0.2">
      <c r="A7" s="4" t="s">
        <v>788</v>
      </c>
      <c r="B7" s="139">
        <v>4</v>
      </c>
      <c r="C7" s="296"/>
      <c r="D7" s="292"/>
      <c r="E7" s="61"/>
      <c r="F7" s="61"/>
      <c r="G7" s="61"/>
      <c r="H7" s="61"/>
      <c r="I7" s="67">
        <f>FY17Wk2!I8</f>
        <v>0</v>
      </c>
      <c r="J7" s="288" t="e">
        <f>INDEX(SNAMEB[],MATCH($I$1,SNAMEB[DIST],0),MATCH($M7,SNAMEB[#Headers],0))</f>
        <v>#N/A</v>
      </c>
      <c r="K7" s="6">
        <v>4</v>
      </c>
      <c r="L7" s="432"/>
      <c r="M7" s="788" t="str">
        <f>SNAMEB[[#Headers],[Tuition/TransportationRevenue]]</f>
        <v>Tuition/TransportationRevenue</v>
      </c>
      <c r="N7" s="340"/>
      <c r="O7" s="340"/>
      <c r="P7" s="340"/>
    </row>
    <row r="8" spans="1:16" x14ac:dyDescent="0.2">
      <c r="A8" s="4" t="s">
        <v>789</v>
      </c>
      <c r="B8" s="139">
        <v>5</v>
      </c>
      <c r="C8" s="424"/>
      <c r="D8" s="291"/>
      <c r="E8" s="67"/>
      <c r="F8" s="67"/>
      <c r="G8" s="67"/>
      <c r="H8" s="67"/>
      <c r="I8" s="67">
        <f>FY17Wk2!I9</f>
        <v>0</v>
      </c>
      <c r="J8" s="288" t="e">
        <f>INDEX(SNAMEB[],MATCH($I$1,SNAMEB[DIST],0),MATCH($M8,SNAMEB[#Headers],0))</f>
        <v>#N/A</v>
      </c>
      <c r="K8" s="6">
        <v>5</v>
      </c>
      <c r="L8" s="432"/>
      <c r="M8" s="788" t="str">
        <f>SNAMEB[[#Headers],[Interest Revenue]]</f>
        <v>Interest Revenue</v>
      </c>
      <c r="N8" s="340"/>
      <c r="O8" s="340"/>
      <c r="P8" s="340"/>
    </row>
    <row r="9" spans="1:16" x14ac:dyDescent="0.2">
      <c r="A9" s="4" t="s">
        <v>790</v>
      </c>
      <c r="B9" s="139">
        <v>6</v>
      </c>
      <c r="C9" s="296"/>
      <c r="D9" s="292"/>
      <c r="E9" s="61"/>
      <c r="F9" s="61"/>
      <c r="G9" s="67"/>
      <c r="H9" s="112"/>
      <c r="I9" s="67">
        <f>FY17Wk2!I10</f>
        <v>0</v>
      </c>
      <c r="J9" s="288" t="e">
        <f>INDEX(SNAMEB[],MATCH($I$1,SNAMEB[DIST],0),MATCH($M9,SNAMEB[#Headers],0))</f>
        <v>#N/A</v>
      </c>
      <c r="K9" s="6">
        <v>6</v>
      </c>
      <c r="L9" s="432"/>
      <c r="M9" s="788" t="str">
        <f>SNAMEB[[#Headers],[Nutrition Revenue]]</f>
        <v>Nutrition Revenue</v>
      </c>
      <c r="N9" s="340"/>
      <c r="O9" s="340"/>
      <c r="P9" s="340"/>
    </row>
    <row r="10" spans="1:16" x14ac:dyDescent="0.2">
      <c r="A10" s="4" t="s">
        <v>791</v>
      </c>
      <c r="B10" s="139">
        <v>7</v>
      </c>
      <c r="C10" s="296"/>
      <c r="D10" s="292"/>
      <c r="E10" s="292"/>
      <c r="F10" s="292"/>
      <c r="G10" s="292"/>
      <c r="H10" s="112"/>
      <c r="I10" s="67">
        <f>FY17Wk2!I11</f>
        <v>0</v>
      </c>
      <c r="J10" s="288" t="e">
        <f>INDEX(SNAMEB[],MATCH($I$1,SNAMEB[DIST],0),MATCH($M10,SNAMEB[#Headers],0))</f>
        <v>#N/A</v>
      </c>
      <c r="K10" s="6">
        <v>7</v>
      </c>
      <c r="L10" s="432"/>
      <c r="M10" s="788" t="str">
        <f>SNAMEB[[#Headers],[Activities Revenue]]</f>
        <v>Activities Revenue</v>
      </c>
      <c r="N10" s="340"/>
      <c r="O10" s="340"/>
      <c r="P10" s="340"/>
    </row>
    <row r="11" spans="1:16" x14ac:dyDescent="0.2">
      <c r="A11" s="4" t="s">
        <v>792</v>
      </c>
      <c r="B11" s="139">
        <v>8</v>
      </c>
      <c r="C11" s="424"/>
      <c r="D11" s="135"/>
      <c r="E11" s="67"/>
      <c r="F11" s="67"/>
      <c r="G11" s="67"/>
      <c r="H11" s="67"/>
      <c r="I11" s="67">
        <f>FY17Wk2!I12</f>
        <v>0</v>
      </c>
      <c r="J11" s="288" t="e">
        <f>INDEX(SNAMEB[],MATCH($I$1,SNAMEB[DIST],0),MATCH($M11,SNAMEB[#Headers],0))</f>
        <v>#N/A</v>
      </c>
      <c r="K11" s="6">
        <v>8</v>
      </c>
      <c r="L11" s="432"/>
      <c r="M11" s="788" t="str">
        <f>SNAMEB[[#Headers],[Other Local SourcesRevenue]]</f>
        <v>Other Local SourcesRevenue</v>
      </c>
      <c r="N11" s="340"/>
      <c r="O11" s="340"/>
      <c r="P11" s="340"/>
    </row>
    <row r="12" spans="1:16" x14ac:dyDescent="0.2">
      <c r="A12" s="4" t="s">
        <v>793</v>
      </c>
      <c r="B12" s="139">
        <v>9</v>
      </c>
      <c r="C12" s="425"/>
      <c r="D12" s="112"/>
      <c r="E12" s="136"/>
      <c r="F12" s="292"/>
      <c r="G12" s="67"/>
      <c r="H12" s="67"/>
      <c r="I12" s="67">
        <f>FY17Wk2!I13</f>
        <v>0</v>
      </c>
      <c r="J12" s="288" t="e">
        <f>INDEX(SNAMEB[],MATCH($I$1,SNAMEB[DIST],0),MATCH($M12,SNAMEB[#Headers],0))</f>
        <v>#N/A</v>
      </c>
      <c r="K12" s="6">
        <v>9</v>
      </c>
      <c r="L12" s="432"/>
      <c r="M12" s="788" t="str">
        <f>SNAMEB[[#Headers],[Intermediary Revenue]]</f>
        <v>Intermediary Revenue</v>
      </c>
      <c r="N12" s="340"/>
      <c r="O12" s="340"/>
      <c r="P12" s="340"/>
    </row>
    <row r="13" spans="1:16" x14ac:dyDescent="0.2">
      <c r="A13" s="4" t="s">
        <v>794</v>
      </c>
      <c r="B13" s="139">
        <v>10</v>
      </c>
      <c r="C13" s="296"/>
      <c r="D13" s="292"/>
      <c r="E13" s="292"/>
      <c r="F13" s="292"/>
      <c r="G13" s="292"/>
      <c r="H13" s="292"/>
      <c r="I13" s="67">
        <f>FY17Wk2!I14</f>
        <v>0</v>
      </c>
      <c r="J13" s="288" t="e">
        <f>INDEX(SNAMEB[],MATCH($I$1,SNAMEB[DIST],0),MATCH($M13,SNAMEB[#Headers],0))</f>
        <v>#N/A</v>
      </c>
      <c r="K13" s="6">
        <v>10</v>
      </c>
      <c r="L13" s="432"/>
      <c r="M13" s="788" t="str">
        <f>SNAMEB[[#Headers],[State Aid Revenue]]</f>
        <v>State Aid Revenue</v>
      </c>
      <c r="N13" s="340"/>
      <c r="O13" s="340"/>
      <c r="P13" s="340"/>
    </row>
    <row r="14" spans="1:16" x14ac:dyDescent="0.2">
      <c r="A14" s="4" t="s">
        <v>795</v>
      </c>
      <c r="B14" s="139">
        <v>11</v>
      </c>
      <c r="C14" s="296"/>
      <c r="D14" s="292"/>
      <c r="E14" s="292"/>
      <c r="F14" s="292"/>
      <c r="G14" s="292"/>
      <c r="H14" s="292"/>
      <c r="I14" s="67">
        <f>FY17Wk2!I15</f>
        <v>0</v>
      </c>
      <c r="J14" s="288" t="e">
        <f>INDEX(SNAMEB[],MATCH($I$1,SNAMEB[DIST],0),MATCH($M14,SNAMEB[#Headers],0))</f>
        <v>#N/A</v>
      </c>
      <c r="K14" s="6">
        <v>11</v>
      </c>
      <c r="L14" s="432"/>
      <c r="M14" s="788" t="str">
        <f>SNAMEB[[#Headers],[Instructional SupportRevenue]]</f>
        <v>Instructional SupportRevenue</v>
      </c>
      <c r="N14" s="340"/>
      <c r="O14" s="340"/>
      <c r="P14" s="340"/>
    </row>
    <row r="15" spans="1:16" x14ac:dyDescent="0.2">
      <c r="A15" s="4" t="s">
        <v>796</v>
      </c>
      <c r="B15" s="139">
        <v>12</v>
      </c>
      <c r="C15" s="424"/>
      <c r="D15" s="67"/>
      <c r="E15" s="67"/>
      <c r="F15" s="67"/>
      <c r="G15" s="67"/>
      <c r="H15" s="112"/>
      <c r="I15" s="67">
        <f>FY17Wk2!I16</f>
        <v>0</v>
      </c>
      <c r="J15" s="288" t="e">
        <f>INDEX(SNAMEB[],MATCH($I$1,SNAMEB[DIST],0),MATCH($M15,SNAMEB[#Headers],0))</f>
        <v>#N/A</v>
      </c>
      <c r="K15" s="6">
        <v>12</v>
      </c>
      <c r="L15" s="432"/>
      <c r="M15" s="788" t="str">
        <f>SNAMEB[[#Headers],[Other State Revenue]]</f>
        <v>Other State Revenue</v>
      </c>
      <c r="N15" s="340"/>
      <c r="O15" s="340"/>
      <c r="P15" s="340"/>
    </row>
    <row r="16" spans="1:16" x14ac:dyDescent="0.2">
      <c r="A16" s="4" t="s">
        <v>1645</v>
      </c>
      <c r="B16" s="139">
        <v>13</v>
      </c>
      <c r="C16" s="296"/>
      <c r="D16" s="67">
        <f>'C I Est'!C28+'C I Est'!C29</f>
        <v>0</v>
      </c>
      <c r="E16" s="292"/>
      <c r="F16" s="67">
        <f>'C I Est'!C34</f>
        <v>0</v>
      </c>
      <c r="G16" s="292"/>
      <c r="H16" s="292"/>
      <c r="I16" s="67">
        <f>FY17Wk2!I17</f>
        <v>0</v>
      </c>
      <c r="J16" s="288" t="e">
        <f>INDEX(SNAMEB[],MATCH($I$1,SNAMEB[DIST],0),MATCH($M16,SNAMEB[#Headers],0))</f>
        <v>#N/A</v>
      </c>
      <c r="K16" s="6">
        <v>13</v>
      </c>
      <c r="L16" s="432"/>
      <c r="M16" s="788" t="str">
        <f>SNAMEB[[#Headers],[Commercial and IndustrialReplacement Revenue]]</f>
        <v>Commercial and IndustrialReplacement Revenue</v>
      </c>
      <c r="N16" s="340"/>
      <c r="O16" s="340"/>
      <c r="P16" s="340"/>
    </row>
    <row r="17" spans="1:16" x14ac:dyDescent="0.2">
      <c r="A17" s="23" t="s">
        <v>700</v>
      </c>
      <c r="B17" s="139">
        <v>14</v>
      </c>
      <c r="C17" s="296"/>
      <c r="D17" s="292"/>
      <c r="E17" s="136"/>
      <c r="F17" s="292"/>
      <c r="G17" s="292"/>
      <c r="H17" s="292"/>
      <c r="I17" s="112">
        <f>FY17Wk2!I18</f>
        <v>0</v>
      </c>
      <c r="J17" s="288" t="e">
        <f>INDEX(SNAMEB[],MATCH($I$1,SNAMEB[DIST],0),MATCH($M17,SNAMEB[#Headers],0))</f>
        <v>#N/A</v>
      </c>
      <c r="K17" s="6">
        <v>14</v>
      </c>
      <c r="L17" s="432"/>
      <c r="M17" s="788" t="str">
        <f>SNAMEB[[#Headers],[Title I Revenue]]</f>
        <v>Title I Revenue</v>
      </c>
      <c r="N17" s="340"/>
      <c r="O17" s="340"/>
      <c r="P17" s="340"/>
    </row>
    <row r="18" spans="1:16" x14ac:dyDescent="0.2">
      <c r="A18" s="4" t="s">
        <v>922</v>
      </c>
      <c r="B18" s="139">
        <v>15</v>
      </c>
      <c r="C18" s="424"/>
      <c r="D18" s="67"/>
      <c r="E18" s="67"/>
      <c r="F18" s="67"/>
      <c r="G18" s="67"/>
      <c r="H18" s="112"/>
      <c r="I18" s="67">
        <f>FY17Wk2!I19</f>
        <v>0</v>
      </c>
      <c r="J18" s="288" t="e">
        <f>INDEX(SNAMEB[],MATCH($I$1,SNAMEB[DIST],0),MATCH($M18,SNAMEB[#Headers],0))</f>
        <v>#N/A</v>
      </c>
      <c r="K18" s="6">
        <v>15</v>
      </c>
      <c r="L18" s="432"/>
      <c r="M18" s="788" t="str">
        <f>SNAMEB[[#Headers],[IDEA/Other Fed Revenue]]</f>
        <v>IDEA/Other Fed Revenue</v>
      </c>
      <c r="N18" s="340"/>
      <c r="O18" s="340"/>
      <c r="P18" s="340"/>
    </row>
    <row r="19" spans="1:16" x14ac:dyDescent="0.2">
      <c r="A19" s="23" t="s">
        <v>797</v>
      </c>
      <c r="B19" s="139">
        <v>16</v>
      </c>
      <c r="C19" s="426">
        <f t="shared" ref="C19:J19" si="0">SUM(C4:C18)</f>
        <v>0</v>
      </c>
      <c r="D19" s="66">
        <f t="shared" si="0"/>
        <v>0</v>
      </c>
      <c r="E19" s="66">
        <f t="shared" si="0"/>
        <v>0</v>
      </c>
      <c r="F19" s="68">
        <f t="shared" si="0"/>
        <v>0</v>
      </c>
      <c r="G19" s="68">
        <f t="shared" si="0"/>
        <v>0</v>
      </c>
      <c r="H19" s="68">
        <f t="shared" si="0"/>
        <v>0</v>
      </c>
      <c r="I19" s="68">
        <f t="shared" si="0"/>
        <v>0</v>
      </c>
      <c r="J19" s="68" t="e">
        <f t="shared" si="0"/>
        <v>#N/A</v>
      </c>
      <c r="K19" s="6">
        <v>16</v>
      </c>
      <c r="L19" s="432"/>
      <c r="M19" s="789"/>
      <c r="N19" s="340"/>
      <c r="O19" s="340"/>
      <c r="P19" s="340"/>
    </row>
    <row r="20" spans="1:16" x14ac:dyDescent="0.2">
      <c r="A20" s="23" t="s">
        <v>798</v>
      </c>
      <c r="B20" s="139">
        <v>17</v>
      </c>
      <c r="C20" s="424"/>
      <c r="D20" s="67"/>
      <c r="E20" s="137"/>
      <c r="F20" s="136"/>
      <c r="G20" s="292"/>
      <c r="H20" s="292"/>
      <c r="I20" s="67">
        <f>FY17Wk2!I21</f>
        <v>0</v>
      </c>
      <c r="J20" s="288" t="e">
        <f>INDEX(SNAMEB[],MATCH($I$1,SNAMEB[DIST],0),MATCH($M20,SNAMEB[#Headers],0))</f>
        <v>#N/A</v>
      </c>
      <c r="K20" s="6">
        <v>17</v>
      </c>
      <c r="L20" s="432"/>
      <c r="M20" s="788" t="str">
        <f>SNAMEB[[#Headers],[General Long-term DebtProceeds]]</f>
        <v>General Long-term DebtProceeds</v>
      </c>
      <c r="N20" s="340"/>
      <c r="O20" s="340"/>
      <c r="P20" s="340"/>
    </row>
    <row r="21" spans="1:16" x14ac:dyDescent="0.2">
      <c r="A21" s="23" t="s">
        <v>1476</v>
      </c>
      <c r="B21" s="139">
        <v>18</v>
      </c>
      <c r="C21" s="427"/>
      <c r="D21" s="67"/>
      <c r="E21" s="137"/>
      <c r="F21" s="67"/>
      <c r="G21" s="67"/>
      <c r="H21" s="67"/>
      <c r="I21" s="67">
        <f>FY17Wk2!I22</f>
        <v>0</v>
      </c>
      <c r="J21" s="288" t="e">
        <f>INDEX(SNAMEB[],MATCH($I$1,SNAMEB[DIST],0),MATCH($M21,SNAMEB[#Headers],0))</f>
        <v>#N/A</v>
      </c>
      <c r="K21" s="6">
        <v>18</v>
      </c>
      <c r="L21" s="432"/>
      <c r="M21" s="788" t="str">
        <f>SNAMEB[[#Headers],[TransfersIn/Other Financing]]</f>
        <v>TransfersIn/Other Financing</v>
      </c>
      <c r="N21" s="340"/>
      <c r="O21" s="340"/>
      <c r="P21" s="340"/>
    </row>
    <row r="22" spans="1:16" x14ac:dyDescent="0.2">
      <c r="A22" s="23" t="s">
        <v>799</v>
      </c>
      <c r="B22" s="139">
        <v>19</v>
      </c>
      <c r="C22" s="424"/>
      <c r="D22" s="67"/>
      <c r="E22" s="67"/>
      <c r="F22" s="61"/>
      <c r="G22" s="67"/>
      <c r="H22" s="67"/>
      <c r="I22" s="67">
        <f>FY17Wk2!I23</f>
        <v>0</v>
      </c>
      <c r="J22" s="288" t="e">
        <f>INDEX(SNAMEB[],MATCH($I$1,SNAMEB[DIST],0),MATCH($M22,SNAMEB[#Headers],0))</f>
        <v>#N/A</v>
      </c>
      <c r="K22" s="6">
        <v>19</v>
      </c>
      <c r="L22" s="432"/>
      <c r="M22" s="788" t="str">
        <f>SNAMEB[[#Headers],[Fixed Asset Disposition]]</f>
        <v>Fixed Asset Disposition</v>
      </c>
      <c r="N22" s="340"/>
      <c r="O22" s="340"/>
      <c r="P22" s="340"/>
    </row>
    <row r="23" spans="1:16" x14ac:dyDescent="0.2">
      <c r="A23" s="23" t="s">
        <v>800</v>
      </c>
      <c r="B23" s="139">
        <v>20</v>
      </c>
      <c r="C23" s="428">
        <f t="shared" ref="C23:I23" si="1">SUM(C19:C22)</f>
        <v>0</v>
      </c>
      <c r="D23" s="66">
        <f>SUM(D19:D22)</f>
        <v>0</v>
      </c>
      <c r="E23" s="66">
        <f>SUM(E19:E22)</f>
        <v>0</v>
      </c>
      <c r="F23" s="68">
        <f t="shared" si="1"/>
        <v>0</v>
      </c>
      <c r="G23" s="68">
        <f t="shared" si="1"/>
        <v>0</v>
      </c>
      <c r="H23" s="68">
        <f t="shared" si="1"/>
        <v>0</v>
      </c>
      <c r="I23" s="68">
        <f t="shared" si="1"/>
        <v>0</v>
      </c>
      <c r="J23" s="68" t="e">
        <f>SUM(J19:J22)</f>
        <v>#N/A</v>
      </c>
      <c r="K23" s="6">
        <v>20</v>
      </c>
      <c r="L23" s="432"/>
      <c r="M23" s="789"/>
      <c r="N23" s="340"/>
      <c r="O23" s="340"/>
      <c r="P23" s="340"/>
    </row>
    <row r="24" spans="1:16" x14ac:dyDescent="0.2">
      <c r="A24" s="23" t="s">
        <v>801</v>
      </c>
      <c r="B24" s="139">
        <v>21</v>
      </c>
      <c r="C24" s="436" t="e">
        <f>FY17Wk2!C44</f>
        <v>#N/A</v>
      </c>
      <c r="D24" s="437" t="e">
        <f>FY17Wk2!D44</f>
        <v>#N/A</v>
      </c>
      <c r="E24" s="437" t="e">
        <f>FY17Wk2!E44</f>
        <v>#N/A</v>
      </c>
      <c r="F24" s="437" t="e">
        <f>FY17Wk2!F44</f>
        <v>#N/A</v>
      </c>
      <c r="G24" s="437" t="e">
        <f>FY17Wk2!G44</f>
        <v>#N/A</v>
      </c>
      <c r="H24" s="437" t="e">
        <f>FY17Wk2!H44</f>
        <v>#N/A</v>
      </c>
      <c r="I24" s="286" t="e">
        <f>FY17Wk2!I25</f>
        <v>#N/A</v>
      </c>
      <c r="J24" s="288" t="e">
        <f>INDEX(SNAMEB[],MATCH($I$1,SNAMEB[DIST],0),MATCH($M24,SNAMEB[#Headers],0))</f>
        <v>#N/A</v>
      </c>
      <c r="K24" s="6">
        <v>21</v>
      </c>
      <c r="L24" s="432"/>
      <c r="M24" s="788" t="str">
        <f>SNAMEB[[#Headers],[Beginning Fund Balance]]</f>
        <v>Beginning Fund Balance</v>
      </c>
      <c r="N24" s="340"/>
      <c r="O24" s="340"/>
      <c r="P24" s="340"/>
    </row>
    <row r="25" spans="1:16" x14ac:dyDescent="0.2">
      <c r="A25" s="23" t="s">
        <v>802</v>
      </c>
      <c r="B25" s="139">
        <v>22</v>
      </c>
      <c r="C25" s="435" t="e">
        <f t="shared" ref="C25:I25" si="2">SUM(C23:C24)</f>
        <v>#N/A</v>
      </c>
      <c r="D25" s="66" t="e">
        <f>SUM(D23:D24)</f>
        <v>#N/A</v>
      </c>
      <c r="E25" s="66" t="e">
        <f>SUM(E23:E24)</f>
        <v>#N/A</v>
      </c>
      <c r="F25" s="66" t="e">
        <f t="shared" si="2"/>
        <v>#N/A</v>
      </c>
      <c r="G25" s="66" t="e">
        <f t="shared" si="2"/>
        <v>#N/A</v>
      </c>
      <c r="H25" s="66" t="e">
        <f t="shared" si="2"/>
        <v>#N/A</v>
      </c>
      <c r="I25" s="66" t="e">
        <f t="shared" si="2"/>
        <v>#N/A</v>
      </c>
      <c r="J25" s="66" t="e">
        <f>SUM(J23:J24)</f>
        <v>#N/A</v>
      </c>
      <c r="K25" s="6">
        <v>22</v>
      </c>
      <c r="L25" s="432"/>
      <c r="M25" s="789"/>
      <c r="N25" s="340"/>
      <c r="O25" s="340"/>
      <c r="P25" s="104"/>
    </row>
    <row r="26" spans="1:16" x14ac:dyDescent="0.2">
      <c r="A26" s="25" t="s">
        <v>872</v>
      </c>
      <c r="B26" s="13"/>
      <c r="C26" s="411"/>
      <c r="D26" s="411"/>
      <c r="E26" s="411"/>
      <c r="F26" s="411"/>
      <c r="G26" s="411"/>
      <c r="H26" s="411"/>
      <c r="I26" s="411"/>
      <c r="J26" s="411"/>
      <c r="K26" s="13"/>
      <c r="L26" s="432"/>
      <c r="M26" s="789"/>
      <c r="N26" s="340"/>
      <c r="O26" s="340"/>
      <c r="P26" s="432"/>
    </row>
    <row r="27" spans="1:16" x14ac:dyDescent="0.2">
      <c r="A27" s="205" t="s">
        <v>873</v>
      </c>
      <c r="B27" s="139">
        <v>23</v>
      </c>
      <c r="C27" s="424"/>
      <c r="D27" s="137"/>
      <c r="E27" s="67"/>
      <c r="F27" s="292"/>
      <c r="G27" s="67"/>
      <c r="H27" s="67"/>
      <c r="I27" s="67">
        <f>FY17Wk2!I28</f>
        <v>0</v>
      </c>
      <c r="J27" s="288" t="e">
        <f>INDEX(SNAMEB[],MATCH($I$1,SNAMEB[DIST],0),MATCH($M27,SNAMEB[#Headers],0))</f>
        <v>#N/A</v>
      </c>
      <c r="K27" s="6">
        <v>23</v>
      </c>
      <c r="L27" s="432"/>
      <c r="M27" s="788" t="str">
        <f>SNAMEB[[#Headers],[Instruction Expenditures]]</f>
        <v>Instruction Expenditures</v>
      </c>
      <c r="N27" s="340"/>
      <c r="O27" s="340"/>
      <c r="P27" s="641"/>
    </row>
    <row r="28" spans="1:16" x14ac:dyDescent="0.2">
      <c r="A28" s="23" t="s">
        <v>804</v>
      </c>
      <c r="B28" s="139">
        <v>24</v>
      </c>
      <c r="C28" s="424"/>
      <c r="D28" s="137"/>
      <c r="E28" s="67"/>
      <c r="F28" s="292"/>
      <c r="G28" s="67"/>
      <c r="H28" s="67"/>
      <c r="I28" s="67">
        <f>FY17Wk2!I29</f>
        <v>0</v>
      </c>
      <c r="J28" s="288" t="e">
        <f>INDEX(SNAMEB[],MATCH($I$1,SNAMEB[DIST],0),MATCH($M28,SNAMEB[#Headers],0))</f>
        <v>#N/A</v>
      </c>
      <c r="K28" s="6">
        <v>24</v>
      </c>
      <c r="L28" s="432"/>
      <c r="M28" s="788" t="str">
        <f>SNAMEB[[#Headers],[Student Support Services]]</f>
        <v>Student Support Services</v>
      </c>
      <c r="N28" s="340"/>
      <c r="O28" s="340"/>
      <c r="P28" s="641"/>
    </row>
    <row r="29" spans="1:16" x14ac:dyDescent="0.2">
      <c r="A29" s="23" t="s">
        <v>805</v>
      </c>
      <c r="B29" s="139">
        <v>25</v>
      </c>
      <c r="C29" s="424"/>
      <c r="D29" s="137"/>
      <c r="E29" s="67"/>
      <c r="F29" s="292"/>
      <c r="G29" s="67"/>
      <c r="H29" s="67"/>
      <c r="I29" s="67">
        <f>FY17Wk2!I30</f>
        <v>0</v>
      </c>
      <c r="J29" s="288" t="e">
        <f>INDEX(SNAMEB[],MATCH($I$1,SNAMEB[DIST],0),MATCH($M29,SNAMEB[#Headers],0))</f>
        <v>#N/A</v>
      </c>
      <c r="K29" s="6">
        <v>25</v>
      </c>
      <c r="L29" s="432"/>
      <c r="M29" s="788" t="str">
        <f>SNAMEB[[#Headers],[Instruction Staff Support]]</f>
        <v>Instruction Staff Support</v>
      </c>
      <c r="N29" s="340"/>
      <c r="O29" s="340"/>
      <c r="P29" s="641"/>
    </row>
    <row r="30" spans="1:16" x14ac:dyDescent="0.2">
      <c r="A30" s="23" t="s">
        <v>806</v>
      </c>
      <c r="B30" s="139">
        <v>26</v>
      </c>
      <c r="C30" s="424"/>
      <c r="D30" s="137"/>
      <c r="E30" s="67"/>
      <c r="F30" s="292"/>
      <c r="G30" s="67"/>
      <c r="H30" s="67"/>
      <c r="I30" s="67">
        <f>FY17Wk2!I31</f>
        <v>0</v>
      </c>
      <c r="J30" s="288" t="e">
        <f>INDEX(SNAMEB[],MATCH($I$1,SNAMEB[DIST],0),MATCH($M30,SNAMEB[#Headers],0))</f>
        <v>#N/A</v>
      </c>
      <c r="K30" s="6">
        <v>26</v>
      </c>
      <c r="L30" s="432"/>
      <c r="M30" s="788" t="str">
        <f>SNAMEB[[#Headers],[General Administration]]</f>
        <v>General Administration</v>
      </c>
      <c r="N30" s="340"/>
      <c r="O30" s="340"/>
      <c r="P30" s="641"/>
    </row>
    <row r="31" spans="1:16" x14ac:dyDescent="0.2">
      <c r="A31" s="4" t="s">
        <v>923</v>
      </c>
      <c r="B31" s="139">
        <v>27</v>
      </c>
      <c r="C31" s="424"/>
      <c r="D31" s="137"/>
      <c r="E31" s="67"/>
      <c r="F31" s="292"/>
      <c r="G31" s="67"/>
      <c r="H31" s="67"/>
      <c r="I31" s="67">
        <f>FY17Wk2!I32</f>
        <v>0</v>
      </c>
      <c r="J31" s="288" t="e">
        <f>INDEX(SNAMEB[],MATCH($I$1,SNAMEB[DIST],0),MATCH($M31,SNAMEB[#Headers],0))</f>
        <v>#N/A</v>
      </c>
      <c r="K31" s="6">
        <v>27</v>
      </c>
      <c r="L31" s="432"/>
      <c r="M31" s="788" t="str">
        <f>SNAMEB[[#Headers],[Building Administration]]</f>
        <v>Building Administration</v>
      </c>
      <c r="N31" s="340"/>
      <c r="O31" s="340"/>
      <c r="P31" s="641"/>
    </row>
    <row r="32" spans="1:16" x14ac:dyDescent="0.2">
      <c r="A32" s="23" t="s">
        <v>1066</v>
      </c>
      <c r="B32" s="139">
        <v>28</v>
      </c>
      <c r="C32" s="424"/>
      <c r="D32" s="67"/>
      <c r="E32" s="67"/>
      <c r="F32" s="67"/>
      <c r="G32" s="67"/>
      <c r="H32" s="67"/>
      <c r="I32" s="67">
        <f>FY17Wk2!I33</f>
        <v>0</v>
      </c>
      <c r="J32" s="288" t="e">
        <f>INDEX(SNAMEB[],MATCH($I$1,SNAMEB[DIST],0),MATCH($M32,SNAMEB[#Headers],0))</f>
        <v>#N/A</v>
      </c>
      <c r="K32" s="6">
        <v>28</v>
      </c>
      <c r="L32" s="432"/>
      <c r="M32" s="788" t="str">
        <f>SNAMEB[[#Headers],[Business &amp; CentralAdministration]]</f>
        <v>Business &amp; CentralAdministration</v>
      </c>
      <c r="N32" s="340"/>
      <c r="O32" s="340"/>
      <c r="P32" s="641"/>
    </row>
    <row r="33" spans="1:16" x14ac:dyDescent="0.2">
      <c r="A33" s="23" t="s">
        <v>807</v>
      </c>
      <c r="B33" s="139">
        <v>29</v>
      </c>
      <c r="C33" s="424"/>
      <c r="D33" s="112"/>
      <c r="E33" s="67"/>
      <c r="F33" s="292"/>
      <c r="G33" s="67"/>
      <c r="H33" s="67"/>
      <c r="I33" s="67">
        <f>FY17Wk2!I34</f>
        <v>0</v>
      </c>
      <c r="J33" s="288" t="e">
        <f>INDEX(SNAMEB[],MATCH($I$1,SNAMEB[DIST],0),MATCH($M33,SNAMEB[#Headers],0))</f>
        <v>#N/A</v>
      </c>
      <c r="K33" s="6">
        <v>29</v>
      </c>
      <c r="L33" s="432"/>
      <c r="M33" s="788" t="str">
        <f>SNAMEB[[#Headers],[Plant Operation &amp; Maintenance]]</f>
        <v>Plant Operation &amp; Maintenance</v>
      </c>
      <c r="N33" s="340"/>
      <c r="O33" s="340"/>
      <c r="P33" s="641"/>
    </row>
    <row r="34" spans="1:16" x14ac:dyDescent="0.2">
      <c r="A34" s="23" t="s">
        <v>808</v>
      </c>
      <c r="B34" s="139">
        <v>30</v>
      </c>
      <c r="C34" s="424"/>
      <c r="D34" s="112"/>
      <c r="E34" s="67"/>
      <c r="F34" s="292"/>
      <c r="G34" s="67"/>
      <c r="H34" s="67"/>
      <c r="I34" s="67">
        <f>FY17Wk2!I35</f>
        <v>0</v>
      </c>
      <c r="J34" s="288" t="e">
        <f>INDEX(SNAMEB[],MATCH($I$1,SNAMEB[DIST],0),MATCH($M34,SNAMEB[#Headers],0))</f>
        <v>#N/A</v>
      </c>
      <c r="K34" s="6">
        <v>30</v>
      </c>
      <c r="L34" s="432"/>
      <c r="M34" s="788" t="str">
        <f>SNAMEB[[#Headers],[Student Transportation]]</f>
        <v>Student Transportation</v>
      </c>
      <c r="N34" s="340"/>
      <c r="O34" s="340"/>
      <c r="P34" s="641"/>
    </row>
    <row r="35" spans="1:16" x14ac:dyDescent="0.2">
      <c r="A35" s="4" t="s">
        <v>924</v>
      </c>
      <c r="B35" s="139">
        <v>31</v>
      </c>
      <c r="C35" s="296"/>
      <c r="D35" s="292"/>
      <c r="E35" s="61"/>
      <c r="F35" s="292"/>
      <c r="G35" s="292"/>
      <c r="H35" s="292"/>
      <c r="I35" s="67">
        <f>FY17Wk2!I36</f>
        <v>0</v>
      </c>
      <c r="J35" s="67"/>
      <c r="K35" s="6">
        <v>31</v>
      </c>
      <c r="L35" s="432"/>
      <c r="M35" s="788"/>
      <c r="N35" s="340"/>
      <c r="O35" s="340"/>
      <c r="P35" s="642"/>
    </row>
    <row r="36" spans="1:16" x14ac:dyDescent="0.2">
      <c r="A36" s="23" t="s">
        <v>874</v>
      </c>
      <c r="B36" s="139">
        <v>32</v>
      </c>
      <c r="C36" s="424"/>
      <c r="D36" s="112"/>
      <c r="E36" s="67"/>
      <c r="F36" s="292"/>
      <c r="G36" s="67"/>
      <c r="H36" s="67"/>
      <c r="I36" s="67">
        <f>FY17Wk2!I37</f>
        <v>0</v>
      </c>
      <c r="J36" s="288" t="e">
        <f>INDEX(SNAMEB[],MATCH($I$1,SNAMEB[DIST],0),MATCH($M36,SNAMEB[#Headers],0))</f>
        <v>#N/A</v>
      </c>
      <c r="K36" s="6">
        <v>32</v>
      </c>
      <c r="L36" s="432"/>
      <c r="M36" s="788" t="str">
        <f>SNAMEB[[#Headers],[Noninstructional Expenditures]]</f>
        <v>Noninstructional Expenditures</v>
      </c>
      <c r="N36" s="340"/>
      <c r="O36" s="340"/>
      <c r="P36" s="641"/>
    </row>
    <row r="37" spans="1:16" x14ac:dyDescent="0.2">
      <c r="A37" s="23" t="s">
        <v>813</v>
      </c>
      <c r="B37" s="139">
        <v>33</v>
      </c>
      <c r="C37" s="424"/>
      <c r="D37" s="67"/>
      <c r="E37" s="67"/>
      <c r="F37" s="292"/>
      <c r="G37" s="292"/>
      <c r="H37" s="67"/>
      <c r="I37" s="67">
        <f>FY17Wk2!I38</f>
        <v>0</v>
      </c>
      <c r="J37" s="288" t="e">
        <f>INDEX(SNAMEB[],MATCH($I$1,SNAMEB[DIST],0),MATCH($M37,SNAMEB[#Headers],0))</f>
        <v>#N/A</v>
      </c>
      <c r="K37" s="6">
        <v>33</v>
      </c>
      <c r="L37" s="432"/>
      <c r="M37" s="788" t="str">
        <f>SNAMEB[[#Headers],[Facilities Acq &amp; Construction]]</f>
        <v>Facilities Acq &amp; Construction</v>
      </c>
      <c r="N37" s="340"/>
      <c r="O37" s="340"/>
      <c r="P37" s="641"/>
    </row>
    <row r="38" spans="1:16" x14ac:dyDescent="0.2">
      <c r="A38" s="23" t="s">
        <v>875</v>
      </c>
      <c r="B38" s="139">
        <v>34</v>
      </c>
      <c r="C38" s="424"/>
      <c r="D38" s="112"/>
      <c r="E38" s="112"/>
      <c r="F38" s="112"/>
      <c r="G38" s="292"/>
      <c r="H38" s="292"/>
      <c r="I38" s="67">
        <f>FY17Wk2!I39</f>
        <v>0</v>
      </c>
      <c r="J38" s="288" t="e">
        <f>INDEX(SNAMEB[],MATCH($I$1,SNAMEB[DIST],0),MATCH($M38,SNAMEB[#Headers],0))</f>
        <v>#N/A</v>
      </c>
      <c r="K38" s="6">
        <v>34</v>
      </c>
      <c r="L38" s="432"/>
      <c r="M38" s="788" t="str">
        <f>SNAMEB[[#Headers],[Debt Service]]</f>
        <v>Debt Service</v>
      </c>
      <c r="N38" s="340"/>
      <c r="O38" s="340"/>
      <c r="P38" s="641"/>
    </row>
    <row r="39" spans="1:16" x14ac:dyDescent="0.2">
      <c r="A39" s="23" t="s">
        <v>815</v>
      </c>
      <c r="B39" s="139">
        <v>35</v>
      </c>
      <c r="C39" s="296"/>
      <c r="D39" s="292"/>
      <c r="E39" s="61"/>
      <c r="F39" s="292"/>
      <c r="G39" s="292"/>
      <c r="H39" s="292"/>
      <c r="I39" s="112">
        <f>FY17Wk2!I40</f>
        <v>0</v>
      </c>
      <c r="J39" s="288" t="e">
        <f>INDEX(SNAMEB[],MATCH($I$1,SNAMEB[DIST],0),MATCH($M39,SNAMEB[#Headers],0))</f>
        <v>#N/A</v>
      </c>
      <c r="K39" s="6">
        <v>35</v>
      </c>
      <c r="L39" s="432"/>
      <c r="M39" s="788" t="str">
        <f>SNAMEB[[#Headers],[AEA Support]]</f>
        <v>AEA Support</v>
      </c>
      <c r="N39" s="340"/>
      <c r="O39" s="340"/>
      <c r="P39" s="641"/>
    </row>
    <row r="40" spans="1:16" x14ac:dyDescent="0.2">
      <c r="A40" s="23" t="s">
        <v>818</v>
      </c>
      <c r="B40" s="139">
        <v>36</v>
      </c>
      <c r="C40" s="429">
        <f t="shared" ref="C40:I40" si="3">SUM(C27:C39)</f>
        <v>0</v>
      </c>
      <c r="D40" s="66">
        <f>SUM(D27:D39)</f>
        <v>0</v>
      </c>
      <c r="E40" s="66">
        <f>SUM(E27:E39)</f>
        <v>0</v>
      </c>
      <c r="F40" s="66">
        <f t="shared" si="3"/>
        <v>0</v>
      </c>
      <c r="G40" s="66">
        <f t="shared" si="3"/>
        <v>0</v>
      </c>
      <c r="H40" s="66">
        <f t="shared" si="3"/>
        <v>0</v>
      </c>
      <c r="I40" s="66">
        <f t="shared" si="3"/>
        <v>0</v>
      </c>
      <c r="J40" s="66" t="e">
        <f>SUM(J27:J39)</f>
        <v>#N/A</v>
      </c>
      <c r="K40" s="6">
        <v>36</v>
      </c>
      <c r="L40" s="432"/>
      <c r="M40" s="789"/>
      <c r="N40" s="340"/>
      <c r="O40" s="340"/>
      <c r="P40" s="104"/>
    </row>
    <row r="41" spans="1:16" x14ac:dyDescent="0.2">
      <c r="A41" s="23" t="s">
        <v>1477</v>
      </c>
      <c r="B41" s="139">
        <v>37</v>
      </c>
      <c r="C41" s="424"/>
      <c r="D41" s="67"/>
      <c r="E41" s="67"/>
      <c r="F41" s="67"/>
      <c r="G41" s="67"/>
      <c r="H41" s="67"/>
      <c r="I41" s="112">
        <f>FY17Wk2!I42</f>
        <v>0</v>
      </c>
      <c r="J41" s="288" t="e">
        <f>INDEX(SNAMEB[],MATCH($I$1,SNAMEB[DIST],0),MATCH($M41,SNAMEB[#Headers],0))</f>
        <v>#N/A</v>
      </c>
      <c r="K41" s="6">
        <v>37</v>
      </c>
      <c r="L41" s="432"/>
      <c r="M41" s="788" t="str">
        <f>SNAMEB[[#Headers],[Transfers Out/OtherFinancing]]</f>
        <v>Transfers Out/OtherFinancing</v>
      </c>
      <c r="N41" s="340"/>
      <c r="O41" s="340"/>
      <c r="P41" s="641"/>
    </row>
    <row r="42" spans="1:16" x14ac:dyDescent="0.2">
      <c r="A42" s="23" t="s">
        <v>819</v>
      </c>
      <c r="B42" s="139">
        <v>38</v>
      </c>
      <c r="C42" s="429">
        <f t="shared" ref="C42:I42" si="4">SUM(C40:C41)</f>
        <v>0</v>
      </c>
      <c r="D42" s="66">
        <f>SUM(D40:D41)</f>
        <v>0</v>
      </c>
      <c r="E42" s="66">
        <f>SUM(E40:E41)</f>
        <v>0</v>
      </c>
      <c r="F42" s="66">
        <f t="shared" si="4"/>
        <v>0</v>
      </c>
      <c r="G42" s="66">
        <f t="shared" si="4"/>
        <v>0</v>
      </c>
      <c r="H42" s="66">
        <f t="shared" si="4"/>
        <v>0</v>
      </c>
      <c r="I42" s="66">
        <f t="shared" si="4"/>
        <v>0</v>
      </c>
      <c r="J42" s="66" t="e">
        <f>SUM(J40:J41)</f>
        <v>#N/A</v>
      </c>
      <c r="K42" s="6">
        <v>38</v>
      </c>
      <c r="L42" s="432"/>
      <c r="M42" s="637" t="s">
        <v>1965</v>
      </c>
      <c r="N42" s="340"/>
      <c r="O42" s="340"/>
      <c r="P42" s="104"/>
    </row>
    <row r="43" spans="1:16" x14ac:dyDescent="0.2">
      <c r="A43" s="23" t="s">
        <v>820</v>
      </c>
      <c r="B43" s="139">
        <v>39</v>
      </c>
      <c r="C43" s="429" t="e">
        <f t="shared" ref="C43:I43" si="5">C44-C42</f>
        <v>#N/A</v>
      </c>
      <c r="D43" s="66" t="e">
        <f t="shared" si="5"/>
        <v>#N/A</v>
      </c>
      <c r="E43" s="66" t="e">
        <f t="shared" si="5"/>
        <v>#N/A</v>
      </c>
      <c r="F43" s="66" t="e">
        <f t="shared" si="5"/>
        <v>#N/A</v>
      </c>
      <c r="G43" s="66" t="e">
        <f t="shared" si="5"/>
        <v>#N/A</v>
      </c>
      <c r="H43" s="66" t="e">
        <f t="shared" si="5"/>
        <v>#N/A</v>
      </c>
      <c r="I43" s="66" t="e">
        <f t="shared" si="5"/>
        <v>#N/A</v>
      </c>
      <c r="J43" s="66" t="e">
        <f>J44-J42</f>
        <v>#N/A</v>
      </c>
      <c r="K43" s="6">
        <v>39</v>
      </c>
      <c r="L43" s="432"/>
      <c r="M43" s="643" t="e">
        <f>INDEX(SNAMEB[],MATCH($I$1,SNAMEB[DIST],0),MATCH($N43,SNAMEB[#Headers],0))</f>
        <v>#N/A</v>
      </c>
      <c r="N43" s="18" t="str">
        <f>SNAMEB[[#Headers],[Calculated Total Requirements]]</f>
        <v>Calculated Total Requirements</v>
      </c>
      <c r="O43" s="340"/>
      <c r="P43" s="104"/>
    </row>
    <row r="44" spans="1:16" x14ac:dyDescent="0.2">
      <c r="A44" s="23" t="s">
        <v>821</v>
      </c>
      <c r="B44" s="139">
        <v>40</v>
      </c>
      <c r="C44" s="431" t="e">
        <f t="shared" ref="C44:I44" si="6">C25</f>
        <v>#N/A</v>
      </c>
      <c r="D44" s="66" t="e">
        <f t="shared" si="6"/>
        <v>#N/A</v>
      </c>
      <c r="E44" s="66" t="e">
        <f t="shared" si="6"/>
        <v>#N/A</v>
      </c>
      <c r="F44" s="66" t="e">
        <f t="shared" si="6"/>
        <v>#N/A</v>
      </c>
      <c r="G44" s="66" t="e">
        <f t="shared" si="6"/>
        <v>#N/A</v>
      </c>
      <c r="H44" s="66" t="e">
        <f t="shared" si="6"/>
        <v>#N/A</v>
      </c>
      <c r="I44" s="66" t="e">
        <f t="shared" si="6"/>
        <v>#N/A</v>
      </c>
      <c r="J44" s="66" t="e">
        <f>J25</f>
        <v>#N/A</v>
      </c>
      <c r="K44" s="6">
        <v>40</v>
      </c>
      <c r="L44" s="432"/>
      <c r="M44" s="643" t="e">
        <f>INDEX(SNAMEB[],MATCH($I$1,SNAMEB[DIST],0),MATCH($N44,SNAMEB[#Headers],0))</f>
        <v>#N/A</v>
      </c>
      <c r="N44" s="18" t="str">
        <f>SNAMEB[[#Headers],[Calculated Total Resources With BFB]]</f>
        <v>Calculated Total Resources With BFB</v>
      </c>
      <c r="O44" s="340"/>
      <c r="P44" s="104"/>
    </row>
    <row r="45" spans="1:16" x14ac:dyDescent="0.2">
      <c r="C45" s="430"/>
      <c r="D45" s="411"/>
      <c r="E45" s="411"/>
      <c r="F45" s="411"/>
      <c r="G45" s="411"/>
      <c r="H45" s="411"/>
      <c r="I45" s="411"/>
      <c r="J45" s="411"/>
      <c r="K45" s="13"/>
      <c r="L45" s="13"/>
      <c r="M45" s="638" t="e">
        <f>M43-M44</f>
        <v>#N/A</v>
      </c>
      <c r="N45" s="2" t="s">
        <v>1966</v>
      </c>
      <c r="P45" s="13"/>
    </row>
    <row r="46" spans="1:16" x14ac:dyDescent="0.2">
      <c r="B46" s="13"/>
      <c r="C46" s="411"/>
      <c r="D46" s="411"/>
      <c r="E46" s="411"/>
      <c r="F46" s="411"/>
      <c r="G46" s="411"/>
      <c r="H46" s="411"/>
      <c r="I46" s="411"/>
      <c r="J46" s="411"/>
      <c r="K46" s="13"/>
      <c r="L46" s="13"/>
      <c r="P46" s="13"/>
    </row>
  </sheetData>
  <sheetProtection password="C47C" sheet="1" objects="1" scenarios="1"/>
  <customSheetViews>
    <customSheetView guid="{53CC1FF8-69F4-40AB-9E52-A9F35D642996}" scale="80" showGridLines="0" fitToPage="1" state="hidden">
      <pane xSplit="2" ySplit="3" topLeftCell="C4" activePane="bottomRight" state="frozen"/>
      <selection pane="bottomRight"/>
      <pageMargins left="0.5" right="0.5" top="0.5" bottom="0.5" header="0.5" footer="0.5"/>
      <printOptions horizontalCentered="1" verticalCentered="1"/>
      <pageSetup scale="86" orientation="landscape" horizontalDpi="1200" verticalDpi="1200" r:id="rId1"/>
      <headerFooter alignWithMargins="0"/>
    </customSheetView>
  </customSheetViews>
  <mergeCells count="3">
    <mergeCell ref="G2:H2"/>
    <mergeCell ref="C2:E2"/>
    <mergeCell ref="C1:F1"/>
  </mergeCells>
  <phoneticPr fontId="0" type="noConversion"/>
  <dataValidations count="2">
    <dataValidation type="whole" allowBlank="1" showInputMessage="1" showErrorMessage="1" error="Only a WHOLE number can be entered in this area.  Select cancel and reenter an appropriate number." sqref="J25 C4:I25 J19 J23 C27:I44 J35 J40 J42:J44 P35 P40 P42:P44 P25">
      <formula1>-999999999999</formula1>
      <formula2>999999999999</formula2>
    </dataValidation>
    <dataValidation allowBlank="1" showInputMessage="1" showErrorMessage="1" error="Only a WHOLE number can be entered in this area.  Select cancel and reenter an appropriate number." sqref="J4:J18 J20:J22 J24 J27:J34 J36:J39 J41 P41 P27:P34 P36:P39 M43:M44"/>
  </dataValidations>
  <printOptions horizontalCentered="1" verticalCentered="1"/>
  <pageMargins left="0.5" right="0.5" top="0.5" bottom="0.5" header="0.5" footer="0.5"/>
  <pageSetup scale="86" orientation="landscape" horizontalDpi="1200" verticalDpi="1200"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99"/>
    <pageSetUpPr fitToPage="1"/>
  </sheetPr>
  <dimension ref="A1:K45"/>
  <sheetViews>
    <sheetView showGridLines="0" zoomScale="80" zoomScaleNormal="80" workbookViewId="0">
      <pane xSplit="3" ySplit="4" topLeftCell="D5" activePane="bottomRight" state="frozen"/>
      <selection pane="topRight"/>
      <selection pane="bottomLeft"/>
      <selection pane="bottomRight"/>
    </sheetView>
  </sheetViews>
  <sheetFormatPr defaultColWidth="9" defaultRowHeight="12.75" x14ac:dyDescent="0.2"/>
  <cols>
    <col min="1" max="1" width="44.85546875" style="15" customWidth="1"/>
    <col min="2" max="2" width="3.5703125" style="2" customWidth="1"/>
    <col min="3" max="3" width="1.42578125" style="2" customWidth="1"/>
    <col min="4" max="6" width="15.7109375" style="18" customWidth="1"/>
    <col min="7" max="7" width="15.42578125" style="18" customWidth="1"/>
    <col min="8" max="8" width="16.140625" style="18" customWidth="1"/>
    <col min="9" max="9" width="15.42578125" style="18" customWidth="1"/>
    <col min="10" max="10" width="13.42578125" style="18" customWidth="1"/>
    <col min="11" max="11" width="3.5703125" style="2" customWidth="1"/>
    <col min="12" max="16384" width="9" style="2"/>
  </cols>
  <sheetData>
    <row r="1" spans="1:11" ht="18.75" x14ac:dyDescent="0.3">
      <c r="A1" s="34" t="s">
        <v>869</v>
      </c>
      <c r="B1" s="18"/>
      <c r="C1" s="203"/>
      <c r="D1" s="935">
        <f>InputsResults!$K$3</f>
        <v>0</v>
      </c>
      <c r="E1" s="939"/>
      <c r="F1" s="939"/>
      <c r="G1" s="939"/>
      <c r="H1" s="939"/>
      <c r="I1" s="35" t="s">
        <v>934</v>
      </c>
      <c r="J1" s="33" t="e">
        <f>InputsResults!$J$3</f>
        <v>#N/A</v>
      </c>
      <c r="K1" s="31"/>
    </row>
    <row r="2" spans="1:11" ht="19.5" thickBot="1" x14ac:dyDescent="0.35">
      <c r="A2" s="34" t="s">
        <v>935</v>
      </c>
      <c r="C2" s="16"/>
      <c r="D2" s="938" t="str">
        <f>CONCATENATE("FY ",DoM!$B$6-1," RE-ESTIMATED WORKSHEET - Page 1")</f>
        <v>FY 2017 RE-ESTIMATED WORKSHEET - Page 1</v>
      </c>
      <c r="E2" s="938"/>
      <c r="F2" s="938"/>
      <c r="G2" s="938"/>
      <c r="H2" s="938"/>
      <c r="I2" s="418"/>
      <c r="J2" s="419"/>
      <c r="K2" s="31"/>
    </row>
    <row r="3" spans="1:11" x14ac:dyDescent="0.2">
      <c r="A3" s="36"/>
      <c r="B3" s="31"/>
      <c r="C3" s="40"/>
      <c r="D3" s="417"/>
      <c r="E3" s="897" t="s">
        <v>870</v>
      </c>
      <c r="F3" s="898"/>
      <c r="G3" s="898"/>
      <c r="H3" s="898"/>
      <c r="I3" s="898"/>
      <c r="J3" s="899"/>
      <c r="K3" s="37"/>
    </row>
    <row r="4" spans="1:11" ht="24.75" customHeight="1" x14ac:dyDescent="0.2">
      <c r="A4" s="38" t="s">
        <v>871</v>
      </c>
      <c r="B4" s="31"/>
      <c r="C4" s="204"/>
      <c r="D4" s="54" t="s">
        <v>928</v>
      </c>
      <c r="E4" s="416" t="s">
        <v>931</v>
      </c>
      <c r="F4" s="342" t="s">
        <v>929</v>
      </c>
      <c r="G4" s="39" t="s">
        <v>930</v>
      </c>
      <c r="H4" s="388" t="s">
        <v>1642</v>
      </c>
      <c r="I4" s="388" t="s">
        <v>52</v>
      </c>
      <c r="J4" s="388" t="s">
        <v>1488</v>
      </c>
      <c r="K4" s="40"/>
    </row>
    <row r="5" spans="1:11" x14ac:dyDescent="0.2">
      <c r="A5" s="4" t="s">
        <v>785</v>
      </c>
      <c r="B5" s="5">
        <v>1</v>
      </c>
      <c r="C5" s="6"/>
      <c r="D5" s="67"/>
      <c r="E5" s="292"/>
      <c r="F5" s="137"/>
      <c r="G5" s="137"/>
      <c r="H5" s="137"/>
      <c r="I5" s="137"/>
      <c r="J5" s="292"/>
      <c r="K5" s="14">
        <v>1</v>
      </c>
    </row>
    <row r="6" spans="1:11" x14ac:dyDescent="0.2">
      <c r="A6" s="4" t="s">
        <v>786</v>
      </c>
      <c r="B6" s="24">
        <v>2</v>
      </c>
      <c r="C6" s="6"/>
      <c r="D6" s="67"/>
      <c r="E6" s="292"/>
      <c r="F6" s="137"/>
      <c r="G6" s="137"/>
      <c r="H6" s="137"/>
      <c r="I6" s="137"/>
      <c r="J6" s="292"/>
      <c r="K6" s="6">
        <v>2</v>
      </c>
    </row>
    <row r="7" spans="1:11" x14ac:dyDescent="0.2">
      <c r="A7" s="4" t="s">
        <v>787</v>
      </c>
      <c r="B7" s="24">
        <v>3</v>
      </c>
      <c r="C7" s="6"/>
      <c r="D7" s="136"/>
      <c r="E7" s="292"/>
      <c r="F7" s="292"/>
      <c r="G7" s="292"/>
      <c r="H7" s="292"/>
      <c r="I7" s="292"/>
      <c r="J7" s="292"/>
      <c r="K7" s="6">
        <v>3</v>
      </c>
    </row>
    <row r="8" spans="1:11" x14ac:dyDescent="0.2">
      <c r="A8" s="4" t="s">
        <v>788</v>
      </c>
      <c r="B8" s="24">
        <v>4</v>
      </c>
      <c r="C8" s="6"/>
      <c r="D8" s="136"/>
      <c r="E8" s="112"/>
      <c r="F8" s="292"/>
      <c r="G8" s="292"/>
      <c r="H8" s="292"/>
      <c r="I8" s="292"/>
      <c r="J8" s="292"/>
      <c r="K8" s="6">
        <v>4</v>
      </c>
    </row>
    <row r="9" spans="1:11" x14ac:dyDescent="0.2">
      <c r="A9" s="4" t="s">
        <v>789</v>
      </c>
      <c r="B9" s="24">
        <v>5</v>
      </c>
      <c r="C9" s="6"/>
      <c r="D9" s="67"/>
      <c r="E9" s="137"/>
      <c r="F9" s="291"/>
      <c r="G9" s="291"/>
      <c r="H9" s="291"/>
      <c r="I9" s="291"/>
      <c r="J9" s="292"/>
      <c r="K9" s="6">
        <v>5</v>
      </c>
    </row>
    <row r="10" spans="1:11" x14ac:dyDescent="0.2">
      <c r="A10" s="4" t="s">
        <v>790</v>
      </c>
      <c r="B10" s="24">
        <v>6</v>
      </c>
      <c r="C10" s="6"/>
      <c r="D10" s="62"/>
      <c r="E10" s="292"/>
      <c r="F10" s="292"/>
      <c r="G10" s="292"/>
      <c r="H10" s="292"/>
      <c r="I10" s="292"/>
      <c r="J10" s="292"/>
      <c r="K10" s="14">
        <v>6</v>
      </c>
    </row>
    <row r="11" spans="1:11" x14ac:dyDescent="0.2">
      <c r="A11" s="4" t="s">
        <v>791</v>
      </c>
      <c r="B11" s="24">
        <v>7</v>
      </c>
      <c r="C11" s="6"/>
      <c r="D11" s="136"/>
      <c r="E11" s="112"/>
      <c r="F11" s="292"/>
      <c r="G11" s="292"/>
      <c r="H11" s="292"/>
      <c r="I11" s="292"/>
      <c r="J11" s="292"/>
      <c r="K11" s="6">
        <v>7</v>
      </c>
    </row>
    <row r="12" spans="1:11" x14ac:dyDescent="0.2">
      <c r="A12" s="4" t="s">
        <v>792</v>
      </c>
      <c r="B12" s="24">
        <v>8</v>
      </c>
      <c r="C12" s="6"/>
      <c r="D12" s="67"/>
      <c r="E12" s="67"/>
      <c r="F12" s="135"/>
      <c r="G12" s="135"/>
      <c r="H12" s="135"/>
      <c r="I12" s="135"/>
      <c r="J12" s="292"/>
      <c r="K12" s="6">
        <v>8</v>
      </c>
    </row>
    <row r="13" spans="1:11" x14ac:dyDescent="0.2">
      <c r="A13" s="4" t="s">
        <v>793</v>
      </c>
      <c r="B13" s="24">
        <v>9</v>
      </c>
      <c r="C13" s="6"/>
      <c r="D13" s="67"/>
      <c r="E13" s="67"/>
      <c r="F13" s="67"/>
      <c r="G13" s="67"/>
      <c r="H13" s="67"/>
      <c r="I13" s="67"/>
      <c r="J13" s="292"/>
      <c r="K13" s="6">
        <v>9</v>
      </c>
    </row>
    <row r="14" spans="1:11" x14ac:dyDescent="0.2">
      <c r="A14" s="4" t="s">
        <v>794</v>
      </c>
      <c r="B14" s="24">
        <v>10</v>
      </c>
      <c r="C14" s="6"/>
      <c r="D14" s="67"/>
      <c r="E14" s="292"/>
      <c r="F14" s="292"/>
      <c r="G14" s="292"/>
      <c r="H14" s="292"/>
      <c r="I14" s="292"/>
      <c r="J14" s="292"/>
      <c r="K14" s="6">
        <v>10</v>
      </c>
    </row>
    <row r="15" spans="1:11" x14ac:dyDescent="0.2">
      <c r="A15" s="4" t="s">
        <v>795</v>
      </c>
      <c r="B15" s="24">
        <v>11</v>
      </c>
      <c r="C15" s="6"/>
      <c r="D15" s="67"/>
      <c r="E15" s="292"/>
      <c r="F15" s="292"/>
      <c r="G15" s="292"/>
      <c r="H15" s="292"/>
      <c r="I15" s="292"/>
      <c r="J15" s="292"/>
      <c r="K15" s="6">
        <v>11</v>
      </c>
    </row>
    <row r="16" spans="1:11" x14ac:dyDescent="0.2">
      <c r="A16" s="4" t="s">
        <v>796</v>
      </c>
      <c r="B16" s="24">
        <v>12</v>
      </c>
      <c r="C16" s="6"/>
      <c r="D16" s="67"/>
      <c r="E16" s="292"/>
      <c r="F16" s="67"/>
      <c r="G16" s="112"/>
      <c r="H16" s="67"/>
      <c r="I16" s="67"/>
      <c r="J16" s="292"/>
      <c r="K16" s="6">
        <v>12</v>
      </c>
    </row>
    <row r="17" spans="1:11" x14ac:dyDescent="0.2">
      <c r="A17" s="4" t="s">
        <v>1645</v>
      </c>
      <c r="B17" s="24">
        <v>13</v>
      </c>
      <c r="C17" s="6"/>
      <c r="D17" s="67"/>
      <c r="E17" s="292"/>
      <c r="F17" s="67"/>
      <c r="G17" s="67"/>
      <c r="H17" s="67"/>
      <c r="I17" s="67"/>
      <c r="J17" s="292"/>
      <c r="K17" s="6">
        <v>13</v>
      </c>
    </row>
    <row r="18" spans="1:11" x14ac:dyDescent="0.2">
      <c r="A18" s="23" t="s">
        <v>700</v>
      </c>
      <c r="B18" s="24">
        <v>14</v>
      </c>
      <c r="C18" s="6"/>
      <c r="D18" s="67"/>
      <c r="E18" s="292"/>
      <c r="F18" s="292"/>
      <c r="G18" s="292"/>
      <c r="H18" s="292"/>
      <c r="I18" s="292"/>
      <c r="J18" s="292"/>
      <c r="K18" s="6">
        <v>14</v>
      </c>
    </row>
    <row r="19" spans="1:11" x14ac:dyDescent="0.2">
      <c r="A19" s="4" t="s">
        <v>922</v>
      </c>
      <c r="B19" s="24">
        <v>15</v>
      </c>
      <c r="C19" s="6"/>
      <c r="D19" s="67"/>
      <c r="E19" s="292"/>
      <c r="F19" s="67"/>
      <c r="G19" s="136"/>
      <c r="H19" s="112"/>
      <c r="I19" s="67"/>
      <c r="J19" s="292"/>
      <c r="K19" s="6">
        <v>15</v>
      </c>
    </row>
    <row r="20" spans="1:11" x14ac:dyDescent="0.2">
      <c r="A20" s="23" t="s">
        <v>797</v>
      </c>
      <c r="B20" s="24">
        <v>16</v>
      </c>
      <c r="C20" s="6"/>
      <c r="D20" s="66">
        <f t="shared" ref="D20:I20" si="0">SUM(D5:D19)</f>
        <v>0</v>
      </c>
      <c r="E20" s="85">
        <f t="shared" si="0"/>
        <v>0</v>
      </c>
      <c r="F20" s="66">
        <f t="shared" si="0"/>
        <v>0</v>
      </c>
      <c r="G20" s="66">
        <f t="shared" si="0"/>
        <v>0</v>
      </c>
      <c r="H20" s="66">
        <f t="shared" si="0"/>
        <v>0</v>
      </c>
      <c r="I20" s="66">
        <f t="shared" si="0"/>
        <v>0</v>
      </c>
      <c r="J20" s="292"/>
      <c r="K20" s="6">
        <v>16</v>
      </c>
    </row>
    <row r="21" spans="1:11" x14ac:dyDescent="0.2">
      <c r="A21" s="23" t="s">
        <v>798</v>
      </c>
      <c r="B21" s="24">
        <v>17</v>
      </c>
      <c r="C21" s="6"/>
      <c r="D21" s="67"/>
      <c r="E21" s="292"/>
      <c r="F21" s="292"/>
      <c r="G21" s="292"/>
      <c r="H21" s="292"/>
      <c r="I21" s="292"/>
      <c r="J21" s="292"/>
      <c r="K21" s="6">
        <v>17</v>
      </c>
    </row>
    <row r="22" spans="1:11" x14ac:dyDescent="0.2">
      <c r="A22" s="23" t="s">
        <v>1476</v>
      </c>
      <c r="B22" s="24">
        <v>18</v>
      </c>
      <c r="C22" s="6"/>
      <c r="D22" s="67"/>
      <c r="E22" s="67"/>
      <c r="F22" s="67"/>
      <c r="G22" s="67"/>
      <c r="H22" s="67"/>
      <c r="I22" s="67"/>
      <c r="J22" s="292"/>
      <c r="K22" s="6">
        <v>18</v>
      </c>
    </row>
    <row r="23" spans="1:11" x14ac:dyDescent="0.2">
      <c r="A23" s="23" t="s">
        <v>799</v>
      </c>
      <c r="B23" s="24">
        <v>19</v>
      </c>
      <c r="C23" s="6"/>
      <c r="D23" s="67"/>
      <c r="E23" s="67"/>
      <c r="F23" s="292"/>
      <c r="G23" s="67"/>
      <c r="H23" s="67"/>
      <c r="I23" s="67"/>
      <c r="J23" s="292"/>
      <c r="K23" s="6">
        <v>19</v>
      </c>
    </row>
    <row r="24" spans="1:11" x14ac:dyDescent="0.2">
      <c r="A24" s="23" t="s">
        <v>800</v>
      </c>
      <c r="B24" s="24">
        <v>20</v>
      </c>
      <c r="C24" s="6"/>
      <c r="D24" s="66">
        <f t="shared" ref="D24:I24" si="1">SUM(D20:D23)</f>
        <v>0</v>
      </c>
      <c r="E24" s="66">
        <f t="shared" si="1"/>
        <v>0</v>
      </c>
      <c r="F24" s="66">
        <f t="shared" si="1"/>
        <v>0</v>
      </c>
      <c r="G24" s="66">
        <f t="shared" si="1"/>
        <v>0</v>
      </c>
      <c r="H24" s="66">
        <f t="shared" si="1"/>
        <v>0</v>
      </c>
      <c r="I24" s="66">
        <f t="shared" si="1"/>
        <v>0</v>
      </c>
      <c r="J24" s="292"/>
      <c r="K24" s="6">
        <v>20</v>
      </c>
    </row>
    <row r="25" spans="1:11" x14ac:dyDescent="0.2">
      <c r="A25" s="23" t="s">
        <v>801</v>
      </c>
      <c r="B25" s="24">
        <v>21</v>
      </c>
      <c r="C25" s="6"/>
      <c r="D25" s="286" t="e">
        <f>FY16Wk1!D44</f>
        <v>#N/A</v>
      </c>
      <c r="E25" s="286" t="e">
        <f>FY16Wk1!E44</f>
        <v>#N/A</v>
      </c>
      <c r="F25" s="286" t="e">
        <f>FY16Wk1!F44</f>
        <v>#N/A</v>
      </c>
      <c r="G25" s="286" t="e">
        <f>FY16Wk1!G44</f>
        <v>#N/A</v>
      </c>
      <c r="H25" s="286" t="e">
        <f>FY16Wk1!H44</f>
        <v>#N/A</v>
      </c>
      <c r="I25" s="286" t="e">
        <f>FY16Wk1!I44</f>
        <v>#N/A</v>
      </c>
      <c r="J25" s="292"/>
      <c r="K25" s="6">
        <v>21</v>
      </c>
    </row>
    <row r="26" spans="1:11" x14ac:dyDescent="0.2">
      <c r="A26" s="23" t="s">
        <v>802</v>
      </c>
      <c r="B26" s="24">
        <v>22</v>
      </c>
      <c r="C26" s="6"/>
      <c r="D26" s="66" t="e">
        <f t="shared" ref="D26:I26" si="2">SUM(D24:D25)</f>
        <v>#N/A</v>
      </c>
      <c r="E26" s="66" t="e">
        <f t="shared" si="2"/>
        <v>#N/A</v>
      </c>
      <c r="F26" s="66" t="e">
        <f t="shared" si="2"/>
        <v>#N/A</v>
      </c>
      <c r="G26" s="66" t="e">
        <f t="shared" si="2"/>
        <v>#N/A</v>
      </c>
      <c r="H26" s="66" t="e">
        <f t="shared" si="2"/>
        <v>#N/A</v>
      </c>
      <c r="I26" s="66" t="e">
        <f t="shared" si="2"/>
        <v>#N/A</v>
      </c>
      <c r="J26" s="292"/>
      <c r="K26" s="6">
        <v>22</v>
      </c>
    </row>
    <row r="27" spans="1:11" x14ac:dyDescent="0.2">
      <c r="A27" s="25" t="s">
        <v>872</v>
      </c>
      <c r="B27" s="139"/>
    </row>
    <row r="28" spans="1:11" x14ac:dyDescent="0.2">
      <c r="A28" s="23" t="s">
        <v>873</v>
      </c>
      <c r="B28" s="24">
        <v>23</v>
      </c>
      <c r="C28" s="6"/>
      <c r="D28" s="67"/>
      <c r="E28" s="112"/>
      <c r="F28" s="67"/>
      <c r="G28" s="112"/>
      <c r="H28" s="112"/>
      <c r="I28" s="112"/>
      <c r="J28" s="292"/>
      <c r="K28" s="6">
        <v>23</v>
      </c>
    </row>
    <row r="29" spans="1:11" x14ac:dyDescent="0.2">
      <c r="A29" s="23" t="s">
        <v>804</v>
      </c>
      <c r="B29" s="24">
        <v>24</v>
      </c>
      <c r="C29" s="6"/>
      <c r="D29" s="67"/>
      <c r="E29" s="112"/>
      <c r="F29" s="67"/>
      <c r="G29" s="112"/>
      <c r="H29" s="112"/>
      <c r="I29" s="389"/>
      <c r="J29" s="292"/>
      <c r="K29" s="6">
        <v>24</v>
      </c>
    </row>
    <row r="30" spans="1:11" x14ac:dyDescent="0.2">
      <c r="A30" s="23" t="s">
        <v>805</v>
      </c>
      <c r="B30" s="24">
        <v>25</v>
      </c>
      <c r="C30" s="6"/>
      <c r="D30" s="67"/>
      <c r="E30" s="137"/>
      <c r="F30" s="67"/>
      <c r="G30" s="112"/>
      <c r="H30" s="112"/>
      <c r="I30" s="389"/>
      <c r="J30" s="292"/>
      <c r="K30" s="6">
        <v>25</v>
      </c>
    </row>
    <row r="31" spans="1:11" x14ac:dyDescent="0.2">
      <c r="A31" s="23" t="s">
        <v>806</v>
      </c>
      <c r="B31" s="24">
        <v>26</v>
      </c>
      <c r="C31" s="6"/>
      <c r="D31" s="67"/>
      <c r="E31" s="137"/>
      <c r="F31" s="67"/>
      <c r="G31" s="112"/>
      <c r="H31" s="67"/>
      <c r="I31" s="389"/>
      <c r="J31" s="292"/>
      <c r="K31" s="6">
        <v>26</v>
      </c>
    </row>
    <row r="32" spans="1:11" x14ac:dyDescent="0.2">
      <c r="A32" s="4" t="s">
        <v>923</v>
      </c>
      <c r="B32" s="24">
        <v>27</v>
      </c>
      <c r="C32" s="6"/>
      <c r="D32" s="67"/>
      <c r="E32" s="137"/>
      <c r="F32" s="67"/>
      <c r="G32" s="112"/>
      <c r="H32" s="67"/>
      <c r="I32" s="389"/>
      <c r="J32" s="292"/>
      <c r="K32" s="6">
        <v>27</v>
      </c>
    </row>
    <row r="33" spans="1:11" x14ac:dyDescent="0.2">
      <c r="A33" s="23" t="s">
        <v>1066</v>
      </c>
      <c r="B33" s="24">
        <v>28</v>
      </c>
      <c r="C33" s="6"/>
      <c r="D33" s="67"/>
      <c r="E33" s="137"/>
      <c r="F33" s="67"/>
      <c r="G33" s="135"/>
      <c r="H33" s="67"/>
      <c r="I33" s="389"/>
      <c r="J33" s="292"/>
      <c r="K33" s="6">
        <v>28</v>
      </c>
    </row>
    <row r="34" spans="1:11" x14ac:dyDescent="0.2">
      <c r="A34" s="23" t="s">
        <v>807</v>
      </c>
      <c r="B34" s="24">
        <v>29</v>
      </c>
      <c r="C34" s="6"/>
      <c r="D34" s="67"/>
      <c r="E34" s="137"/>
      <c r="F34" s="67"/>
      <c r="G34" s="137"/>
      <c r="H34" s="67"/>
      <c r="I34" s="389"/>
      <c r="J34" s="292"/>
      <c r="K34" s="6">
        <v>29</v>
      </c>
    </row>
    <row r="35" spans="1:11" x14ac:dyDescent="0.2">
      <c r="A35" s="23" t="s">
        <v>808</v>
      </c>
      <c r="B35" s="24">
        <v>30</v>
      </c>
      <c r="C35" s="6"/>
      <c r="D35" s="67"/>
      <c r="E35" s="137"/>
      <c r="F35" s="67"/>
      <c r="G35" s="137"/>
      <c r="H35" s="292"/>
      <c r="I35" s="389"/>
      <c r="J35" s="292"/>
      <c r="K35" s="6">
        <v>30</v>
      </c>
    </row>
    <row r="36" spans="1:11" x14ac:dyDescent="0.2">
      <c r="A36" s="4" t="s">
        <v>924</v>
      </c>
      <c r="B36" s="24">
        <v>31</v>
      </c>
      <c r="C36" s="6"/>
      <c r="D36" s="292"/>
      <c r="E36" s="292"/>
      <c r="F36" s="292"/>
      <c r="G36" s="292"/>
      <c r="H36" s="292"/>
      <c r="I36" s="135"/>
      <c r="J36" s="292"/>
      <c r="K36" s="6">
        <v>31</v>
      </c>
    </row>
    <row r="37" spans="1:11" x14ac:dyDescent="0.2">
      <c r="A37" s="23" t="s">
        <v>874</v>
      </c>
      <c r="B37" s="24">
        <v>32</v>
      </c>
      <c r="C37" s="6"/>
      <c r="D37" s="137"/>
      <c r="E37" s="292"/>
      <c r="F37" s="67"/>
      <c r="G37" s="135"/>
      <c r="H37" s="67"/>
      <c r="I37" s="112"/>
      <c r="J37" s="292"/>
      <c r="K37" s="6">
        <v>32</v>
      </c>
    </row>
    <row r="38" spans="1:11" x14ac:dyDescent="0.2">
      <c r="A38" s="205" t="s">
        <v>813</v>
      </c>
      <c r="B38" s="24">
        <v>33</v>
      </c>
      <c r="C38" s="6"/>
      <c r="D38" s="61"/>
      <c r="E38" s="292"/>
      <c r="F38" s="67"/>
      <c r="G38" s="136"/>
      <c r="H38" s="292"/>
      <c r="I38" s="67"/>
      <c r="J38" s="292"/>
      <c r="K38" s="6">
        <v>33</v>
      </c>
    </row>
    <row r="39" spans="1:11" x14ac:dyDescent="0.2">
      <c r="A39" s="23" t="s">
        <v>875</v>
      </c>
      <c r="B39" s="24">
        <v>34</v>
      </c>
      <c r="C39" s="6"/>
      <c r="D39" s="61"/>
      <c r="E39" s="292"/>
      <c r="F39" s="292"/>
      <c r="G39" s="292"/>
      <c r="H39" s="292"/>
      <c r="I39" s="292"/>
      <c r="J39" s="292"/>
      <c r="K39" s="14">
        <v>34</v>
      </c>
    </row>
    <row r="40" spans="1:11" x14ac:dyDescent="0.2">
      <c r="A40" s="23" t="s">
        <v>815</v>
      </c>
      <c r="B40" s="24">
        <v>35</v>
      </c>
      <c r="C40" s="6"/>
      <c r="D40" s="67"/>
      <c r="E40" s="292"/>
      <c r="F40" s="292"/>
      <c r="G40" s="292"/>
      <c r="H40" s="292"/>
      <c r="I40" s="292"/>
      <c r="J40" s="292"/>
      <c r="K40" s="14">
        <v>35</v>
      </c>
    </row>
    <row r="41" spans="1:11" x14ac:dyDescent="0.2">
      <c r="A41" s="23" t="s">
        <v>818</v>
      </c>
      <c r="B41" s="24">
        <v>36</v>
      </c>
      <c r="C41" s="6"/>
      <c r="D41" s="66">
        <f t="shared" ref="D41:I41" si="3">SUM(D28:D40)</f>
        <v>0</v>
      </c>
      <c r="E41" s="66">
        <f t="shared" si="3"/>
        <v>0</v>
      </c>
      <c r="F41" s="66">
        <f t="shared" si="3"/>
        <v>0</v>
      </c>
      <c r="G41" s="66">
        <f t="shared" si="3"/>
        <v>0</v>
      </c>
      <c r="H41" s="66">
        <f t="shared" si="3"/>
        <v>0</v>
      </c>
      <c r="I41" s="66">
        <f t="shared" si="3"/>
        <v>0</v>
      </c>
      <c r="J41" s="292"/>
      <c r="K41" s="6">
        <v>36</v>
      </c>
    </row>
    <row r="42" spans="1:11" x14ac:dyDescent="0.2">
      <c r="A42" s="23" t="s">
        <v>1477</v>
      </c>
      <c r="B42" s="24">
        <v>37</v>
      </c>
      <c r="C42" s="6"/>
      <c r="D42" s="67"/>
      <c r="E42" s="67"/>
      <c r="F42" s="67"/>
      <c r="G42" s="67"/>
      <c r="H42" s="67"/>
      <c r="I42" s="67"/>
      <c r="J42" s="292"/>
      <c r="K42" s="6">
        <v>37</v>
      </c>
    </row>
    <row r="43" spans="1:11" x14ac:dyDescent="0.2">
      <c r="A43" s="23" t="s">
        <v>819</v>
      </c>
      <c r="B43" s="24">
        <v>38</v>
      </c>
      <c r="C43" s="6"/>
      <c r="D43" s="66">
        <f t="shared" ref="D43:I43" si="4">SUM(D41:D42)</f>
        <v>0</v>
      </c>
      <c r="E43" s="66">
        <f t="shared" si="4"/>
        <v>0</v>
      </c>
      <c r="F43" s="66">
        <f t="shared" si="4"/>
        <v>0</v>
      </c>
      <c r="G43" s="66">
        <f t="shared" si="4"/>
        <v>0</v>
      </c>
      <c r="H43" s="66">
        <f t="shared" si="4"/>
        <v>0</v>
      </c>
      <c r="I43" s="66">
        <f t="shared" si="4"/>
        <v>0</v>
      </c>
      <c r="J43" s="292"/>
      <c r="K43" s="6">
        <v>38</v>
      </c>
    </row>
    <row r="44" spans="1:11" x14ac:dyDescent="0.2">
      <c r="A44" s="23" t="s">
        <v>820</v>
      </c>
      <c r="B44" s="24">
        <v>39</v>
      </c>
      <c r="C44" s="6"/>
      <c r="D44" s="66" t="e">
        <f t="shared" ref="D44:I44" si="5">D45-D43</f>
        <v>#N/A</v>
      </c>
      <c r="E44" s="66" t="e">
        <f t="shared" si="5"/>
        <v>#N/A</v>
      </c>
      <c r="F44" s="66" t="e">
        <f t="shared" si="5"/>
        <v>#N/A</v>
      </c>
      <c r="G44" s="66" t="e">
        <f t="shared" si="5"/>
        <v>#N/A</v>
      </c>
      <c r="H44" s="66" t="e">
        <f t="shared" si="5"/>
        <v>#N/A</v>
      </c>
      <c r="I44" s="66" t="e">
        <f t="shared" si="5"/>
        <v>#N/A</v>
      </c>
      <c r="J44" s="292"/>
      <c r="K44" s="6">
        <v>39</v>
      </c>
    </row>
    <row r="45" spans="1:11" x14ac:dyDescent="0.2">
      <c r="A45" s="23" t="s">
        <v>821</v>
      </c>
      <c r="B45" s="24">
        <v>40</v>
      </c>
      <c r="C45" s="6"/>
      <c r="D45" s="66" t="e">
        <f t="shared" ref="D45:I45" si="6">D26</f>
        <v>#N/A</v>
      </c>
      <c r="E45" s="66" t="e">
        <f t="shared" si="6"/>
        <v>#N/A</v>
      </c>
      <c r="F45" s="66" t="e">
        <f t="shared" si="6"/>
        <v>#N/A</v>
      </c>
      <c r="G45" s="66" t="e">
        <f t="shared" si="6"/>
        <v>#N/A</v>
      </c>
      <c r="H45" s="66" t="e">
        <f t="shared" si="6"/>
        <v>#N/A</v>
      </c>
      <c r="I45" s="66" t="e">
        <f t="shared" si="6"/>
        <v>#N/A</v>
      </c>
      <c r="J45" s="292"/>
      <c r="K45" s="6">
        <v>40</v>
      </c>
    </row>
  </sheetData>
  <sheetProtection password="C47C" sheet="1" objects="1" scenarios="1"/>
  <customSheetViews>
    <customSheetView guid="{53CC1FF8-69F4-40AB-9E52-A9F35D642996}" scale="80" showGridLines="0" fitToPage="1" state="hidden">
      <pane xSplit="3" ySplit="4" topLeftCell="D5" activePane="bottomRight" state="frozen"/>
      <selection pane="bottomRight" activeCell="A3" sqref="A3"/>
      <pageMargins left="0.5" right="0.5" top="0.5" bottom="0.5" header="0.5" footer="0.5"/>
      <printOptions horizontalCentered="1" verticalCentered="1"/>
      <pageSetup scale="93" orientation="landscape" horizontalDpi="1200" verticalDpi="1200" r:id="rId1"/>
      <headerFooter alignWithMargins="0"/>
    </customSheetView>
  </customSheetViews>
  <mergeCells count="3">
    <mergeCell ref="E3:J3"/>
    <mergeCell ref="D2:H2"/>
    <mergeCell ref="D1:H1"/>
  </mergeCells>
  <phoneticPr fontId="0" type="noConversion"/>
  <dataValidations count="1">
    <dataValidation type="whole" allowBlank="1" showInputMessage="1" showErrorMessage="1" error="Only a WHOLE number can be entered in this area.  Select cancel and reenter an appropriate number." sqref="D28:J45 D5:J26">
      <formula1>-999999999999</formula1>
      <formula2>999999999999</formula2>
    </dataValidation>
  </dataValidations>
  <printOptions horizontalCentered="1" verticalCentered="1"/>
  <pageMargins left="0.5" right="0.5" top="0.5" bottom="0.5" header="0.5" footer="0.5"/>
  <pageSetup scale="93" orientation="landscape" horizontalDpi="1200" verticalDpi="1200"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99"/>
    <pageSetUpPr fitToPage="1"/>
  </sheetPr>
  <dimension ref="A1:J45"/>
  <sheetViews>
    <sheetView showGridLines="0" zoomScale="80" zoomScaleNormal="80" workbookViewId="0">
      <pane xSplit="2" ySplit="4" topLeftCell="C5" activePane="bottomRight" state="frozen"/>
      <selection pane="topRight"/>
      <selection pane="bottomLeft"/>
      <selection pane="bottomRight"/>
    </sheetView>
  </sheetViews>
  <sheetFormatPr defaultColWidth="9" defaultRowHeight="12.75" x14ac:dyDescent="0.2"/>
  <cols>
    <col min="1" max="1" width="44.85546875" style="15" customWidth="1"/>
    <col min="2" max="2" width="3.5703125" style="2" customWidth="1"/>
    <col min="3" max="9" width="15.140625" style="18" customWidth="1"/>
    <col min="10" max="10" width="3.5703125" style="2" customWidth="1"/>
    <col min="11" max="16384" width="9" style="2"/>
  </cols>
  <sheetData>
    <row r="1" spans="1:10" ht="18.75" x14ac:dyDescent="0.3">
      <c r="A1" s="17" t="s">
        <v>1644</v>
      </c>
      <c r="B1" s="18"/>
      <c r="C1" s="937">
        <f>InputsResults!$K$3</f>
        <v>0</v>
      </c>
      <c r="D1" s="938"/>
      <c r="E1" s="938"/>
      <c r="F1" s="938"/>
      <c r="G1" s="18" t="s">
        <v>934</v>
      </c>
      <c r="H1" s="41" t="e">
        <f>InputsResults!$J$3</f>
        <v>#N/A</v>
      </c>
      <c r="I1" s="41"/>
    </row>
    <row r="2" spans="1:10" ht="19.5" thickBot="1" x14ac:dyDescent="0.35">
      <c r="A2" s="17" t="s">
        <v>935</v>
      </c>
      <c r="C2" s="906" t="str">
        <f>CONCATENATE("FY ",DoM!$B$6-1," RE-ESTIMATED WORKSHEET - Page 2")</f>
        <v>FY 2017 RE-ESTIMATED WORKSHEET - Page 2</v>
      </c>
      <c r="D2" s="906"/>
      <c r="E2" s="906"/>
      <c r="F2" s="906"/>
      <c r="G2" s="41"/>
      <c r="H2" s="41"/>
      <c r="I2" s="41"/>
    </row>
    <row r="3" spans="1:10" ht="12.75" customHeight="1" x14ac:dyDescent="0.2">
      <c r="C3" s="903" t="s">
        <v>1493</v>
      </c>
      <c r="D3" s="904"/>
      <c r="E3" s="905"/>
      <c r="F3" s="433" t="s">
        <v>880</v>
      </c>
      <c r="G3" s="901" t="s">
        <v>877</v>
      </c>
      <c r="H3" s="902"/>
      <c r="I3" s="53" t="s">
        <v>936</v>
      </c>
      <c r="J3" s="19"/>
    </row>
    <row r="4" spans="1:10" x14ac:dyDescent="0.2">
      <c r="A4" s="20" t="s">
        <v>871</v>
      </c>
      <c r="C4" s="423" t="s">
        <v>1486</v>
      </c>
      <c r="D4" s="39" t="s">
        <v>1489</v>
      </c>
      <c r="E4" s="39" t="s">
        <v>1487</v>
      </c>
      <c r="F4" s="434" t="s">
        <v>1490</v>
      </c>
      <c r="G4" s="21" t="s">
        <v>932</v>
      </c>
      <c r="H4" s="421" t="s">
        <v>933</v>
      </c>
      <c r="I4" s="52"/>
      <c r="J4" s="22"/>
    </row>
    <row r="5" spans="1:10" x14ac:dyDescent="0.2">
      <c r="A5" s="4" t="s">
        <v>785</v>
      </c>
      <c r="B5" s="5">
        <v>1</v>
      </c>
      <c r="C5" s="296"/>
      <c r="D5" s="112"/>
      <c r="E5" s="292"/>
      <c r="F5" s="112"/>
      <c r="G5" s="61"/>
      <c r="H5" s="61"/>
      <c r="I5" s="66">
        <f>SUM(C5:H5)+SUM(FY17Wk1!D5:J5)</f>
        <v>0</v>
      </c>
      <c r="J5" s="6">
        <v>1</v>
      </c>
    </row>
    <row r="6" spans="1:10" x14ac:dyDescent="0.2">
      <c r="A6" s="4" t="s">
        <v>786</v>
      </c>
      <c r="B6" s="24">
        <v>2</v>
      </c>
      <c r="C6" s="296"/>
      <c r="D6" s="112"/>
      <c r="E6" s="412"/>
      <c r="F6" s="112"/>
      <c r="G6" s="61"/>
      <c r="H6" s="61"/>
      <c r="I6" s="66">
        <f>SUM(C6:H6)+SUM(FY17Wk1!D6:J6)</f>
        <v>0</v>
      </c>
      <c r="J6" s="6">
        <v>2</v>
      </c>
    </row>
    <row r="7" spans="1:10" x14ac:dyDescent="0.2">
      <c r="A7" s="4" t="s">
        <v>787</v>
      </c>
      <c r="B7" s="24">
        <v>3</v>
      </c>
      <c r="C7" s="296"/>
      <c r="D7" s="112"/>
      <c r="E7" s="292"/>
      <c r="F7" s="61"/>
      <c r="G7" s="61"/>
      <c r="H7" s="61"/>
      <c r="I7" s="66">
        <f>SUM(C7:H7)+SUM(FY17Wk1!D7:J7)</f>
        <v>0</v>
      </c>
      <c r="J7" s="6">
        <v>3</v>
      </c>
    </row>
    <row r="8" spans="1:10" x14ac:dyDescent="0.2">
      <c r="A8" s="4" t="s">
        <v>788</v>
      </c>
      <c r="B8" s="24">
        <v>4</v>
      </c>
      <c r="C8" s="296"/>
      <c r="D8" s="292"/>
      <c r="E8" s="61"/>
      <c r="F8" s="61"/>
      <c r="G8" s="61"/>
      <c r="H8" s="61"/>
      <c r="I8" s="66">
        <f>SUM(C8:H8)+SUM(FY17Wk1!D8:J8)</f>
        <v>0</v>
      </c>
      <c r="J8" s="6">
        <v>4</v>
      </c>
    </row>
    <row r="9" spans="1:10" x14ac:dyDescent="0.2">
      <c r="A9" s="4" t="s">
        <v>789</v>
      </c>
      <c r="B9" s="24">
        <v>5</v>
      </c>
      <c r="C9" s="424"/>
      <c r="D9" s="291"/>
      <c r="E9" s="67"/>
      <c r="F9" s="67"/>
      <c r="G9" s="67"/>
      <c r="H9" s="67"/>
      <c r="I9" s="66">
        <f>SUM(C9:H9)+SUM(FY17Wk1!D9:J9)</f>
        <v>0</v>
      </c>
      <c r="J9" s="6">
        <v>5</v>
      </c>
    </row>
    <row r="10" spans="1:10" x14ac:dyDescent="0.2">
      <c r="A10" s="4" t="s">
        <v>790</v>
      </c>
      <c r="B10" s="24">
        <v>6</v>
      </c>
      <c r="C10" s="296"/>
      <c r="D10" s="292"/>
      <c r="E10" s="61"/>
      <c r="F10" s="61"/>
      <c r="G10" s="67"/>
      <c r="H10" s="112"/>
      <c r="I10" s="66">
        <f>SUM(C10:H10)+SUM(FY17Wk1!D10:J10)</f>
        <v>0</v>
      </c>
      <c r="J10" s="6">
        <v>6</v>
      </c>
    </row>
    <row r="11" spans="1:10" x14ac:dyDescent="0.2">
      <c r="A11" s="4" t="s">
        <v>791</v>
      </c>
      <c r="B11" s="24">
        <v>7</v>
      </c>
      <c r="C11" s="296"/>
      <c r="D11" s="292"/>
      <c r="E11" s="292"/>
      <c r="F11" s="292"/>
      <c r="G11" s="292"/>
      <c r="H11" s="112"/>
      <c r="I11" s="66">
        <f>SUM(C11:H11)+SUM(FY17Wk1!D11:J11)</f>
        <v>0</v>
      </c>
      <c r="J11" s="6">
        <v>7</v>
      </c>
    </row>
    <row r="12" spans="1:10" x14ac:dyDescent="0.2">
      <c r="A12" s="4" t="s">
        <v>792</v>
      </c>
      <c r="B12" s="24">
        <v>8</v>
      </c>
      <c r="C12" s="424"/>
      <c r="D12" s="135"/>
      <c r="E12" s="67"/>
      <c r="F12" s="67"/>
      <c r="G12" s="67"/>
      <c r="H12" s="67"/>
      <c r="I12" s="66">
        <f>SUM(C12:H12)+SUM(FY17Wk1!D12:J12)</f>
        <v>0</v>
      </c>
      <c r="J12" s="6">
        <v>8</v>
      </c>
    </row>
    <row r="13" spans="1:10" x14ac:dyDescent="0.2">
      <c r="A13" s="4" t="s">
        <v>793</v>
      </c>
      <c r="B13" s="24">
        <v>9</v>
      </c>
      <c r="C13" s="425"/>
      <c r="D13" s="112"/>
      <c r="E13" s="136"/>
      <c r="F13" s="292"/>
      <c r="G13" s="67"/>
      <c r="H13" s="67"/>
      <c r="I13" s="66">
        <f>SUM(C13:H13)+SUM(FY17Wk1!D13:J13)</f>
        <v>0</v>
      </c>
      <c r="J13" s="6">
        <v>9</v>
      </c>
    </row>
    <row r="14" spans="1:10" x14ac:dyDescent="0.2">
      <c r="A14" s="4" t="s">
        <v>794</v>
      </c>
      <c r="B14" s="24">
        <v>10</v>
      </c>
      <c r="C14" s="296"/>
      <c r="D14" s="292"/>
      <c r="E14" s="292"/>
      <c r="F14" s="292"/>
      <c r="G14" s="292"/>
      <c r="H14" s="292"/>
      <c r="I14" s="66">
        <f>SUM(C14:H14)+SUM(FY17Wk1!D14:J14)</f>
        <v>0</v>
      </c>
      <c r="J14" s="6">
        <v>10</v>
      </c>
    </row>
    <row r="15" spans="1:10" x14ac:dyDescent="0.2">
      <c r="A15" s="4" t="s">
        <v>795</v>
      </c>
      <c r="B15" s="24">
        <v>11</v>
      </c>
      <c r="C15" s="296"/>
      <c r="D15" s="292"/>
      <c r="E15" s="292"/>
      <c r="F15" s="292"/>
      <c r="G15" s="292"/>
      <c r="H15" s="292"/>
      <c r="I15" s="66">
        <f>SUM(C15:H15)+SUM(FY17Wk1!D15:J15)</f>
        <v>0</v>
      </c>
      <c r="J15" s="6">
        <v>11</v>
      </c>
    </row>
    <row r="16" spans="1:10" x14ac:dyDescent="0.2">
      <c r="A16" s="4" t="s">
        <v>796</v>
      </c>
      <c r="B16" s="24">
        <v>12</v>
      </c>
      <c r="C16" s="424"/>
      <c r="D16" s="67"/>
      <c r="E16" s="67"/>
      <c r="F16" s="67"/>
      <c r="G16" s="67"/>
      <c r="H16" s="112"/>
      <c r="I16" s="66">
        <f>SUM(C16:H16)+SUM(FY17Wk1!D16:J16)</f>
        <v>0</v>
      </c>
      <c r="J16" s="6">
        <v>12</v>
      </c>
    </row>
    <row r="17" spans="1:10" x14ac:dyDescent="0.2">
      <c r="A17" s="4" t="s">
        <v>1645</v>
      </c>
      <c r="B17" s="24">
        <v>13</v>
      </c>
      <c r="C17" s="296"/>
      <c r="D17" s="67"/>
      <c r="E17" s="292"/>
      <c r="F17" s="67"/>
      <c r="G17" s="292"/>
      <c r="H17" s="292"/>
      <c r="I17" s="66">
        <f>SUM(C17:H17)+SUM(FY17Wk1!D17:J17)</f>
        <v>0</v>
      </c>
      <c r="J17" s="6">
        <v>13</v>
      </c>
    </row>
    <row r="18" spans="1:10" x14ac:dyDescent="0.2">
      <c r="A18" s="23" t="s">
        <v>700</v>
      </c>
      <c r="B18" s="24">
        <v>14</v>
      </c>
      <c r="C18" s="292"/>
      <c r="D18" s="292"/>
      <c r="E18" s="136"/>
      <c r="F18" s="292"/>
      <c r="G18" s="292"/>
      <c r="H18" s="292"/>
      <c r="I18" s="66">
        <f>SUM(C18:H18)+SUM(FY17Wk1!D18:J18)</f>
        <v>0</v>
      </c>
      <c r="J18" s="6">
        <v>14</v>
      </c>
    </row>
    <row r="19" spans="1:10" x14ac:dyDescent="0.2">
      <c r="A19" s="4" t="s">
        <v>922</v>
      </c>
      <c r="B19" s="24">
        <v>15</v>
      </c>
      <c r="C19" s="424"/>
      <c r="D19" s="67"/>
      <c r="E19" s="67"/>
      <c r="F19" s="67"/>
      <c r="G19" s="67"/>
      <c r="H19" s="112"/>
      <c r="I19" s="66">
        <f>SUM(C19:H19)+SUM(FY17Wk1!D19:J19)</f>
        <v>0</v>
      </c>
      <c r="J19" s="6">
        <v>15</v>
      </c>
    </row>
    <row r="20" spans="1:10" x14ac:dyDescent="0.2">
      <c r="A20" s="23" t="s">
        <v>797</v>
      </c>
      <c r="B20" s="24">
        <v>16</v>
      </c>
      <c r="C20" s="426">
        <f t="shared" ref="C20:H20" si="0">SUM(C5:C19)</f>
        <v>0</v>
      </c>
      <c r="D20" s="66">
        <f t="shared" si="0"/>
        <v>0</v>
      </c>
      <c r="E20" s="66">
        <f t="shared" si="0"/>
        <v>0</v>
      </c>
      <c r="F20" s="68">
        <f t="shared" si="0"/>
        <v>0</v>
      </c>
      <c r="G20" s="68">
        <f t="shared" si="0"/>
        <v>0</v>
      </c>
      <c r="H20" s="68">
        <f t="shared" si="0"/>
        <v>0</v>
      </c>
      <c r="I20" s="66">
        <f>SUM(I5:I19)</f>
        <v>0</v>
      </c>
      <c r="J20" s="6">
        <v>16</v>
      </c>
    </row>
    <row r="21" spans="1:10" x14ac:dyDescent="0.2">
      <c r="A21" s="23" t="s">
        <v>798</v>
      </c>
      <c r="B21" s="24">
        <v>17</v>
      </c>
      <c r="C21" s="424"/>
      <c r="D21" s="67"/>
      <c r="E21" s="137"/>
      <c r="F21" s="136"/>
      <c r="G21" s="292"/>
      <c r="H21" s="292"/>
      <c r="I21" s="66">
        <f>SUM(C21:H21)+SUM(FY17Wk1!D21:J21)</f>
        <v>0</v>
      </c>
      <c r="J21" s="6">
        <v>17</v>
      </c>
    </row>
    <row r="22" spans="1:10" x14ac:dyDescent="0.2">
      <c r="A22" s="23" t="s">
        <v>1476</v>
      </c>
      <c r="B22" s="24">
        <v>18</v>
      </c>
      <c r="C22" s="427"/>
      <c r="D22" s="67"/>
      <c r="E22" s="137"/>
      <c r="F22" s="67"/>
      <c r="G22" s="67"/>
      <c r="H22" s="67"/>
      <c r="I22" s="66">
        <f>SUM(C22:H22)+SUM(FY17Wk1!D22:J22)</f>
        <v>0</v>
      </c>
      <c r="J22" s="6">
        <v>18</v>
      </c>
    </row>
    <row r="23" spans="1:10" x14ac:dyDescent="0.2">
      <c r="A23" s="23" t="s">
        <v>799</v>
      </c>
      <c r="B23" s="24">
        <v>19</v>
      </c>
      <c r="C23" s="424"/>
      <c r="D23" s="67"/>
      <c r="E23" s="67"/>
      <c r="F23" s="61"/>
      <c r="G23" s="67"/>
      <c r="H23" s="67"/>
      <c r="I23" s="66">
        <f>SUM(C23:H23)+SUM(FY17Wk1!D23:J23)</f>
        <v>0</v>
      </c>
      <c r="J23" s="6">
        <v>19</v>
      </c>
    </row>
    <row r="24" spans="1:10" x14ac:dyDescent="0.2">
      <c r="A24" s="23" t="s">
        <v>800</v>
      </c>
      <c r="B24" s="24">
        <v>20</v>
      </c>
      <c r="C24" s="428">
        <f t="shared" ref="C24:H24" si="1">SUM(C20:C23)</f>
        <v>0</v>
      </c>
      <c r="D24" s="66">
        <f>SUM(D20:D23)</f>
        <v>0</v>
      </c>
      <c r="E24" s="66">
        <f>SUM(E20:E23)</f>
        <v>0</v>
      </c>
      <c r="F24" s="68">
        <f t="shared" si="1"/>
        <v>0</v>
      </c>
      <c r="G24" s="68">
        <f t="shared" si="1"/>
        <v>0</v>
      </c>
      <c r="H24" s="68">
        <f t="shared" si="1"/>
        <v>0</v>
      </c>
      <c r="I24" s="66">
        <f>SUM(I20:I23)</f>
        <v>0</v>
      </c>
      <c r="J24" s="6">
        <v>20</v>
      </c>
    </row>
    <row r="25" spans="1:10" x14ac:dyDescent="0.2">
      <c r="A25" s="23" t="s">
        <v>801</v>
      </c>
      <c r="B25" s="24">
        <v>21</v>
      </c>
      <c r="C25" s="436" t="e">
        <f>FY16Wk2!C44</f>
        <v>#N/A</v>
      </c>
      <c r="D25" s="437" t="e">
        <f>FY16Wk2!D44</f>
        <v>#N/A</v>
      </c>
      <c r="E25" s="437" t="e">
        <f>FY16Wk2!E44</f>
        <v>#N/A</v>
      </c>
      <c r="F25" s="437" t="e">
        <f>FY16Wk2!F44</f>
        <v>#N/A</v>
      </c>
      <c r="G25" s="437" t="e">
        <f>FY16Wk2!G44</f>
        <v>#N/A</v>
      </c>
      <c r="H25" s="437" t="e">
        <f>FY16Wk2!H44</f>
        <v>#N/A</v>
      </c>
      <c r="I25" s="66" t="e">
        <f>SUM(C25:H25)+SUM(FY17Wk1!D25:J25)</f>
        <v>#N/A</v>
      </c>
      <c r="J25" s="6">
        <v>21</v>
      </c>
    </row>
    <row r="26" spans="1:10" x14ac:dyDescent="0.2">
      <c r="A26" s="23" t="s">
        <v>802</v>
      </c>
      <c r="B26" s="24">
        <v>22</v>
      </c>
      <c r="C26" s="435" t="e">
        <f t="shared" ref="C26:H26" si="2">SUM(C24:C25)</f>
        <v>#N/A</v>
      </c>
      <c r="D26" s="66" t="e">
        <f>SUM(D24:D25)</f>
        <v>#N/A</v>
      </c>
      <c r="E26" s="66" t="e">
        <f>SUM(E24:E25)</f>
        <v>#N/A</v>
      </c>
      <c r="F26" s="66" t="e">
        <f t="shared" si="2"/>
        <v>#N/A</v>
      </c>
      <c r="G26" s="66" t="e">
        <f t="shared" si="2"/>
        <v>#N/A</v>
      </c>
      <c r="H26" s="66" t="e">
        <f t="shared" si="2"/>
        <v>#N/A</v>
      </c>
      <c r="I26" s="66" t="e">
        <f>SUM(I24:I25)</f>
        <v>#N/A</v>
      </c>
      <c r="J26" s="6">
        <v>22</v>
      </c>
    </row>
    <row r="27" spans="1:10" x14ac:dyDescent="0.2">
      <c r="A27" s="25" t="s">
        <v>872</v>
      </c>
      <c r="B27" s="13"/>
      <c r="C27" s="411"/>
      <c r="D27" s="411"/>
      <c r="E27" s="411"/>
      <c r="F27" s="411"/>
      <c r="G27" s="411"/>
      <c r="H27" s="411"/>
      <c r="I27" s="206"/>
      <c r="J27" s="6"/>
    </row>
    <row r="28" spans="1:10" x14ac:dyDescent="0.2">
      <c r="A28" s="23" t="s">
        <v>873</v>
      </c>
      <c r="B28" s="14">
        <v>23</v>
      </c>
      <c r="C28" s="424"/>
      <c r="D28" s="137"/>
      <c r="E28" s="67"/>
      <c r="F28" s="292"/>
      <c r="G28" s="67"/>
      <c r="H28" s="437"/>
      <c r="I28" s="66">
        <f>SUM(C28:H28)+SUM(FY17Wk1!D28:J28)</f>
        <v>0</v>
      </c>
      <c r="J28" s="6">
        <v>23</v>
      </c>
    </row>
    <row r="29" spans="1:10" x14ac:dyDescent="0.2">
      <c r="A29" s="23" t="s">
        <v>804</v>
      </c>
      <c r="B29" s="14">
        <v>24</v>
      </c>
      <c r="C29" s="424"/>
      <c r="D29" s="137"/>
      <c r="E29" s="67"/>
      <c r="F29" s="292"/>
      <c r="G29" s="67"/>
      <c r="H29" s="67"/>
      <c r="I29" s="66">
        <f>SUM(C29:H29)+SUM(FY17Wk1!D29:J29)</f>
        <v>0</v>
      </c>
      <c r="J29" s="6">
        <v>24</v>
      </c>
    </row>
    <row r="30" spans="1:10" x14ac:dyDescent="0.2">
      <c r="A30" s="23" t="s">
        <v>805</v>
      </c>
      <c r="B30" s="14">
        <v>25</v>
      </c>
      <c r="C30" s="424"/>
      <c r="D30" s="137"/>
      <c r="E30" s="67"/>
      <c r="F30" s="292"/>
      <c r="G30" s="67"/>
      <c r="H30" s="67"/>
      <c r="I30" s="66">
        <f>SUM(C30:H30)+SUM(FY17Wk1!D30:J30)</f>
        <v>0</v>
      </c>
      <c r="J30" s="6">
        <v>25</v>
      </c>
    </row>
    <row r="31" spans="1:10" x14ac:dyDescent="0.2">
      <c r="A31" s="23" t="s">
        <v>806</v>
      </c>
      <c r="B31" s="14">
        <v>26</v>
      </c>
      <c r="C31" s="424"/>
      <c r="D31" s="137"/>
      <c r="E31" s="67"/>
      <c r="F31" s="292"/>
      <c r="G31" s="67"/>
      <c r="H31" s="67"/>
      <c r="I31" s="66">
        <f>SUM(C31:H31)+SUM(FY17Wk1!D31:J31)</f>
        <v>0</v>
      </c>
      <c r="J31" s="6">
        <v>26</v>
      </c>
    </row>
    <row r="32" spans="1:10" x14ac:dyDescent="0.2">
      <c r="A32" s="4" t="s">
        <v>923</v>
      </c>
      <c r="B32" s="14">
        <v>27</v>
      </c>
      <c r="C32" s="424"/>
      <c r="D32" s="137"/>
      <c r="E32" s="67"/>
      <c r="F32" s="292"/>
      <c r="G32" s="67"/>
      <c r="H32" s="67"/>
      <c r="I32" s="66">
        <f>SUM(C32:H32)+SUM(FY17Wk1!D32:J32)</f>
        <v>0</v>
      </c>
      <c r="J32" s="6">
        <v>27</v>
      </c>
    </row>
    <row r="33" spans="1:10" x14ac:dyDescent="0.2">
      <c r="A33" s="23" t="s">
        <v>1066</v>
      </c>
      <c r="B33" s="14">
        <v>28</v>
      </c>
      <c r="C33" s="424"/>
      <c r="D33" s="67"/>
      <c r="E33" s="67"/>
      <c r="F33" s="67"/>
      <c r="G33" s="67"/>
      <c r="H33" s="67"/>
      <c r="I33" s="66">
        <f>SUM(C33:H33)+SUM(FY17Wk1!D33:J33)</f>
        <v>0</v>
      </c>
      <c r="J33" s="6">
        <v>28</v>
      </c>
    </row>
    <row r="34" spans="1:10" x14ac:dyDescent="0.2">
      <c r="A34" s="23" t="s">
        <v>807</v>
      </c>
      <c r="B34" s="14">
        <v>29</v>
      </c>
      <c r="C34" s="424"/>
      <c r="D34" s="112"/>
      <c r="E34" s="67"/>
      <c r="F34" s="292"/>
      <c r="G34" s="67"/>
      <c r="H34" s="67"/>
      <c r="I34" s="66">
        <f>SUM(C34:H34)+SUM(FY17Wk1!D34:J34)</f>
        <v>0</v>
      </c>
      <c r="J34" s="6">
        <v>29</v>
      </c>
    </row>
    <row r="35" spans="1:10" x14ac:dyDescent="0.2">
      <c r="A35" s="23" t="s">
        <v>808</v>
      </c>
      <c r="B35" s="14">
        <v>30</v>
      </c>
      <c r="C35" s="424"/>
      <c r="D35" s="112"/>
      <c r="E35" s="67"/>
      <c r="F35" s="292"/>
      <c r="G35" s="67"/>
      <c r="H35" s="67"/>
      <c r="I35" s="66">
        <f>SUM(C35:H35)+SUM(FY17Wk1!D35:J35)</f>
        <v>0</v>
      </c>
      <c r="J35" s="6">
        <v>30</v>
      </c>
    </row>
    <row r="36" spans="1:10" x14ac:dyDescent="0.2">
      <c r="A36" s="4" t="s">
        <v>924</v>
      </c>
      <c r="B36" s="14">
        <v>31</v>
      </c>
      <c r="C36" s="296"/>
      <c r="D36" s="292"/>
      <c r="E36" s="61"/>
      <c r="F36" s="292"/>
      <c r="G36" s="292"/>
      <c r="H36" s="292"/>
      <c r="I36" s="66">
        <f>SUM(C36:H36)+SUM(FY17Wk1!D36:J36)</f>
        <v>0</v>
      </c>
      <c r="J36" s="6">
        <v>31</v>
      </c>
    </row>
    <row r="37" spans="1:10" x14ac:dyDescent="0.2">
      <c r="A37" s="23" t="s">
        <v>874</v>
      </c>
      <c r="B37" s="14">
        <v>32</v>
      </c>
      <c r="C37" s="424"/>
      <c r="D37" s="112"/>
      <c r="E37" s="67"/>
      <c r="F37" s="292"/>
      <c r="G37" s="67"/>
      <c r="H37" s="67"/>
      <c r="I37" s="66">
        <f>SUM(C37:H37)+SUM(FY17Wk1!D37:J37)</f>
        <v>0</v>
      </c>
      <c r="J37" s="6">
        <v>32</v>
      </c>
    </row>
    <row r="38" spans="1:10" x14ac:dyDescent="0.2">
      <c r="A38" s="23" t="s">
        <v>813</v>
      </c>
      <c r="B38" s="14">
        <v>33</v>
      </c>
      <c r="C38" s="424"/>
      <c r="D38" s="67"/>
      <c r="E38" s="67"/>
      <c r="F38" s="292"/>
      <c r="G38" s="292"/>
      <c r="H38" s="67"/>
      <c r="I38" s="66">
        <f>SUM(C38:H38)+SUM(FY17Wk1!D38:J38)</f>
        <v>0</v>
      </c>
      <c r="J38" s="6">
        <v>33</v>
      </c>
    </row>
    <row r="39" spans="1:10" x14ac:dyDescent="0.2">
      <c r="A39" s="23" t="s">
        <v>875</v>
      </c>
      <c r="B39" s="14">
        <v>34</v>
      </c>
      <c r="C39" s="424"/>
      <c r="D39" s="112"/>
      <c r="E39" s="112"/>
      <c r="F39" s="112"/>
      <c r="G39" s="292"/>
      <c r="H39" s="292"/>
      <c r="I39" s="66">
        <f>SUM(C39:H39)+SUM(FY17Wk1!D39:J39)</f>
        <v>0</v>
      </c>
      <c r="J39" s="6">
        <v>34</v>
      </c>
    </row>
    <row r="40" spans="1:10" x14ac:dyDescent="0.2">
      <c r="A40" s="23" t="s">
        <v>815</v>
      </c>
      <c r="B40" s="14">
        <v>35</v>
      </c>
      <c r="C40" s="296"/>
      <c r="D40" s="292"/>
      <c r="E40" s="61"/>
      <c r="F40" s="292"/>
      <c r="G40" s="292"/>
      <c r="H40" s="292"/>
      <c r="I40" s="66">
        <f>SUM(C40:H40)+SUM(FY17Wk1!D40:J40)</f>
        <v>0</v>
      </c>
      <c r="J40" s="6">
        <v>35</v>
      </c>
    </row>
    <row r="41" spans="1:10" x14ac:dyDescent="0.2">
      <c r="A41" s="23" t="s">
        <v>818</v>
      </c>
      <c r="B41" s="14">
        <v>36</v>
      </c>
      <c r="C41" s="429">
        <f t="shared" ref="C41:H41" si="3">SUM(C28:C40)</f>
        <v>0</v>
      </c>
      <c r="D41" s="66">
        <f>SUM(D28:D40)</f>
        <v>0</v>
      </c>
      <c r="E41" s="66">
        <f>SUM(E28:E40)</f>
        <v>0</v>
      </c>
      <c r="F41" s="66">
        <f t="shared" si="3"/>
        <v>0</v>
      </c>
      <c r="G41" s="66">
        <f t="shared" si="3"/>
        <v>0</v>
      </c>
      <c r="H41" s="66">
        <f t="shared" si="3"/>
        <v>0</v>
      </c>
      <c r="I41" s="66">
        <f>SUM(I28:I40)</f>
        <v>0</v>
      </c>
      <c r="J41" s="6">
        <v>36</v>
      </c>
    </row>
    <row r="42" spans="1:10" x14ac:dyDescent="0.2">
      <c r="A42" s="23" t="s">
        <v>1477</v>
      </c>
      <c r="B42" s="14">
        <v>37</v>
      </c>
      <c r="C42" s="424"/>
      <c r="D42" s="67"/>
      <c r="E42" s="67"/>
      <c r="F42" s="67"/>
      <c r="G42" s="67"/>
      <c r="H42" s="67"/>
      <c r="I42" s="66">
        <f>SUM(C42:H42)+SUM(FY17Wk1!D42:J42)</f>
        <v>0</v>
      </c>
      <c r="J42" s="6">
        <v>37</v>
      </c>
    </row>
    <row r="43" spans="1:10" x14ac:dyDescent="0.2">
      <c r="A43" s="23" t="s">
        <v>819</v>
      </c>
      <c r="B43" s="14">
        <v>38</v>
      </c>
      <c r="C43" s="429">
        <f t="shared" ref="C43:H43" si="4">SUM(C41:C42)</f>
        <v>0</v>
      </c>
      <c r="D43" s="66">
        <f>SUM(D41:D42)</f>
        <v>0</v>
      </c>
      <c r="E43" s="66">
        <f>SUM(E41:E42)</f>
        <v>0</v>
      </c>
      <c r="F43" s="66">
        <f t="shared" si="4"/>
        <v>0</v>
      </c>
      <c r="G43" s="66">
        <f t="shared" si="4"/>
        <v>0</v>
      </c>
      <c r="H43" s="66">
        <f t="shared" si="4"/>
        <v>0</v>
      </c>
      <c r="I43" s="66">
        <f>SUM(I41:I42)</f>
        <v>0</v>
      </c>
      <c r="J43" s="6">
        <v>38</v>
      </c>
    </row>
    <row r="44" spans="1:10" x14ac:dyDescent="0.2">
      <c r="A44" s="23" t="s">
        <v>820</v>
      </c>
      <c r="B44" s="14">
        <v>39</v>
      </c>
      <c r="C44" s="429" t="e">
        <f t="shared" ref="C44:H44" si="5">C45-C43</f>
        <v>#N/A</v>
      </c>
      <c r="D44" s="66" t="e">
        <f t="shared" si="5"/>
        <v>#N/A</v>
      </c>
      <c r="E44" s="66" t="e">
        <f t="shared" si="5"/>
        <v>#N/A</v>
      </c>
      <c r="F44" s="66" t="e">
        <f t="shared" si="5"/>
        <v>#N/A</v>
      </c>
      <c r="G44" s="66" t="e">
        <f t="shared" si="5"/>
        <v>#N/A</v>
      </c>
      <c r="H44" s="66" t="e">
        <f t="shared" si="5"/>
        <v>#N/A</v>
      </c>
      <c r="I44" s="66" t="e">
        <f>I45-I43</f>
        <v>#N/A</v>
      </c>
      <c r="J44" s="6">
        <v>39</v>
      </c>
    </row>
    <row r="45" spans="1:10" x14ac:dyDescent="0.2">
      <c r="A45" s="23" t="s">
        <v>821</v>
      </c>
      <c r="B45" s="14">
        <v>40</v>
      </c>
      <c r="C45" s="431" t="e">
        <f t="shared" ref="C45:H45" si="6">C26</f>
        <v>#N/A</v>
      </c>
      <c r="D45" s="66" t="e">
        <f t="shared" si="6"/>
        <v>#N/A</v>
      </c>
      <c r="E45" s="66" t="e">
        <f t="shared" si="6"/>
        <v>#N/A</v>
      </c>
      <c r="F45" s="66" t="e">
        <f t="shared" si="6"/>
        <v>#N/A</v>
      </c>
      <c r="G45" s="66" t="e">
        <f t="shared" si="6"/>
        <v>#N/A</v>
      </c>
      <c r="H45" s="66" t="e">
        <f t="shared" si="6"/>
        <v>#N/A</v>
      </c>
      <c r="I45" s="66" t="e">
        <f>I26</f>
        <v>#N/A</v>
      </c>
      <c r="J45" s="6">
        <v>40</v>
      </c>
    </row>
  </sheetData>
  <sheetProtection password="C47C" sheet="1" objects="1" scenarios="1"/>
  <customSheetViews>
    <customSheetView guid="{53CC1FF8-69F4-40AB-9E52-A9F35D642996}" scale="80" showGridLines="0" fitToPage="1" state="hidden">
      <pane xSplit="2" ySplit="4" topLeftCell="C5" activePane="bottomRight" state="frozen"/>
      <selection pane="bottomRight" activeCell="A3" sqref="A3"/>
      <pageMargins left="0.5" right="0.5" top="0.5" bottom="0.5" header="0.5" footer="0.5"/>
      <printOptions horizontalCentered="1" verticalCentered="1"/>
      <pageSetup scale="94" orientation="landscape" horizontalDpi="1200" verticalDpi="1200" r:id="rId1"/>
      <headerFooter alignWithMargins="0"/>
    </customSheetView>
  </customSheetViews>
  <mergeCells count="4">
    <mergeCell ref="C3:E3"/>
    <mergeCell ref="G3:H3"/>
    <mergeCell ref="C2:F2"/>
    <mergeCell ref="C1:F1"/>
  </mergeCells>
  <phoneticPr fontId="0" type="noConversion"/>
  <dataValidations count="1">
    <dataValidation type="whole" allowBlank="1" showInputMessage="1" showErrorMessage="1" error="Only a WHOLE number can be entered in this area.  Select cancel and reenter an appropriate number." sqref="C28:I45 C5:I26">
      <formula1>-999999999999</formula1>
      <formula2>999999999999</formula2>
    </dataValidation>
  </dataValidations>
  <printOptions horizontalCentered="1" verticalCentered="1"/>
  <pageMargins left="0.5" right="0.5" top="0.5" bottom="0.5" header="0.5" footer="0.5"/>
  <pageSetup scale="94" orientation="landscape" horizontalDpi="1200" verticalDpi="1200"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16</vt:i4>
      </vt:variant>
    </vt:vector>
  </HeadingPairs>
  <TitlesOfParts>
    <vt:vector size="45" baseType="lpstr">
      <vt:lpstr>InputsResults</vt:lpstr>
      <vt:lpstr>AidLevy</vt:lpstr>
      <vt:lpstr>Proposed</vt:lpstr>
      <vt:lpstr>Adopted</vt:lpstr>
      <vt:lpstr>TaxCert</vt:lpstr>
      <vt:lpstr>FY18WK1</vt:lpstr>
      <vt:lpstr>FY18WK2</vt:lpstr>
      <vt:lpstr>FY17Wk1</vt:lpstr>
      <vt:lpstr>FY17Wk2</vt:lpstr>
      <vt:lpstr>Form703</vt:lpstr>
      <vt:lpstr>Publication</vt:lpstr>
      <vt:lpstr>C I Est</vt:lpstr>
      <vt:lpstr>UAB Wksht</vt:lpstr>
      <vt:lpstr>FY16Wk1</vt:lpstr>
      <vt:lpstr>FY16Wk2</vt:lpstr>
      <vt:lpstr>Form703A</vt:lpstr>
      <vt:lpstr>703A(2)</vt:lpstr>
      <vt:lpstr>703A(3)</vt:lpstr>
      <vt:lpstr>Amend Publ</vt:lpstr>
      <vt:lpstr>Amend Adopt</vt:lpstr>
      <vt:lpstr>Constants</vt:lpstr>
      <vt:lpstr>3.7</vt:lpstr>
      <vt:lpstr>DoM</vt:lpstr>
      <vt:lpstr>AEA_CPP</vt:lpstr>
      <vt:lpstr>SNAME</vt:lpstr>
      <vt:lpstr>SNAMEB</vt:lpstr>
      <vt:lpstr>SNAMEC</vt:lpstr>
      <vt:lpstr>Categorical</vt:lpstr>
      <vt:lpstr>schldata</vt:lpstr>
      <vt:lpstr>DistrictName</vt:lpstr>
      <vt:lpstr>Adopted!Print_Area</vt:lpstr>
      <vt:lpstr>AidLevy!Print_Area</vt:lpstr>
      <vt:lpstr>'Amend Adopt'!Print_Area</vt:lpstr>
      <vt:lpstr>'Amend Publ'!Print_Area</vt:lpstr>
      <vt:lpstr>'C I Est'!Print_Area</vt:lpstr>
      <vt:lpstr>Form703!Print_Area</vt:lpstr>
      <vt:lpstr>FY18WK1!Print_Area</vt:lpstr>
      <vt:lpstr>FY18WK2!Print_Area</vt:lpstr>
      <vt:lpstr>InputsResults!Print_Area</vt:lpstr>
      <vt:lpstr>Proposed!Print_Area</vt:lpstr>
      <vt:lpstr>Publication!Print_Area</vt:lpstr>
      <vt:lpstr>TaxCert!Print_Area</vt:lpstr>
      <vt:lpstr>Print_Area</vt:lpstr>
      <vt:lpstr>'3.7'!Print_Titles</vt:lpstr>
      <vt:lpstr>SNAMEB!Print_Titles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Management</dc:creator>
  <cp:lastModifiedBy>Department of Management</cp:lastModifiedBy>
  <cp:lastPrinted>2017-01-23T05:17:14Z</cp:lastPrinted>
  <dcterms:created xsi:type="dcterms:W3CDTF">2002-07-10T18:17:39Z</dcterms:created>
  <dcterms:modified xsi:type="dcterms:W3CDTF">2017-01-23T19:14:32Z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d78a044c26674294934f050da9f33fd8</vt:lpwstr>
  </property>
</Properties>
</file>